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Aute\свалко\3. 1440\5. Закупки 2025\1. ЛОТЫ 2025\РЕМОНТ\Локальные сметы\"/>
    </mc:Choice>
  </mc:AlternateContent>
  <bookViews>
    <workbookView xWindow="0" yWindow="0" windowWidth="24870" windowHeight="10695"/>
  </bookViews>
  <sheets>
    <sheet name="Смета СН-2012 по гл. 1-5" sheetId="7" r:id="rId1"/>
    <sheet name="Дефектная ведомость" sheetId="8" r:id="rId2"/>
    <sheet name="RV_DATA" sheetId="10" state="hidden" r:id="rId3"/>
    <sheet name="Расчет стоимости ресурсов" sheetId="9" r:id="rId4"/>
    <sheet name="Source" sheetId="1" r:id="rId5"/>
    <sheet name="SourceObSm" sheetId="2" r:id="rId6"/>
    <sheet name="SmtRes" sheetId="3" r:id="rId7"/>
    <sheet name="EtalonRes" sheetId="4" r:id="rId8"/>
    <sheet name="SrcPoprs" sheetId="5" r:id="rId9"/>
    <sheet name="SrcKA" sheetId="6" r:id="rId10"/>
  </sheets>
  <definedNames>
    <definedName name="_xlnm.Print_Titles" localSheetId="1">'Дефектная ведомость'!$18:$18</definedName>
    <definedName name="_xlnm.Print_Titles" localSheetId="3">'Расчет стоимости ресурсов'!$4:$7</definedName>
    <definedName name="_xlnm.Print_Titles" localSheetId="0">'Смета СН-2012 по гл. 1-5'!$30:$30</definedName>
    <definedName name="_xlnm.Print_Area" localSheetId="1">'Дефектная ведомость'!$A$1:$E$39</definedName>
    <definedName name="_xlnm.Print_Area" localSheetId="3">'Расчет стоимости ресурсов'!$A$1:$F$62</definedName>
    <definedName name="_xlnm.Print_Area" localSheetId="0">'Смета СН-2012 по гл. 1-5'!$A$1:$K$159</definedName>
  </definedNames>
  <calcPr calcId="152511"/>
</workbook>
</file>

<file path=xl/calcChain.xml><?xml version="1.0" encoding="utf-8"?>
<calcChain xmlns="http://schemas.openxmlformats.org/spreadsheetml/2006/main">
  <c r="A56" i="9" l="1"/>
  <c r="D49" i="9"/>
  <c r="E53" i="9"/>
  <c r="D53" i="9"/>
  <c r="E44" i="9"/>
  <c r="F40" i="9"/>
  <c r="A38" i="9"/>
  <c r="F18" i="9"/>
  <c r="E18" i="9"/>
  <c r="D21" i="9"/>
  <c r="F22" i="9"/>
  <c r="D25" i="9"/>
  <c r="E26" i="9"/>
  <c r="D26" i="9"/>
  <c r="E23" i="9"/>
  <c r="E27" i="9"/>
  <c r="D29" i="9"/>
  <c r="D17" i="9"/>
  <c r="E24" i="9"/>
  <c r="E31" i="9"/>
  <c r="D35" i="9"/>
  <c r="F36" i="9"/>
  <c r="E14" i="9"/>
  <c r="E11" i="9"/>
  <c r="A9" i="9"/>
  <c r="A8" i="9"/>
  <c r="A3" i="9"/>
  <c r="Z54" i="10"/>
  <c r="R54" i="10"/>
  <c r="Q54" i="10"/>
  <c r="T54" i="10" s="1"/>
  <c r="S54" i="10"/>
  <c r="P54" i="10"/>
  <c r="O54" i="10"/>
  <c r="M54" i="10"/>
  <c r="L54" i="10"/>
  <c r="N54" i="10"/>
  <c r="K54" i="10"/>
  <c r="J54" i="10"/>
  <c r="I54" i="10"/>
  <c r="H54" i="10"/>
  <c r="G54" i="10"/>
  <c r="F54" i="10"/>
  <c r="E54" i="10"/>
  <c r="Z53" i="10"/>
  <c r="Q53" i="10"/>
  <c r="T53" i="10" s="1"/>
  <c r="S53" i="10"/>
  <c r="P53" i="10"/>
  <c r="O53" i="10"/>
  <c r="M53" i="10"/>
  <c r="L53" i="10"/>
  <c r="N53" i="10"/>
  <c r="K53" i="10"/>
  <c r="J53" i="10"/>
  <c r="I53" i="10"/>
  <c r="D60" i="9" s="1"/>
  <c r="H53" i="10"/>
  <c r="G53" i="10"/>
  <c r="F53" i="10"/>
  <c r="E53" i="10"/>
  <c r="Z52" i="10"/>
  <c r="Q52" i="10"/>
  <c r="T52" i="10" s="1"/>
  <c r="S52" i="10"/>
  <c r="P52" i="10"/>
  <c r="L52" i="10"/>
  <c r="O52" i="10" s="1"/>
  <c r="N52" i="10"/>
  <c r="K52" i="10"/>
  <c r="E59" i="9" s="1"/>
  <c r="J52" i="10"/>
  <c r="I52" i="10"/>
  <c r="D59" i="9" s="1"/>
  <c r="H52" i="10"/>
  <c r="G52" i="10"/>
  <c r="F52" i="10"/>
  <c r="E52" i="10"/>
  <c r="Z51" i="10"/>
  <c r="T51" i="10"/>
  <c r="R51" i="10"/>
  <c r="Q51" i="10"/>
  <c r="S51" i="10"/>
  <c r="P51" i="10"/>
  <c r="O51" i="10"/>
  <c r="M51" i="10"/>
  <c r="F60" i="9" s="1"/>
  <c r="L51" i="10"/>
  <c r="N51" i="10"/>
  <c r="K51" i="10"/>
  <c r="E60" i="9" s="1"/>
  <c r="J51" i="10"/>
  <c r="I51" i="10"/>
  <c r="H51" i="10"/>
  <c r="G51" i="10"/>
  <c r="F51" i="10"/>
  <c r="E51" i="10"/>
  <c r="Z50" i="10"/>
  <c r="T50" i="10"/>
  <c r="Q50" i="10"/>
  <c r="R50" i="10" s="1"/>
  <c r="S50" i="10"/>
  <c r="P50" i="10"/>
  <c r="L50" i="10"/>
  <c r="O50" i="10" s="1"/>
  <c r="N50" i="10"/>
  <c r="K50" i="10"/>
  <c r="E58" i="9" s="1"/>
  <c r="J50" i="10"/>
  <c r="I50" i="10"/>
  <c r="D58" i="9" s="1"/>
  <c r="H50" i="10"/>
  <c r="G50" i="10"/>
  <c r="F50" i="10"/>
  <c r="E50" i="10"/>
  <c r="G49" i="10"/>
  <c r="A49" i="10"/>
  <c r="Z48" i="10"/>
  <c r="Q48" i="10"/>
  <c r="T48" i="10" s="1"/>
  <c r="S48" i="10"/>
  <c r="P48" i="10"/>
  <c r="O48" i="10"/>
  <c r="L48" i="10"/>
  <c r="M48" i="10" s="1"/>
  <c r="F41" i="9" s="1"/>
  <c r="N48" i="10"/>
  <c r="K48" i="10"/>
  <c r="E41" i="9" s="1"/>
  <c r="J48" i="10"/>
  <c r="I48" i="10"/>
  <c r="D41" i="9" s="1"/>
  <c r="H48" i="10"/>
  <c r="G48" i="10"/>
  <c r="F48" i="10"/>
  <c r="E48" i="10"/>
  <c r="Z47" i="10"/>
  <c r="T47" i="10"/>
  <c r="R47" i="10"/>
  <c r="Q47" i="10"/>
  <c r="S47" i="10"/>
  <c r="P47" i="10"/>
  <c r="O47" i="10"/>
  <c r="M47" i="10"/>
  <c r="F43" i="9" s="1"/>
  <c r="L47" i="10"/>
  <c r="N47" i="10"/>
  <c r="K47" i="10"/>
  <c r="E43" i="9" s="1"/>
  <c r="J47" i="10"/>
  <c r="I47" i="10"/>
  <c r="D43" i="9" s="1"/>
  <c r="H47" i="10"/>
  <c r="G47" i="10"/>
  <c r="F47" i="10"/>
  <c r="E47" i="10"/>
  <c r="Z46" i="10"/>
  <c r="Q46" i="10"/>
  <c r="T46" i="10" s="1"/>
  <c r="S46" i="10"/>
  <c r="P46" i="10"/>
  <c r="O46" i="10"/>
  <c r="L46" i="10"/>
  <c r="M46" i="10" s="1"/>
  <c r="F44" i="9" s="1"/>
  <c r="N46" i="10"/>
  <c r="K46" i="10"/>
  <c r="J46" i="10"/>
  <c r="I46" i="10"/>
  <c r="D44" i="9" s="1"/>
  <c r="H46" i="10"/>
  <c r="G46" i="10"/>
  <c r="F46" i="10"/>
  <c r="E46" i="10"/>
  <c r="Z45" i="10"/>
  <c r="Q45" i="10"/>
  <c r="R45" i="10" s="1"/>
  <c r="S45" i="10"/>
  <c r="P45" i="10"/>
  <c r="L45" i="10"/>
  <c r="O45" i="10" s="1"/>
  <c r="N45" i="10"/>
  <c r="K45" i="10"/>
  <c r="E45" i="9" s="1"/>
  <c r="J45" i="10"/>
  <c r="I45" i="10"/>
  <c r="D45" i="9" s="1"/>
  <c r="H45" i="10"/>
  <c r="G45" i="10"/>
  <c r="F45" i="10"/>
  <c r="E45" i="10"/>
  <c r="Z44" i="10"/>
  <c r="T44" i="10"/>
  <c r="R44" i="10"/>
  <c r="Q44" i="10"/>
  <c r="S44" i="10"/>
  <c r="P44" i="10"/>
  <c r="O44" i="10"/>
  <c r="M44" i="10"/>
  <c r="F49" i="9" s="1"/>
  <c r="L44" i="10"/>
  <c r="N44" i="10"/>
  <c r="K44" i="10"/>
  <c r="E49" i="9" s="1"/>
  <c r="J44" i="10"/>
  <c r="I44" i="10"/>
  <c r="H44" i="10"/>
  <c r="G44" i="10"/>
  <c r="F44" i="10"/>
  <c r="E44" i="10"/>
  <c r="Z43" i="10"/>
  <c r="T43" i="10"/>
  <c r="Q43" i="10"/>
  <c r="R43" i="10" s="1"/>
  <c r="S43" i="10"/>
  <c r="P43" i="10"/>
  <c r="L43" i="10"/>
  <c r="O43" i="10" s="1"/>
  <c r="N43" i="10"/>
  <c r="K43" i="10"/>
  <c r="E51" i="9" s="1"/>
  <c r="J43" i="10"/>
  <c r="I43" i="10"/>
  <c r="D51" i="9" s="1"/>
  <c r="H43" i="10"/>
  <c r="G43" i="10"/>
  <c r="F43" i="10"/>
  <c r="E43" i="10"/>
  <c r="Z42" i="10"/>
  <c r="T42" i="10"/>
  <c r="R42" i="10"/>
  <c r="Q42" i="10"/>
  <c r="S42" i="10"/>
  <c r="P42" i="10"/>
  <c r="L42" i="10"/>
  <c r="M42" i="10" s="1"/>
  <c r="F52" i="9" s="1"/>
  <c r="N42" i="10"/>
  <c r="K42" i="10"/>
  <c r="E52" i="9" s="1"/>
  <c r="J42" i="10"/>
  <c r="I42" i="10"/>
  <c r="D52" i="9" s="1"/>
  <c r="H42" i="10"/>
  <c r="G42" i="10"/>
  <c r="F42" i="10"/>
  <c r="E42" i="10"/>
  <c r="Z41" i="10"/>
  <c r="T41" i="10"/>
  <c r="Q41" i="10"/>
  <c r="R41" i="10" s="1"/>
  <c r="S41" i="10"/>
  <c r="P41" i="10"/>
  <c r="O41" i="10"/>
  <c r="M41" i="10"/>
  <c r="F53" i="9" s="1"/>
  <c r="L41" i="10"/>
  <c r="N41" i="10"/>
  <c r="K41" i="10"/>
  <c r="J41" i="10"/>
  <c r="I41" i="10"/>
  <c r="H41" i="10"/>
  <c r="G41" i="10"/>
  <c r="F41" i="10"/>
  <c r="E41" i="10"/>
  <c r="Z40" i="10"/>
  <c r="Q40" i="10"/>
  <c r="T40" i="10" s="1"/>
  <c r="S40" i="10"/>
  <c r="P40" i="10"/>
  <c r="O40" i="10"/>
  <c r="L40" i="10"/>
  <c r="M40" i="10" s="1"/>
  <c r="N40" i="10"/>
  <c r="K40" i="10"/>
  <c r="J40" i="10"/>
  <c r="I40" i="10"/>
  <c r="H40" i="10"/>
  <c r="G40" i="10"/>
  <c r="F40" i="10"/>
  <c r="E40" i="10"/>
  <c r="Z39" i="10"/>
  <c r="T39" i="10"/>
  <c r="R39" i="10"/>
  <c r="Q39" i="10"/>
  <c r="S39" i="10"/>
  <c r="P39" i="10"/>
  <c r="O39" i="10"/>
  <c r="M39" i="10"/>
  <c r="F42" i="9" s="1"/>
  <c r="L39" i="10"/>
  <c r="N39" i="10"/>
  <c r="K39" i="10"/>
  <c r="E42" i="9" s="1"/>
  <c r="J39" i="10"/>
  <c r="I39" i="10"/>
  <c r="D42" i="9" s="1"/>
  <c r="H39" i="10"/>
  <c r="G39" i="10"/>
  <c r="F39" i="10"/>
  <c r="E39" i="10"/>
  <c r="Z38" i="10"/>
  <c r="Q38" i="10"/>
  <c r="T38" i="10" s="1"/>
  <c r="S38" i="10"/>
  <c r="P38" i="10"/>
  <c r="O38" i="10"/>
  <c r="L38" i="10"/>
  <c r="M38" i="10" s="1"/>
  <c r="F50" i="9" s="1"/>
  <c r="N38" i="10"/>
  <c r="K38" i="10"/>
  <c r="E50" i="9" s="1"/>
  <c r="J38" i="10"/>
  <c r="I38" i="10"/>
  <c r="D50" i="9" s="1"/>
  <c r="H38" i="10"/>
  <c r="G38" i="10"/>
  <c r="F38" i="10"/>
  <c r="E38" i="10"/>
  <c r="Z37" i="10"/>
  <c r="Q37" i="10"/>
  <c r="T37" i="10" s="1"/>
  <c r="S37" i="10"/>
  <c r="P37" i="10"/>
  <c r="L37" i="10"/>
  <c r="O37" i="10" s="1"/>
  <c r="N37" i="10"/>
  <c r="K37" i="10"/>
  <c r="E54" i="9" s="1"/>
  <c r="J37" i="10"/>
  <c r="I37" i="10"/>
  <c r="D54" i="9" s="1"/>
  <c r="H37" i="10"/>
  <c r="G37" i="10"/>
  <c r="F37" i="10"/>
  <c r="E37" i="10"/>
  <c r="Z36" i="10"/>
  <c r="T36" i="10"/>
  <c r="R36" i="10"/>
  <c r="Q36" i="10"/>
  <c r="S36" i="10"/>
  <c r="P36" i="10"/>
  <c r="O36" i="10"/>
  <c r="M36" i="10"/>
  <c r="L36" i="10"/>
  <c r="N36" i="10"/>
  <c r="K36" i="10"/>
  <c r="E40" i="9" s="1"/>
  <c r="J36" i="10"/>
  <c r="I36" i="10"/>
  <c r="D40" i="9" s="1"/>
  <c r="H36" i="10"/>
  <c r="G36" i="10"/>
  <c r="F36" i="10"/>
  <c r="E36" i="10"/>
  <c r="Z35" i="10"/>
  <c r="T35" i="10"/>
  <c r="Q35" i="10"/>
  <c r="R35" i="10" s="1"/>
  <c r="S35" i="10"/>
  <c r="P35" i="10"/>
  <c r="L35" i="10"/>
  <c r="O35" i="10" s="1"/>
  <c r="N35" i="10"/>
  <c r="K35" i="10"/>
  <c r="E46" i="9" s="1"/>
  <c r="J35" i="10"/>
  <c r="I35" i="10"/>
  <c r="D46" i="9" s="1"/>
  <c r="H35" i="10"/>
  <c r="G35" i="10"/>
  <c r="F35" i="10"/>
  <c r="E35" i="10"/>
  <c r="G34" i="10"/>
  <c r="A34" i="10"/>
  <c r="Z33" i="10"/>
  <c r="Q33" i="10"/>
  <c r="T33" i="10" s="1"/>
  <c r="S33" i="10"/>
  <c r="P33" i="10"/>
  <c r="O33" i="10"/>
  <c r="L33" i="10"/>
  <c r="M33" i="10" s="1"/>
  <c r="F14" i="9" s="1"/>
  <c r="N33" i="10"/>
  <c r="K33" i="10"/>
  <c r="J33" i="10"/>
  <c r="I33" i="10"/>
  <c r="D14" i="9" s="1"/>
  <c r="H33" i="10"/>
  <c r="G33" i="10"/>
  <c r="F33" i="10"/>
  <c r="E33" i="10"/>
  <c r="Z32" i="10"/>
  <c r="T32" i="10"/>
  <c r="R32" i="10"/>
  <c r="Q32" i="10"/>
  <c r="S32" i="10"/>
  <c r="P32" i="10"/>
  <c r="O32" i="10"/>
  <c r="M32" i="10"/>
  <c r="L32" i="10"/>
  <c r="N32" i="10"/>
  <c r="K32" i="10"/>
  <c r="J32" i="10"/>
  <c r="I32" i="10"/>
  <c r="D18" i="9" s="1"/>
  <c r="H32" i="10"/>
  <c r="G32" i="10"/>
  <c r="F32" i="10"/>
  <c r="E32" i="10"/>
  <c r="Z31" i="10"/>
  <c r="Q31" i="10"/>
  <c r="T31" i="10" s="1"/>
  <c r="S31" i="10"/>
  <c r="P31" i="10"/>
  <c r="O31" i="10"/>
  <c r="L31" i="10"/>
  <c r="M31" i="10" s="1"/>
  <c r="F20" i="9" s="1"/>
  <c r="N31" i="10"/>
  <c r="K31" i="10"/>
  <c r="E20" i="9" s="1"/>
  <c r="J31" i="10"/>
  <c r="I31" i="10"/>
  <c r="D20" i="9" s="1"/>
  <c r="H31" i="10"/>
  <c r="G31" i="10"/>
  <c r="F31" i="10"/>
  <c r="E31" i="10"/>
  <c r="Z30" i="10"/>
  <c r="Q30" i="10"/>
  <c r="R30" i="10" s="1"/>
  <c r="S30" i="10"/>
  <c r="P30" i="10"/>
  <c r="L30" i="10"/>
  <c r="O30" i="10" s="1"/>
  <c r="N30" i="10"/>
  <c r="K30" i="10"/>
  <c r="E21" i="9" s="1"/>
  <c r="J30" i="10"/>
  <c r="I30" i="10"/>
  <c r="H30" i="10"/>
  <c r="G30" i="10"/>
  <c r="F30" i="10"/>
  <c r="E30" i="10"/>
  <c r="Z29" i="10"/>
  <c r="T29" i="10"/>
  <c r="R29" i="10"/>
  <c r="Q29" i="10"/>
  <c r="S29" i="10"/>
  <c r="P29" i="10"/>
  <c r="O29" i="10"/>
  <c r="M29" i="10"/>
  <c r="L29" i="10"/>
  <c r="N29" i="10"/>
  <c r="K29" i="10"/>
  <c r="E22" i="9" s="1"/>
  <c r="J29" i="10"/>
  <c r="I29" i="10"/>
  <c r="D22" i="9" s="1"/>
  <c r="H29" i="10"/>
  <c r="G29" i="10"/>
  <c r="F29" i="10"/>
  <c r="E29" i="10"/>
  <c r="Z28" i="10"/>
  <c r="T28" i="10"/>
  <c r="Q28" i="10"/>
  <c r="R28" i="10" s="1"/>
  <c r="S28" i="10"/>
  <c r="P28" i="10"/>
  <c r="L28" i="10"/>
  <c r="O28" i="10" s="1"/>
  <c r="N28" i="10"/>
  <c r="K28" i="10"/>
  <c r="E25" i="9" s="1"/>
  <c r="J28" i="10"/>
  <c r="I28" i="10"/>
  <c r="H28" i="10"/>
  <c r="G28" i="10"/>
  <c r="F28" i="10"/>
  <c r="E28" i="10"/>
  <c r="Z27" i="10"/>
  <c r="T27" i="10"/>
  <c r="R27" i="10"/>
  <c r="Q27" i="10"/>
  <c r="S27" i="10"/>
  <c r="P27" i="10"/>
  <c r="L27" i="10"/>
  <c r="M27" i="10" s="1"/>
  <c r="F26" i="9" s="1"/>
  <c r="N27" i="10"/>
  <c r="K27" i="10"/>
  <c r="J27" i="10"/>
  <c r="I27" i="10"/>
  <c r="H27" i="10"/>
  <c r="G27" i="10"/>
  <c r="F27" i="10"/>
  <c r="E27" i="10"/>
  <c r="Z26" i="10"/>
  <c r="T26" i="10"/>
  <c r="Q26" i="10"/>
  <c r="R26" i="10" s="1"/>
  <c r="S26" i="10"/>
  <c r="P26" i="10"/>
  <c r="O26" i="10"/>
  <c r="M26" i="10"/>
  <c r="L26" i="10"/>
  <c r="N26" i="10"/>
  <c r="K26" i="10"/>
  <c r="J26" i="10"/>
  <c r="I26" i="10"/>
  <c r="H26" i="10"/>
  <c r="G26" i="10"/>
  <c r="F26" i="10"/>
  <c r="E26" i="10"/>
  <c r="Z25" i="10"/>
  <c r="Q25" i="10"/>
  <c r="T25" i="10" s="1"/>
  <c r="S25" i="10"/>
  <c r="P25" i="10"/>
  <c r="O25" i="10"/>
  <c r="L25" i="10"/>
  <c r="M25" i="10" s="1"/>
  <c r="N25" i="10"/>
  <c r="K25" i="10"/>
  <c r="J25" i="10"/>
  <c r="I25" i="10"/>
  <c r="H25" i="10"/>
  <c r="G25" i="10"/>
  <c r="F25" i="10"/>
  <c r="E25" i="10"/>
  <c r="Z24" i="10"/>
  <c r="T24" i="10"/>
  <c r="R24" i="10"/>
  <c r="Q24" i="10"/>
  <c r="S24" i="10"/>
  <c r="P24" i="10"/>
  <c r="O24" i="10"/>
  <c r="M24" i="10"/>
  <c r="F32" i="9" s="1"/>
  <c r="L24" i="10"/>
  <c r="N24" i="10"/>
  <c r="K24" i="10"/>
  <c r="E32" i="9" s="1"/>
  <c r="J24" i="10"/>
  <c r="I24" i="10"/>
  <c r="D32" i="9" s="1"/>
  <c r="H24" i="10"/>
  <c r="G24" i="10"/>
  <c r="F24" i="10"/>
  <c r="E24" i="10"/>
  <c r="Z23" i="10"/>
  <c r="Q23" i="10"/>
  <c r="T23" i="10" s="1"/>
  <c r="S23" i="10"/>
  <c r="P23" i="10"/>
  <c r="O23" i="10"/>
  <c r="L23" i="10"/>
  <c r="M23" i="10" s="1"/>
  <c r="F23" i="9" s="1"/>
  <c r="N23" i="10"/>
  <c r="K23" i="10"/>
  <c r="J23" i="10"/>
  <c r="I23" i="10"/>
  <c r="D23" i="9" s="1"/>
  <c r="H23" i="10"/>
  <c r="G23" i="10"/>
  <c r="F23" i="10"/>
  <c r="E23" i="10"/>
  <c r="Z22" i="10"/>
  <c r="Q22" i="10"/>
  <c r="R22" i="10" s="1"/>
  <c r="S22" i="10"/>
  <c r="P22" i="10"/>
  <c r="L22" i="10"/>
  <c r="O22" i="10" s="1"/>
  <c r="N22" i="10"/>
  <c r="K22" i="10"/>
  <c r="J22" i="10"/>
  <c r="I22" i="10"/>
  <c r="D27" i="9" s="1"/>
  <c r="H22" i="10"/>
  <c r="G22" i="10"/>
  <c r="F22" i="10"/>
  <c r="E22" i="10"/>
  <c r="Z21" i="10"/>
  <c r="T21" i="10"/>
  <c r="R21" i="10"/>
  <c r="Q21" i="10"/>
  <c r="S21" i="10"/>
  <c r="P21" i="10"/>
  <c r="O21" i="10"/>
  <c r="M21" i="10"/>
  <c r="F28" i="9" s="1"/>
  <c r="L21" i="10"/>
  <c r="N21" i="10"/>
  <c r="K21" i="10"/>
  <c r="E28" i="9" s="1"/>
  <c r="J21" i="10"/>
  <c r="I21" i="10"/>
  <c r="D28" i="9" s="1"/>
  <c r="H21" i="10"/>
  <c r="G21" i="10"/>
  <c r="F21" i="10"/>
  <c r="E21" i="10"/>
  <c r="Z20" i="10"/>
  <c r="T20" i="10"/>
  <c r="Q20" i="10"/>
  <c r="R20" i="10" s="1"/>
  <c r="S20" i="10"/>
  <c r="P20" i="10"/>
  <c r="L20" i="10"/>
  <c r="O20" i="10" s="1"/>
  <c r="N20" i="10"/>
  <c r="K20" i="10"/>
  <c r="E29" i="9" s="1"/>
  <c r="J20" i="10"/>
  <c r="I20" i="10"/>
  <c r="H20" i="10"/>
  <c r="G20" i="10"/>
  <c r="F20" i="10"/>
  <c r="E20" i="10"/>
  <c r="Z19" i="10"/>
  <c r="T19" i="10"/>
  <c r="R19" i="10"/>
  <c r="Q19" i="10"/>
  <c r="S19" i="10"/>
  <c r="P19" i="10"/>
  <c r="L19" i="10"/>
  <c r="O19" i="10" s="1"/>
  <c r="N19" i="10"/>
  <c r="K19" i="10"/>
  <c r="E33" i="9" s="1"/>
  <c r="J19" i="10"/>
  <c r="I19" i="10"/>
  <c r="D33" i="9" s="1"/>
  <c r="H19" i="10"/>
  <c r="G19" i="10"/>
  <c r="F19" i="10"/>
  <c r="E19" i="10"/>
  <c r="Z18" i="10"/>
  <c r="T18" i="10"/>
  <c r="Q18" i="10"/>
  <c r="R18" i="10" s="1"/>
  <c r="S18" i="10"/>
  <c r="P18" i="10"/>
  <c r="O18" i="10"/>
  <c r="M18" i="10"/>
  <c r="F30" i="9" s="1"/>
  <c r="L18" i="10"/>
  <c r="N18" i="10"/>
  <c r="K18" i="10"/>
  <c r="E30" i="9" s="1"/>
  <c r="J18" i="10"/>
  <c r="I18" i="10"/>
  <c r="D30" i="9" s="1"/>
  <c r="H18" i="10"/>
  <c r="G18" i="10"/>
  <c r="F18" i="10"/>
  <c r="E18" i="10"/>
  <c r="Z17" i="10"/>
  <c r="Q17" i="10"/>
  <c r="T17" i="10" s="1"/>
  <c r="S17" i="10"/>
  <c r="P17" i="10"/>
  <c r="O17" i="10"/>
  <c r="L17" i="10"/>
  <c r="M17" i="10" s="1"/>
  <c r="F11" i="9" s="1"/>
  <c r="N17" i="10"/>
  <c r="K17" i="10"/>
  <c r="J17" i="10"/>
  <c r="I17" i="10"/>
  <c r="D11" i="9" s="1"/>
  <c r="H17" i="10"/>
  <c r="G17" i="10"/>
  <c r="F17" i="10"/>
  <c r="E17" i="10"/>
  <c r="Z16" i="10"/>
  <c r="T16" i="10"/>
  <c r="R16" i="10"/>
  <c r="Q16" i="10"/>
  <c r="S16" i="10"/>
  <c r="P16" i="10"/>
  <c r="O16" i="10"/>
  <c r="M16" i="10"/>
  <c r="F12" i="9" s="1"/>
  <c r="L16" i="10"/>
  <c r="N16" i="10"/>
  <c r="K16" i="10"/>
  <c r="E12" i="9" s="1"/>
  <c r="J16" i="10"/>
  <c r="I16" i="10"/>
  <c r="D12" i="9" s="1"/>
  <c r="H16" i="10"/>
  <c r="G16" i="10"/>
  <c r="F16" i="10"/>
  <c r="E16" i="10"/>
  <c r="Z15" i="10"/>
  <c r="Q15" i="10"/>
  <c r="T15" i="10" s="1"/>
  <c r="S15" i="10"/>
  <c r="P15" i="10"/>
  <c r="O15" i="10"/>
  <c r="L15" i="10"/>
  <c r="M15" i="10" s="1"/>
  <c r="F13" i="9" s="1"/>
  <c r="N15" i="10"/>
  <c r="K15" i="10"/>
  <c r="E13" i="9" s="1"/>
  <c r="J15" i="10"/>
  <c r="I15" i="10"/>
  <c r="D13" i="9" s="1"/>
  <c r="H15" i="10"/>
  <c r="G15" i="10"/>
  <c r="F15" i="10"/>
  <c r="E15" i="10"/>
  <c r="Z14" i="10"/>
  <c r="Q14" i="10"/>
  <c r="R14" i="10" s="1"/>
  <c r="S14" i="10"/>
  <c r="P14" i="10"/>
  <c r="L14" i="10"/>
  <c r="O14" i="10" s="1"/>
  <c r="N14" i="10"/>
  <c r="K14" i="10"/>
  <c r="E17" i="9" s="1"/>
  <c r="J14" i="10"/>
  <c r="I14" i="10"/>
  <c r="H14" i="10"/>
  <c r="G14" i="10"/>
  <c r="F14" i="10"/>
  <c r="E14" i="10"/>
  <c r="Z13" i="10"/>
  <c r="T13" i="10"/>
  <c r="R13" i="10"/>
  <c r="Q13" i="10"/>
  <c r="S13" i="10"/>
  <c r="P13" i="10"/>
  <c r="O13" i="10"/>
  <c r="M13" i="10"/>
  <c r="F19" i="9" s="1"/>
  <c r="L13" i="10"/>
  <c r="N13" i="10"/>
  <c r="K13" i="10"/>
  <c r="E19" i="9" s="1"/>
  <c r="J13" i="10"/>
  <c r="I13" i="10"/>
  <c r="D19" i="9" s="1"/>
  <c r="H13" i="10"/>
  <c r="G13" i="10"/>
  <c r="F13" i="10"/>
  <c r="E13" i="10"/>
  <c r="Z12" i="10"/>
  <c r="T12" i="10"/>
  <c r="Q12" i="10"/>
  <c r="R12" i="10" s="1"/>
  <c r="S12" i="10"/>
  <c r="P12" i="10"/>
  <c r="L12" i="10"/>
  <c r="O12" i="10" s="1"/>
  <c r="N12" i="10"/>
  <c r="K12" i="10"/>
  <c r="J12" i="10"/>
  <c r="I12" i="10"/>
  <c r="D24" i="9" s="1"/>
  <c r="H12" i="10"/>
  <c r="G12" i="10"/>
  <c r="F12" i="10"/>
  <c r="E12" i="10"/>
  <c r="Z11" i="10"/>
  <c r="T11" i="10"/>
  <c r="R11" i="10"/>
  <c r="Q11" i="10"/>
  <c r="S11" i="10"/>
  <c r="P11" i="10"/>
  <c r="L11" i="10"/>
  <c r="M11" i="10" s="1"/>
  <c r="F31" i="9" s="1"/>
  <c r="N11" i="10"/>
  <c r="K11" i="10"/>
  <c r="J11" i="10"/>
  <c r="I11" i="10"/>
  <c r="D31" i="9" s="1"/>
  <c r="H11" i="10"/>
  <c r="G11" i="10"/>
  <c r="F11" i="10"/>
  <c r="E11" i="10"/>
  <c r="Z10" i="10"/>
  <c r="T10" i="10"/>
  <c r="Q10" i="10"/>
  <c r="R10" i="10" s="1"/>
  <c r="S10" i="10"/>
  <c r="P10" i="10"/>
  <c r="O10" i="10"/>
  <c r="M10" i="10"/>
  <c r="F34" i="9" s="1"/>
  <c r="L10" i="10"/>
  <c r="N10" i="10"/>
  <c r="K10" i="10"/>
  <c r="E34" i="9" s="1"/>
  <c r="J10" i="10"/>
  <c r="I10" i="10"/>
  <c r="D34" i="9" s="1"/>
  <c r="H10" i="10"/>
  <c r="G10" i="10"/>
  <c r="F10" i="10"/>
  <c r="E10" i="10"/>
  <c r="Z9" i="10"/>
  <c r="Q9" i="10"/>
  <c r="T9" i="10" s="1"/>
  <c r="S9" i="10"/>
  <c r="P9" i="10"/>
  <c r="O9" i="10"/>
  <c r="L9" i="10"/>
  <c r="M9" i="10" s="1"/>
  <c r="F35" i="9" s="1"/>
  <c r="N9" i="10"/>
  <c r="K9" i="10"/>
  <c r="E35" i="9" s="1"/>
  <c r="J9" i="10"/>
  <c r="I9" i="10"/>
  <c r="H9" i="10"/>
  <c r="G9" i="10"/>
  <c r="F9" i="10"/>
  <c r="E9" i="10"/>
  <c r="Z8" i="10"/>
  <c r="T8" i="10"/>
  <c r="R8" i="10"/>
  <c r="Q8" i="10"/>
  <c r="S8" i="10"/>
  <c r="P8" i="10"/>
  <c r="O8" i="10"/>
  <c r="M8" i="10"/>
  <c r="L8" i="10"/>
  <c r="N8" i="10"/>
  <c r="K8" i="10"/>
  <c r="E36" i="9" s="1"/>
  <c r="J8" i="10"/>
  <c r="I8" i="10"/>
  <c r="D36" i="9" s="1"/>
  <c r="H8" i="10"/>
  <c r="G8" i="10"/>
  <c r="F8" i="10"/>
  <c r="E8" i="10"/>
  <c r="G7" i="10"/>
  <c r="A7" i="10"/>
  <c r="G6" i="10"/>
  <c r="A6" i="10"/>
  <c r="D34" i="8"/>
  <c r="C34" i="8"/>
  <c r="B34" i="8"/>
  <c r="D33" i="8"/>
  <c r="C33" i="8"/>
  <c r="B33" i="8"/>
  <c r="D32" i="8"/>
  <c r="C32" i="8"/>
  <c r="B32" i="8"/>
  <c r="A31" i="8"/>
  <c r="D30" i="8"/>
  <c r="C30" i="8"/>
  <c r="B30" i="8"/>
  <c r="D29" i="8"/>
  <c r="C29" i="8"/>
  <c r="B29" i="8"/>
  <c r="D28" i="8"/>
  <c r="C28" i="8"/>
  <c r="B28" i="8"/>
  <c r="D27" i="8"/>
  <c r="C27" i="8"/>
  <c r="B27" i="8"/>
  <c r="D26" i="8"/>
  <c r="C26" i="8"/>
  <c r="B26" i="8"/>
  <c r="A25" i="8"/>
  <c r="D24" i="8"/>
  <c r="C24" i="8"/>
  <c r="B24" i="8"/>
  <c r="D23" i="8"/>
  <c r="C23" i="8"/>
  <c r="B23" i="8"/>
  <c r="D22" i="8"/>
  <c r="C22" i="8"/>
  <c r="B22" i="8"/>
  <c r="D21" i="8"/>
  <c r="C21" i="8"/>
  <c r="B21" i="8"/>
  <c r="A20" i="8"/>
  <c r="A19" i="8"/>
  <c r="AD12" i="8"/>
  <c r="A12" i="8"/>
  <c r="A11" i="8"/>
  <c r="A1" i="8"/>
  <c r="H157" i="7"/>
  <c r="H154" i="7"/>
  <c r="C157" i="7"/>
  <c r="C154" i="7"/>
  <c r="I151" i="7"/>
  <c r="C151" i="7"/>
  <c r="I150" i="7"/>
  <c r="C150" i="7"/>
  <c r="I25" i="7"/>
  <c r="I24" i="7"/>
  <c r="I23" i="7"/>
  <c r="I22" i="7"/>
  <c r="I21" i="7"/>
  <c r="I20" i="7"/>
  <c r="AF149" i="7"/>
  <c r="A149" i="7"/>
  <c r="A146" i="7"/>
  <c r="A143" i="7"/>
  <c r="J140" i="7"/>
  <c r="I140" i="7"/>
  <c r="H140" i="7"/>
  <c r="G140" i="7"/>
  <c r="F140" i="7"/>
  <c r="J139" i="7"/>
  <c r="I141" i="7" s="1"/>
  <c r="I139" i="7"/>
  <c r="H139" i="7"/>
  <c r="G139" i="7"/>
  <c r="F139" i="7"/>
  <c r="V138" i="7"/>
  <c r="T138" i="7"/>
  <c r="R138" i="7"/>
  <c r="U138" i="7"/>
  <c r="S138" i="7"/>
  <c r="Q138" i="7"/>
  <c r="E138" i="7"/>
  <c r="D138" i="7"/>
  <c r="C138" i="7"/>
  <c r="B138" i="7"/>
  <c r="J136" i="7"/>
  <c r="I136" i="7"/>
  <c r="H136" i="7"/>
  <c r="G136" i="7"/>
  <c r="F136" i="7"/>
  <c r="J135" i="7"/>
  <c r="I137" i="7" s="1"/>
  <c r="I135" i="7"/>
  <c r="H135" i="7"/>
  <c r="G135" i="7"/>
  <c r="F135" i="7"/>
  <c r="V134" i="7"/>
  <c r="T134" i="7"/>
  <c r="R134" i="7"/>
  <c r="U134" i="7"/>
  <c r="S134" i="7"/>
  <c r="Q134" i="7"/>
  <c r="E134" i="7"/>
  <c r="D134" i="7"/>
  <c r="C134" i="7"/>
  <c r="B134" i="7"/>
  <c r="E132" i="7"/>
  <c r="J131" i="7"/>
  <c r="I131" i="7"/>
  <c r="H131" i="7"/>
  <c r="G131" i="7"/>
  <c r="F131" i="7"/>
  <c r="J130" i="7"/>
  <c r="I130" i="7"/>
  <c r="H130" i="7"/>
  <c r="G130" i="7"/>
  <c r="F130" i="7"/>
  <c r="V129" i="7"/>
  <c r="J132" i="7" s="1"/>
  <c r="T129" i="7"/>
  <c r="R129" i="7"/>
  <c r="U129" i="7"/>
  <c r="S129" i="7"/>
  <c r="Q129" i="7"/>
  <c r="E129" i="7"/>
  <c r="D129" i="7"/>
  <c r="C129" i="7"/>
  <c r="B129" i="7"/>
  <c r="A128" i="7"/>
  <c r="A125" i="7"/>
  <c r="K122" i="7"/>
  <c r="H122" i="7"/>
  <c r="G122" i="7"/>
  <c r="E122" i="7"/>
  <c r="J121" i="7"/>
  <c r="E121" i="7"/>
  <c r="E120" i="7"/>
  <c r="J119" i="7"/>
  <c r="E119" i="7"/>
  <c r="J118" i="7"/>
  <c r="I118" i="7"/>
  <c r="H118" i="7"/>
  <c r="G118" i="7"/>
  <c r="F118" i="7"/>
  <c r="J117" i="7"/>
  <c r="I117" i="7"/>
  <c r="H117" i="7"/>
  <c r="G117" i="7"/>
  <c r="F117" i="7"/>
  <c r="J116" i="7"/>
  <c r="I116" i="7"/>
  <c r="H116" i="7"/>
  <c r="G116" i="7"/>
  <c r="F116" i="7"/>
  <c r="J115" i="7"/>
  <c r="I123" i="7" s="1"/>
  <c r="I115" i="7"/>
  <c r="H115" i="7"/>
  <c r="G115" i="7"/>
  <c r="F115" i="7"/>
  <c r="C114" i="7"/>
  <c r="V113" i="7"/>
  <c r="T113" i="7"/>
  <c r="J120" i="7" s="1"/>
  <c r="R113" i="7"/>
  <c r="U113" i="7"/>
  <c r="S113" i="7"/>
  <c r="Q113" i="7"/>
  <c r="E113" i="7"/>
  <c r="D113" i="7"/>
  <c r="C113" i="7"/>
  <c r="B113" i="7"/>
  <c r="K111" i="7"/>
  <c r="H111" i="7"/>
  <c r="G111" i="7"/>
  <c r="E111" i="7"/>
  <c r="E110" i="7"/>
  <c r="J109" i="7"/>
  <c r="E109" i="7"/>
  <c r="J108" i="7"/>
  <c r="I108" i="7"/>
  <c r="H108" i="7"/>
  <c r="G108" i="7"/>
  <c r="F108" i="7"/>
  <c r="J107" i="7"/>
  <c r="I107" i="7"/>
  <c r="H107" i="7"/>
  <c r="G107" i="7"/>
  <c r="F107" i="7"/>
  <c r="C106" i="7"/>
  <c r="V105" i="7"/>
  <c r="T105" i="7"/>
  <c r="J110" i="7" s="1"/>
  <c r="I112" i="7" s="1"/>
  <c r="R105" i="7"/>
  <c r="U105" i="7"/>
  <c r="S105" i="7"/>
  <c r="Q105" i="7"/>
  <c r="E105" i="7"/>
  <c r="D105" i="7"/>
  <c r="C105" i="7"/>
  <c r="B105" i="7"/>
  <c r="K103" i="7"/>
  <c r="H103" i="7"/>
  <c r="G103" i="7"/>
  <c r="E103" i="7"/>
  <c r="E102" i="7"/>
  <c r="J101" i="7"/>
  <c r="E101" i="7"/>
  <c r="J100" i="7"/>
  <c r="E100" i="7"/>
  <c r="J99" i="7"/>
  <c r="I99" i="7"/>
  <c r="H99" i="7"/>
  <c r="G99" i="7"/>
  <c r="F99" i="7"/>
  <c r="J98" i="7"/>
  <c r="I98" i="7"/>
  <c r="H98" i="7"/>
  <c r="G98" i="7"/>
  <c r="F98" i="7"/>
  <c r="J97" i="7"/>
  <c r="I97" i="7"/>
  <c r="H97" i="7"/>
  <c r="G97" i="7"/>
  <c r="F97" i="7"/>
  <c r="J96" i="7"/>
  <c r="I96" i="7"/>
  <c r="H96" i="7"/>
  <c r="G96" i="7"/>
  <c r="F96" i="7"/>
  <c r="C95" i="7"/>
  <c r="V94" i="7"/>
  <c r="J102" i="7" s="1"/>
  <c r="I104" i="7" s="1"/>
  <c r="T94" i="7"/>
  <c r="R94" i="7"/>
  <c r="U94" i="7"/>
  <c r="S94" i="7"/>
  <c r="Q94" i="7"/>
  <c r="E94" i="7"/>
  <c r="D94" i="7"/>
  <c r="C94" i="7"/>
  <c r="B94" i="7"/>
  <c r="K92" i="7"/>
  <c r="H92" i="7"/>
  <c r="G92" i="7"/>
  <c r="E92" i="7"/>
  <c r="E91" i="7"/>
  <c r="E90" i="7"/>
  <c r="E89" i="7"/>
  <c r="J88" i="7"/>
  <c r="I88" i="7"/>
  <c r="H88" i="7"/>
  <c r="G88" i="7"/>
  <c r="F88" i="7"/>
  <c r="J87" i="7"/>
  <c r="I87" i="7"/>
  <c r="H87" i="7"/>
  <c r="G87" i="7"/>
  <c r="F87" i="7"/>
  <c r="J86" i="7"/>
  <c r="I86" i="7"/>
  <c r="H86" i="7"/>
  <c r="G86" i="7"/>
  <c r="F86" i="7"/>
  <c r="C85" i="7"/>
  <c r="V84" i="7"/>
  <c r="J91" i="7" s="1"/>
  <c r="T84" i="7"/>
  <c r="J90" i="7" s="1"/>
  <c r="R84" i="7"/>
  <c r="J89" i="7" s="1"/>
  <c r="U84" i="7"/>
  <c r="S84" i="7"/>
  <c r="Q84" i="7"/>
  <c r="E84" i="7"/>
  <c r="D84" i="7"/>
  <c r="C84" i="7"/>
  <c r="B84" i="7"/>
  <c r="K82" i="7"/>
  <c r="H82" i="7"/>
  <c r="G82" i="7"/>
  <c r="E82" i="7"/>
  <c r="J81" i="7"/>
  <c r="E81" i="7"/>
  <c r="E80" i="7"/>
  <c r="J79" i="7"/>
  <c r="I79" i="7"/>
  <c r="H79" i="7"/>
  <c r="G79" i="7"/>
  <c r="F79" i="7"/>
  <c r="C78" i="7"/>
  <c r="V77" i="7"/>
  <c r="T77" i="7"/>
  <c r="R77" i="7"/>
  <c r="J80" i="7" s="1"/>
  <c r="I83" i="7" s="1"/>
  <c r="U77" i="7"/>
  <c r="S77" i="7"/>
  <c r="Q77" i="7"/>
  <c r="E77" i="7"/>
  <c r="D77" i="7"/>
  <c r="C77" i="7"/>
  <c r="B77" i="7"/>
  <c r="A76" i="7"/>
  <c r="A73" i="7"/>
  <c r="K70" i="7"/>
  <c r="H70" i="7"/>
  <c r="G70" i="7"/>
  <c r="E70" i="7"/>
  <c r="E69" i="7"/>
  <c r="J68" i="7"/>
  <c r="E68" i="7"/>
  <c r="E67" i="7"/>
  <c r="J66" i="7"/>
  <c r="I66" i="7"/>
  <c r="H66" i="7"/>
  <c r="G66" i="7"/>
  <c r="F66" i="7"/>
  <c r="J65" i="7"/>
  <c r="I65" i="7"/>
  <c r="H65" i="7"/>
  <c r="G65" i="7"/>
  <c r="F65" i="7"/>
  <c r="J64" i="7"/>
  <c r="I64" i="7"/>
  <c r="H64" i="7"/>
  <c r="G64" i="7"/>
  <c r="F64" i="7"/>
  <c r="J63" i="7"/>
  <c r="I63" i="7"/>
  <c r="H63" i="7"/>
  <c r="G63" i="7"/>
  <c r="F63" i="7"/>
  <c r="C62" i="7"/>
  <c r="V61" i="7"/>
  <c r="J69" i="7" s="1"/>
  <c r="T61" i="7"/>
  <c r="R61" i="7"/>
  <c r="J67" i="7" s="1"/>
  <c r="I71" i="7" s="1"/>
  <c r="U61" i="7"/>
  <c r="S61" i="7"/>
  <c r="Q61" i="7"/>
  <c r="E61" i="7"/>
  <c r="D61" i="7"/>
  <c r="C61" i="7"/>
  <c r="B61" i="7"/>
  <c r="K59" i="7"/>
  <c r="H59" i="7"/>
  <c r="G59" i="7"/>
  <c r="E59" i="7"/>
  <c r="E58" i="7"/>
  <c r="J57" i="7"/>
  <c r="E57" i="7"/>
  <c r="J56" i="7"/>
  <c r="I56" i="7"/>
  <c r="H56" i="7"/>
  <c r="G56" i="7"/>
  <c r="F56" i="7"/>
  <c r="J55" i="7"/>
  <c r="I55" i="7"/>
  <c r="H55" i="7"/>
  <c r="G55" i="7"/>
  <c r="F55" i="7"/>
  <c r="C54" i="7"/>
  <c r="V53" i="7"/>
  <c r="T53" i="7"/>
  <c r="J58" i="7" s="1"/>
  <c r="I60" i="7" s="1"/>
  <c r="R53" i="7"/>
  <c r="U53" i="7"/>
  <c r="S53" i="7"/>
  <c r="Q53" i="7"/>
  <c r="E53" i="7"/>
  <c r="D53" i="7"/>
  <c r="C53" i="7"/>
  <c r="B53" i="7"/>
  <c r="K51" i="7"/>
  <c r="H51" i="7"/>
  <c r="G51" i="7"/>
  <c r="E51" i="7"/>
  <c r="E50" i="7"/>
  <c r="J49" i="7"/>
  <c r="E49" i="7"/>
  <c r="J48" i="7"/>
  <c r="I48" i="7"/>
  <c r="H48" i="7"/>
  <c r="G48" i="7"/>
  <c r="F48" i="7"/>
  <c r="J47" i="7"/>
  <c r="I47" i="7"/>
  <c r="H47" i="7"/>
  <c r="G47" i="7"/>
  <c r="F47" i="7"/>
  <c r="C46" i="7"/>
  <c r="V45" i="7"/>
  <c r="T45" i="7"/>
  <c r="J50" i="7" s="1"/>
  <c r="I52" i="7" s="1"/>
  <c r="R45" i="7"/>
  <c r="U45" i="7"/>
  <c r="S45" i="7"/>
  <c r="Q45" i="7"/>
  <c r="E45" i="7"/>
  <c r="D45" i="7"/>
  <c r="C45" i="7"/>
  <c r="B45" i="7"/>
  <c r="K43" i="7"/>
  <c r="H43" i="7"/>
  <c r="G43" i="7"/>
  <c r="E43" i="7"/>
  <c r="E42" i="7"/>
  <c r="E41" i="7"/>
  <c r="E40" i="7"/>
  <c r="J39" i="7"/>
  <c r="I39" i="7"/>
  <c r="H39" i="7"/>
  <c r="G39" i="7"/>
  <c r="F39" i="7"/>
  <c r="J38" i="7"/>
  <c r="I38" i="7"/>
  <c r="H38" i="7"/>
  <c r="G38" i="7"/>
  <c r="F38" i="7"/>
  <c r="J37" i="7"/>
  <c r="I37" i="7"/>
  <c r="H37" i="7"/>
  <c r="G37" i="7"/>
  <c r="F37" i="7"/>
  <c r="J36" i="7"/>
  <c r="I36" i="7"/>
  <c r="H36" i="7"/>
  <c r="G36" i="7"/>
  <c r="F36" i="7"/>
  <c r="V35" i="7"/>
  <c r="J42" i="7" s="1"/>
  <c r="T35" i="7"/>
  <c r="J41" i="7" s="1"/>
  <c r="R35" i="7"/>
  <c r="J40" i="7" s="1"/>
  <c r="U35" i="7"/>
  <c r="S35" i="7"/>
  <c r="Q35" i="7"/>
  <c r="E35" i="7"/>
  <c r="D35" i="7"/>
  <c r="C35" i="7"/>
  <c r="B35" i="7"/>
  <c r="A34" i="7"/>
  <c r="A32" i="7"/>
  <c r="A18" i="7"/>
  <c r="A15" i="7"/>
  <c r="A10" i="7"/>
  <c r="B6" i="7"/>
  <c r="A1" i="7"/>
  <c r="A1" i="4"/>
  <c r="A2" i="4"/>
  <c r="A3" i="4"/>
  <c r="A4" i="4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1" i="3"/>
  <c r="Y1" i="3"/>
  <c r="CX1" i="3" s="1"/>
  <c r="CU1" i="3"/>
  <c r="CV1" i="3"/>
  <c r="CY1" i="3"/>
  <c r="CZ1" i="3"/>
  <c r="DB1" i="3" s="1"/>
  <c r="DA1" i="3"/>
  <c r="DC1" i="3"/>
  <c r="DI1" i="3"/>
  <c r="DJ1" i="3" s="1"/>
  <c r="A2" i="3"/>
  <c r="Y2" i="3"/>
  <c r="CW2" i="3"/>
  <c r="CX2" i="3"/>
  <c r="DF2" i="3" s="1"/>
  <c r="CY2" i="3"/>
  <c r="CZ2" i="3"/>
  <c r="DB2" i="3" s="1"/>
  <c r="DA2" i="3"/>
  <c r="DC2" i="3"/>
  <c r="DG2" i="3"/>
  <c r="DJ2" i="3" s="1"/>
  <c r="DH2" i="3"/>
  <c r="DI2" i="3"/>
  <c r="A3" i="3"/>
  <c r="Y3" i="3"/>
  <c r="CX3" i="3" s="1"/>
  <c r="CW3" i="3"/>
  <c r="CY3" i="3"/>
  <c r="CZ3" i="3"/>
  <c r="DA3" i="3"/>
  <c r="DB3" i="3"/>
  <c r="DC3" i="3"/>
  <c r="DI3" i="3"/>
  <c r="A4" i="3"/>
  <c r="Y4" i="3"/>
  <c r="CX4" i="3" s="1"/>
  <c r="CY4" i="3"/>
  <c r="CZ4" i="3"/>
  <c r="DA4" i="3"/>
  <c r="DB4" i="3"/>
  <c r="DC4" i="3"/>
  <c r="DF4" i="3"/>
  <c r="DG4" i="3"/>
  <c r="DJ4" i="3" s="1"/>
  <c r="A5" i="3"/>
  <c r="Y5" i="3"/>
  <c r="CX5" i="3"/>
  <c r="DG5" i="3" s="1"/>
  <c r="CY5" i="3"/>
  <c r="CZ5" i="3"/>
  <c r="DB5" i="3" s="1"/>
  <c r="DA5" i="3"/>
  <c r="DC5" i="3"/>
  <c r="DF5" i="3"/>
  <c r="DJ5" i="3" s="1"/>
  <c r="A6" i="3"/>
  <c r="Y6" i="3"/>
  <c r="CX6" i="3" s="1"/>
  <c r="CY6" i="3"/>
  <c r="CZ6" i="3"/>
  <c r="DA6" i="3"/>
  <c r="DB6" i="3"/>
  <c r="DC6" i="3"/>
  <c r="A7" i="3"/>
  <c r="Y7" i="3"/>
  <c r="CX7" i="3"/>
  <c r="DI7" i="3" s="1"/>
  <c r="CY7" i="3"/>
  <c r="CZ7" i="3"/>
  <c r="DA7" i="3"/>
  <c r="DB7" i="3"/>
  <c r="DC7" i="3"/>
  <c r="DH7" i="3"/>
  <c r="A8" i="3"/>
  <c r="Y8" i="3"/>
  <c r="CX8" i="3" s="1"/>
  <c r="CY8" i="3"/>
  <c r="CZ8" i="3"/>
  <c r="DB8" i="3" s="1"/>
  <c r="DA8" i="3"/>
  <c r="DC8" i="3"/>
  <c r="DG8" i="3"/>
  <c r="DI8" i="3"/>
  <c r="A9" i="3"/>
  <c r="Y9" i="3"/>
  <c r="CX9" i="3"/>
  <c r="DI9" i="3" s="1"/>
  <c r="CY9" i="3"/>
  <c r="CZ9" i="3"/>
  <c r="DA9" i="3"/>
  <c r="DB9" i="3"/>
  <c r="DC9" i="3"/>
  <c r="DF9" i="3"/>
  <c r="DJ9" i="3" s="1"/>
  <c r="DH9" i="3"/>
  <c r="A10" i="3"/>
  <c r="Y10" i="3"/>
  <c r="CX10" i="3"/>
  <c r="DF10" i="3" s="1"/>
  <c r="DJ10" i="3" s="1"/>
  <c r="CY10" i="3"/>
  <c r="CZ10" i="3"/>
  <c r="DA10" i="3"/>
  <c r="DB10" i="3"/>
  <c r="DC10" i="3"/>
  <c r="DI10" i="3"/>
  <c r="A11" i="3"/>
  <c r="Y11" i="3"/>
  <c r="CX11" i="3"/>
  <c r="CY11" i="3"/>
  <c r="CZ11" i="3"/>
  <c r="DA11" i="3"/>
  <c r="DB11" i="3"/>
  <c r="DC11" i="3"/>
  <c r="DH11" i="3"/>
  <c r="A12" i="3"/>
  <c r="Y12" i="3"/>
  <c r="CY12" i="3"/>
  <c r="CZ12" i="3"/>
  <c r="DA12" i="3"/>
  <c r="DB12" i="3"/>
  <c r="DC12" i="3"/>
  <c r="A13" i="3"/>
  <c r="Y13" i="3"/>
  <c r="CY13" i="3"/>
  <c r="CZ13" i="3"/>
  <c r="DA13" i="3"/>
  <c r="DB13" i="3"/>
  <c r="DC13" i="3"/>
  <c r="A14" i="3"/>
  <c r="Y14" i="3"/>
  <c r="CY14" i="3"/>
  <c r="CZ14" i="3"/>
  <c r="DB14" i="3" s="1"/>
  <c r="DA14" i="3"/>
  <c r="DC14" i="3"/>
  <c r="A15" i="3"/>
  <c r="Y15" i="3"/>
  <c r="CY15" i="3"/>
  <c r="CZ15" i="3"/>
  <c r="DB15" i="3" s="1"/>
  <c r="DA15" i="3"/>
  <c r="DC15" i="3"/>
  <c r="A16" i="3"/>
  <c r="Y16" i="3"/>
  <c r="CY16" i="3"/>
  <c r="CZ16" i="3"/>
  <c r="DA16" i="3"/>
  <c r="DB16" i="3"/>
  <c r="DC16" i="3"/>
  <c r="A17" i="3"/>
  <c r="Y17" i="3"/>
  <c r="CY17" i="3"/>
  <c r="CZ17" i="3"/>
  <c r="DB17" i="3" s="1"/>
  <c r="DA17" i="3"/>
  <c r="DC17" i="3"/>
  <c r="A18" i="3"/>
  <c r="Y18" i="3"/>
  <c r="CY18" i="3"/>
  <c r="CZ18" i="3"/>
  <c r="DA18" i="3"/>
  <c r="DB18" i="3"/>
  <c r="DC18" i="3"/>
  <c r="A19" i="3"/>
  <c r="Y19" i="3"/>
  <c r="CY19" i="3"/>
  <c r="CZ19" i="3"/>
  <c r="DA19" i="3"/>
  <c r="DB19" i="3"/>
  <c r="DC19" i="3"/>
  <c r="A20" i="3"/>
  <c r="Y20" i="3"/>
  <c r="CY20" i="3"/>
  <c r="CZ20" i="3"/>
  <c r="DB20" i="3" s="1"/>
  <c r="DA20" i="3"/>
  <c r="DC20" i="3"/>
  <c r="A21" i="3"/>
  <c r="Y21" i="3"/>
  <c r="CY21" i="3"/>
  <c r="CZ21" i="3"/>
  <c r="DA21" i="3"/>
  <c r="DB21" i="3"/>
  <c r="DC21" i="3"/>
  <c r="A22" i="3"/>
  <c r="Y22" i="3"/>
  <c r="CY22" i="3"/>
  <c r="CZ22" i="3"/>
  <c r="DB22" i="3" s="1"/>
  <c r="DA22" i="3"/>
  <c r="DC22" i="3"/>
  <c r="A23" i="3"/>
  <c r="Y23" i="3"/>
  <c r="CX23" i="3" s="1"/>
  <c r="CY23" i="3"/>
  <c r="CZ23" i="3"/>
  <c r="DA23" i="3"/>
  <c r="DB23" i="3"/>
  <c r="DC23" i="3"/>
  <c r="A24" i="3"/>
  <c r="Y24" i="3"/>
  <c r="CY24" i="3"/>
  <c r="CZ24" i="3"/>
  <c r="DA24" i="3"/>
  <c r="DB24" i="3"/>
  <c r="DC24" i="3"/>
  <c r="A25" i="3"/>
  <c r="Y25" i="3"/>
  <c r="CY25" i="3"/>
  <c r="CZ25" i="3"/>
  <c r="DA25" i="3"/>
  <c r="DB25" i="3"/>
  <c r="DC25" i="3"/>
  <c r="A26" i="3"/>
  <c r="Y26" i="3"/>
  <c r="CY26" i="3"/>
  <c r="CZ26" i="3"/>
  <c r="DA26" i="3"/>
  <c r="DB26" i="3"/>
  <c r="DC26" i="3"/>
  <c r="A27" i="3"/>
  <c r="Y27" i="3"/>
  <c r="CY27" i="3"/>
  <c r="CZ27" i="3"/>
  <c r="DA27" i="3"/>
  <c r="DB27" i="3"/>
  <c r="DC27" i="3"/>
  <c r="A28" i="3"/>
  <c r="Y28" i="3"/>
  <c r="CY28" i="3"/>
  <c r="CZ28" i="3"/>
  <c r="DB28" i="3" s="1"/>
  <c r="DA28" i="3"/>
  <c r="DC28" i="3"/>
  <c r="A29" i="3"/>
  <c r="Y29" i="3"/>
  <c r="CY29" i="3"/>
  <c r="CZ29" i="3"/>
  <c r="DB29" i="3" s="1"/>
  <c r="DA29" i="3"/>
  <c r="DC29" i="3"/>
  <c r="A30" i="3"/>
  <c r="Y30" i="3"/>
  <c r="CY30" i="3"/>
  <c r="CZ30" i="3"/>
  <c r="DA30" i="3"/>
  <c r="DB30" i="3"/>
  <c r="DC30" i="3"/>
  <c r="A31" i="3"/>
  <c r="Y31" i="3"/>
  <c r="CY31" i="3"/>
  <c r="CZ31" i="3"/>
  <c r="DA31" i="3"/>
  <c r="DB31" i="3"/>
  <c r="DC31" i="3"/>
  <c r="A32" i="3"/>
  <c r="Y32" i="3"/>
  <c r="CY32" i="3"/>
  <c r="CZ32" i="3"/>
  <c r="DA32" i="3"/>
  <c r="DB32" i="3"/>
  <c r="DC32" i="3"/>
  <c r="A33" i="3"/>
  <c r="Y33" i="3"/>
  <c r="CY33" i="3"/>
  <c r="CZ33" i="3"/>
  <c r="DA33" i="3"/>
  <c r="DB33" i="3"/>
  <c r="DC33" i="3"/>
  <c r="A34" i="3"/>
  <c r="Y34" i="3"/>
  <c r="CY34" i="3"/>
  <c r="CZ34" i="3"/>
  <c r="DB34" i="3" s="1"/>
  <c r="DA34" i="3"/>
  <c r="DC34" i="3"/>
  <c r="A35" i="3"/>
  <c r="Y35" i="3"/>
  <c r="CY35" i="3"/>
  <c r="CZ35" i="3"/>
  <c r="DA35" i="3"/>
  <c r="DB35" i="3"/>
  <c r="DC35" i="3"/>
  <c r="A36" i="3"/>
  <c r="Y36" i="3"/>
  <c r="CY36" i="3"/>
  <c r="CZ36" i="3"/>
  <c r="DB36" i="3" s="1"/>
  <c r="DA36" i="3"/>
  <c r="DC36" i="3"/>
  <c r="A37" i="3"/>
  <c r="Y37" i="3"/>
  <c r="CY37" i="3"/>
  <c r="CZ37" i="3"/>
  <c r="DA37" i="3"/>
  <c r="DB37" i="3"/>
  <c r="DC37" i="3"/>
  <c r="A38" i="3"/>
  <c r="Y38" i="3"/>
  <c r="CY38" i="3"/>
  <c r="CZ38" i="3"/>
  <c r="DB38" i="3" s="1"/>
  <c r="DA38" i="3"/>
  <c r="DC38" i="3"/>
  <c r="A39" i="3"/>
  <c r="Y39" i="3"/>
  <c r="CY39" i="3"/>
  <c r="CZ39" i="3"/>
  <c r="DA39" i="3"/>
  <c r="DB39" i="3"/>
  <c r="DC39" i="3"/>
  <c r="A40" i="3"/>
  <c r="Y40" i="3"/>
  <c r="CY40" i="3"/>
  <c r="CZ40" i="3"/>
  <c r="DB40" i="3" s="1"/>
  <c r="DA40" i="3"/>
  <c r="DC40" i="3"/>
  <c r="A41" i="3"/>
  <c r="Y41" i="3"/>
  <c r="CY41" i="3"/>
  <c r="CZ41" i="3"/>
  <c r="DB41" i="3" s="1"/>
  <c r="DA41" i="3"/>
  <c r="DC41" i="3"/>
  <c r="A42" i="3"/>
  <c r="Y42" i="3"/>
  <c r="CY42" i="3"/>
  <c r="CZ42" i="3"/>
  <c r="DA42" i="3"/>
  <c r="DB42" i="3"/>
  <c r="DC42" i="3"/>
  <c r="A43" i="3"/>
  <c r="Y43" i="3"/>
  <c r="CY43" i="3"/>
  <c r="CZ43" i="3"/>
  <c r="DB43" i="3" s="1"/>
  <c r="DA43" i="3"/>
  <c r="DC43" i="3"/>
  <c r="A44" i="3"/>
  <c r="Y44" i="3"/>
  <c r="CY44" i="3"/>
  <c r="CZ44" i="3"/>
  <c r="DB44" i="3" s="1"/>
  <c r="DA44" i="3"/>
  <c r="DC44" i="3"/>
  <c r="A45" i="3"/>
  <c r="Y45" i="3"/>
  <c r="CY45" i="3"/>
  <c r="CZ45" i="3"/>
  <c r="DA45" i="3"/>
  <c r="DB45" i="3"/>
  <c r="DC45" i="3"/>
  <c r="A46" i="3"/>
  <c r="Y46" i="3"/>
  <c r="CY46" i="3"/>
  <c r="CZ46" i="3"/>
  <c r="DA46" i="3"/>
  <c r="DB46" i="3"/>
  <c r="DC46" i="3"/>
  <c r="A47" i="3"/>
  <c r="Y47" i="3"/>
  <c r="CY47" i="3"/>
  <c r="CZ47" i="3"/>
  <c r="DB47" i="3" s="1"/>
  <c r="DA47" i="3"/>
  <c r="DC47" i="3"/>
  <c r="A48" i="3"/>
  <c r="Y48" i="3"/>
  <c r="CY48" i="3"/>
  <c r="CZ48" i="3"/>
  <c r="DB48" i="3" s="1"/>
  <c r="DA48" i="3"/>
  <c r="DC48" i="3"/>
  <c r="A49" i="3"/>
  <c r="Y49" i="3"/>
  <c r="CY49" i="3"/>
  <c r="CZ49" i="3"/>
  <c r="DB49" i="3" s="1"/>
  <c r="DA49" i="3"/>
  <c r="DC49" i="3"/>
  <c r="A50" i="3"/>
  <c r="Y50" i="3"/>
  <c r="CY50" i="3"/>
  <c r="CZ50" i="3"/>
  <c r="DB50" i="3" s="1"/>
  <c r="DA50" i="3"/>
  <c r="DC50" i="3"/>
  <c r="A51" i="3"/>
  <c r="Y51" i="3"/>
  <c r="CY51" i="3"/>
  <c r="CZ51" i="3"/>
  <c r="DA51" i="3"/>
  <c r="DB51" i="3"/>
  <c r="DC51" i="3"/>
  <c r="A52" i="3"/>
  <c r="Y52" i="3"/>
  <c r="CY52" i="3"/>
  <c r="CZ52" i="3"/>
  <c r="DA52" i="3"/>
  <c r="DB52" i="3"/>
  <c r="DC52" i="3"/>
  <c r="A53" i="3"/>
  <c r="Y53" i="3"/>
  <c r="CW53" i="3"/>
  <c r="CX53" i="3"/>
  <c r="DF53" i="3" s="1"/>
  <c r="CY53" i="3"/>
  <c r="CZ53" i="3"/>
  <c r="DB53" i="3" s="1"/>
  <c r="DA53" i="3"/>
  <c r="DC53" i="3"/>
  <c r="DG53" i="3"/>
  <c r="DJ53" i="3" s="1"/>
  <c r="DH53" i="3"/>
  <c r="DI53" i="3"/>
  <c r="A54" i="3"/>
  <c r="Y54" i="3"/>
  <c r="CY54" i="3"/>
  <c r="CZ54" i="3"/>
  <c r="DB54" i="3" s="1"/>
  <c r="DA54" i="3"/>
  <c r="DC54" i="3"/>
  <c r="A55" i="3"/>
  <c r="Y55" i="3"/>
  <c r="CY55" i="3"/>
  <c r="CZ55" i="3"/>
  <c r="DA55" i="3"/>
  <c r="DB55" i="3"/>
  <c r="DC55" i="3"/>
  <c r="A56" i="3"/>
  <c r="Y56" i="3"/>
  <c r="CY56" i="3"/>
  <c r="CZ56" i="3"/>
  <c r="DA56" i="3"/>
  <c r="DB56" i="3"/>
  <c r="DC56" i="3"/>
  <c r="A57" i="3"/>
  <c r="Y57" i="3"/>
  <c r="CY57" i="3"/>
  <c r="CZ57" i="3"/>
  <c r="DB57" i="3" s="1"/>
  <c r="DA57" i="3"/>
  <c r="DC57" i="3"/>
  <c r="D12" i="1"/>
  <c r="E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BE18" i="1"/>
  <c r="BF18" i="1"/>
  <c r="BG18" i="1"/>
  <c r="BH18" i="1"/>
  <c r="BI18" i="1"/>
  <c r="BJ18" i="1"/>
  <c r="BK18" i="1"/>
  <c r="BL18" i="1"/>
  <c r="BM18" i="1"/>
  <c r="BN18" i="1"/>
  <c r="BO18" i="1"/>
  <c r="BP18" i="1"/>
  <c r="BQ18" i="1"/>
  <c r="BR18" i="1"/>
  <c r="BS18" i="1"/>
  <c r="BT18" i="1"/>
  <c r="BU18" i="1"/>
  <c r="BV18" i="1"/>
  <c r="BW18" i="1"/>
  <c r="BX18" i="1"/>
  <c r="BY18" i="1"/>
  <c r="BZ18" i="1"/>
  <c r="CA18" i="1"/>
  <c r="CB18" i="1"/>
  <c r="CC18" i="1"/>
  <c r="CD18" i="1"/>
  <c r="CE18" i="1"/>
  <c r="CF18" i="1"/>
  <c r="CG18" i="1"/>
  <c r="CH18" i="1"/>
  <c r="CI18" i="1"/>
  <c r="CJ18" i="1"/>
  <c r="CK18" i="1"/>
  <c r="CL18" i="1"/>
  <c r="CM18" i="1"/>
  <c r="CN18" i="1"/>
  <c r="CO18" i="1"/>
  <c r="CP18" i="1"/>
  <c r="CQ18" i="1"/>
  <c r="CR18" i="1"/>
  <c r="CS18" i="1"/>
  <c r="CT18" i="1"/>
  <c r="CU18" i="1"/>
  <c r="CV18" i="1"/>
  <c r="CW18" i="1"/>
  <c r="CX18" i="1"/>
  <c r="CY18" i="1"/>
  <c r="CZ18" i="1"/>
  <c r="DA18" i="1"/>
  <c r="DB18" i="1"/>
  <c r="DC18" i="1"/>
  <c r="DD18" i="1"/>
  <c r="DE18" i="1"/>
  <c r="DF18" i="1"/>
  <c r="DG18" i="1"/>
  <c r="DH18" i="1"/>
  <c r="DI18" i="1"/>
  <c r="DJ18" i="1"/>
  <c r="DK18" i="1"/>
  <c r="DL18" i="1"/>
  <c r="DM18" i="1"/>
  <c r="DN18" i="1"/>
  <c r="DO18" i="1"/>
  <c r="DP18" i="1"/>
  <c r="DQ18" i="1"/>
  <c r="DR18" i="1"/>
  <c r="DS18" i="1"/>
  <c r="DT18" i="1"/>
  <c r="DU18" i="1"/>
  <c r="DV18" i="1"/>
  <c r="DW18" i="1"/>
  <c r="DX18" i="1"/>
  <c r="DY18" i="1"/>
  <c r="DZ18" i="1"/>
  <c r="EA18" i="1"/>
  <c r="EB18" i="1"/>
  <c r="EC18" i="1"/>
  <c r="ED18" i="1"/>
  <c r="EE18" i="1"/>
  <c r="EF18" i="1"/>
  <c r="EG18" i="1"/>
  <c r="EH18" i="1"/>
  <c r="EI18" i="1"/>
  <c r="EJ18" i="1"/>
  <c r="EK18" i="1"/>
  <c r="EL18" i="1"/>
  <c r="EM18" i="1"/>
  <c r="EN18" i="1"/>
  <c r="EO18" i="1"/>
  <c r="EP18" i="1"/>
  <c r="EQ18" i="1"/>
  <c r="ER18" i="1"/>
  <c r="ES18" i="1"/>
  <c r="ET18" i="1"/>
  <c r="EU18" i="1"/>
  <c r="EV18" i="1"/>
  <c r="EW18" i="1"/>
  <c r="EX18" i="1"/>
  <c r="EY18" i="1"/>
  <c r="EZ18" i="1"/>
  <c r="FA18" i="1"/>
  <c r="FB18" i="1"/>
  <c r="FC18" i="1"/>
  <c r="FD18" i="1"/>
  <c r="FE18" i="1"/>
  <c r="FF18" i="1"/>
  <c r="FG18" i="1"/>
  <c r="FH18" i="1"/>
  <c r="FI18" i="1"/>
  <c r="FJ18" i="1"/>
  <c r="FK18" i="1"/>
  <c r="FL18" i="1"/>
  <c r="FM18" i="1"/>
  <c r="FN18" i="1"/>
  <c r="FO18" i="1"/>
  <c r="FP18" i="1"/>
  <c r="FQ18" i="1"/>
  <c r="FR18" i="1"/>
  <c r="FS18" i="1"/>
  <c r="FT18" i="1"/>
  <c r="FU18" i="1"/>
  <c r="FV18" i="1"/>
  <c r="FW18" i="1"/>
  <c r="FX18" i="1"/>
  <c r="FY18" i="1"/>
  <c r="FZ18" i="1"/>
  <c r="GA18" i="1"/>
  <c r="GB18" i="1"/>
  <c r="GC18" i="1"/>
  <c r="GD18" i="1"/>
  <c r="GE18" i="1"/>
  <c r="GF18" i="1"/>
  <c r="GG18" i="1"/>
  <c r="GH18" i="1"/>
  <c r="GI18" i="1"/>
  <c r="GJ18" i="1"/>
  <c r="GK18" i="1"/>
  <c r="GL18" i="1"/>
  <c r="GM18" i="1"/>
  <c r="GN18" i="1"/>
  <c r="GO18" i="1"/>
  <c r="GP18" i="1"/>
  <c r="GQ18" i="1"/>
  <c r="GR18" i="1"/>
  <c r="GS18" i="1"/>
  <c r="GT18" i="1"/>
  <c r="GU18" i="1"/>
  <c r="GV18" i="1"/>
  <c r="GW18" i="1"/>
  <c r="GX18" i="1"/>
  <c r="D20" i="1"/>
  <c r="E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BE22" i="1"/>
  <c r="BF22" i="1"/>
  <c r="BG22" i="1"/>
  <c r="BH22" i="1"/>
  <c r="BI22" i="1"/>
  <c r="BJ22" i="1"/>
  <c r="BK22" i="1"/>
  <c r="BL22" i="1"/>
  <c r="BM22" i="1"/>
  <c r="BN22" i="1"/>
  <c r="BO22" i="1"/>
  <c r="BP22" i="1"/>
  <c r="BQ22" i="1"/>
  <c r="BR22" i="1"/>
  <c r="BS22" i="1"/>
  <c r="BT22" i="1"/>
  <c r="BU22" i="1"/>
  <c r="BV22" i="1"/>
  <c r="BW22" i="1"/>
  <c r="BX22" i="1"/>
  <c r="BY22" i="1"/>
  <c r="BZ22" i="1"/>
  <c r="CA22" i="1"/>
  <c r="CB22" i="1"/>
  <c r="CC22" i="1"/>
  <c r="CD22" i="1"/>
  <c r="CE22" i="1"/>
  <c r="CF22" i="1"/>
  <c r="CG22" i="1"/>
  <c r="CH22" i="1"/>
  <c r="CI22" i="1"/>
  <c r="CJ22" i="1"/>
  <c r="CK22" i="1"/>
  <c r="CL22" i="1"/>
  <c r="CM22" i="1"/>
  <c r="CN22" i="1"/>
  <c r="CO22" i="1"/>
  <c r="CP22" i="1"/>
  <c r="CQ22" i="1"/>
  <c r="CR22" i="1"/>
  <c r="CS22" i="1"/>
  <c r="CT22" i="1"/>
  <c r="CU22" i="1"/>
  <c r="CV22" i="1"/>
  <c r="CW22" i="1"/>
  <c r="CX22" i="1"/>
  <c r="CY22" i="1"/>
  <c r="CZ22" i="1"/>
  <c r="DA22" i="1"/>
  <c r="DB22" i="1"/>
  <c r="DC22" i="1"/>
  <c r="DD22" i="1"/>
  <c r="DE22" i="1"/>
  <c r="DF22" i="1"/>
  <c r="DG22" i="1"/>
  <c r="DH22" i="1"/>
  <c r="DI22" i="1"/>
  <c r="DJ22" i="1"/>
  <c r="DK22" i="1"/>
  <c r="DL22" i="1"/>
  <c r="DM22" i="1"/>
  <c r="DN22" i="1"/>
  <c r="DO22" i="1"/>
  <c r="DP22" i="1"/>
  <c r="DQ22" i="1"/>
  <c r="DR22" i="1"/>
  <c r="DS22" i="1"/>
  <c r="DT22" i="1"/>
  <c r="DU22" i="1"/>
  <c r="DV22" i="1"/>
  <c r="DW22" i="1"/>
  <c r="DX22" i="1"/>
  <c r="DY22" i="1"/>
  <c r="DZ22" i="1"/>
  <c r="EA22" i="1"/>
  <c r="EB22" i="1"/>
  <c r="EC22" i="1"/>
  <c r="ED22" i="1"/>
  <c r="EE22" i="1"/>
  <c r="EF22" i="1"/>
  <c r="EG22" i="1"/>
  <c r="EH22" i="1"/>
  <c r="EI22" i="1"/>
  <c r="EJ22" i="1"/>
  <c r="EK22" i="1"/>
  <c r="EL22" i="1"/>
  <c r="EM22" i="1"/>
  <c r="EN22" i="1"/>
  <c r="EO22" i="1"/>
  <c r="EP22" i="1"/>
  <c r="EQ22" i="1"/>
  <c r="ER22" i="1"/>
  <c r="ES22" i="1"/>
  <c r="ET22" i="1"/>
  <c r="EU22" i="1"/>
  <c r="EV22" i="1"/>
  <c r="EW22" i="1"/>
  <c r="EX22" i="1"/>
  <c r="EY22" i="1"/>
  <c r="EZ22" i="1"/>
  <c r="FA22" i="1"/>
  <c r="FB22" i="1"/>
  <c r="FC22" i="1"/>
  <c r="FD22" i="1"/>
  <c r="FE22" i="1"/>
  <c r="FF22" i="1"/>
  <c r="FG22" i="1"/>
  <c r="FH22" i="1"/>
  <c r="FI22" i="1"/>
  <c r="FJ22" i="1"/>
  <c r="FK22" i="1"/>
  <c r="FL22" i="1"/>
  <c r="FM22" i="1"/>
  <c r="FN22" i="1"/>
  <c r="FO22" i="1"/>
  <c r="FP22" i="1"/>
  <c r="FQ22" i="1"/>
  <c r="FR22" i="1"/>
  <c r="FS22" i="1"/>
  <c r="FT22" i="1"/>
  <c r="FU22" i="1"/>
  <c r="FV22" i="1"/>
  <c r="FW22" i="1"/>
  <c r="FX22" i="1"/>
  <c r="FY22" i="1"/>
  <c r="FZ22" i="1"/>
  <c r="GA22" i="1"/>
  <c r="GB22" i="1"/>
  <c r="GC22" i="1"/>
  <c r="GD22" i="1"/>
  <c r="GE22" i="1"/>
  <c r="GF22" i="1"/>
  <c r="GG22" i="1"/>
  <c r="GH22" i="1"/>
  <c r="GI22" i="1"/>
  <c r="GJ22" i="1"/>
  <c r="GK22" i="1"/>
  <c r="GL22" i="1"/>
  <c r="GM22" i="1"/>
  <c r="GN22" i="1"/>
  <c r="GO22" i="1"/>
  <c r="GP22" i="1"/>
  <c r="GQ22" i="1"/>
  <c r="GR22" i="1"/>
  <c r="GS22" i="1"/>
  <c r="GT22" i="1"/>
  <c r="GU22" i="1"/>
  <c r="GV22" i="1"/>
  <c r="GW22" i="1"/>
  <c r="GX22" i="1"/>
  <c r="D24" i="1"/>
  <c r="E26" i="1"/>
  <c r="Z26" i="1"/>
  <c r="AA26" i="1"/>
  <c r="AM26" i="1"/>
  <c r="AN26" i="1"/>
  <c r="BE26" i="1"/>
  <c r="BF26" i="1"/>
  <c r="BG26" i="1"/>
  <c r="BH26" i="1"/>
  <c r="BI26" i="1"/>
  <c r="BJ26" i="1"/>
  <c r="BK26" i="1"/>
  <c r="BL26" i="1"/>
  <c r="BM26" i="1"/>
  <c r="BN26" i="1"/>
  <c r="BO26" i="1"/>
  <c r="BP26" i="1"/>
  <c r="BQ26" i="1"/>
  <c r="BR26" i="1"/>
  <c r="BS26" i="1"/>
  <c r="BT26" i="1"/>
  <c r="BU26" i="1"/>
  <c r="BV26" i="1"/>
  <c r="BW26" i="1"/>
  <c r="CN26" i="1"/>
  <c r="CO26" i="1"/>
  <c r="CP26" i="1"/>
  <c r="CQ26" i="1"/>
  <c r="CR26" i="1"/>
  <c r="CS26" i="1"/>
  <c r="CT26" i="1"/>
  <c r="CU26" i="1"/>
  <c r="CV26" i="1"/>
  <c r="CW26" i="1"/>
  <c r="CX26" i="1"/>
  <c r="CY26" i="1"/>
  <c r="CZ26" i="1"/>
  <c r="DA26" i="1"/>
  <c r="DB26" i="1"/>
  <c r="DC26" i="1"/>
  <c r="DD26" i="1"/>
  <c r="DE26" i="1"/>
  <c r="DF26" i="1"/>
  <c r="DG26" i="1"/>
  <c r="DH26" i="1"/>
  <c r="DI26" i="1"/>
  <c r="DJ26" i="1"/>
  <c r="DK26" i="1"/>
  <c r="DL26" i="1"/>
  <c r="DM26" i="1"/>
  <c r="DN26" i="1"/>
  <c r="DO26" i="1"/>
  <c r="DP26" i="1"/>
  <c r="DQ26" i="1"/>
  <c r="DR26" i="1"/>
  <c r="DS26" i="1"/>
  <c r="DT26" i="1"/>
  <c r="DU26" i="1"/>
  <c r="DV26" i="1"/>
  <c r="DW26" i="1"/>
  <c r="DX26" i="1"/>
  <c r="DY26" i="1"/>
  <c r="DZ26" i="1"/>
  <c r="EA26" i="1"/>
  <c r="EB26" i="1"/>
  <c r="EC26" i="1"/>
  <c r="ED26" i="1"/>
  <c r="EE26" i="1"/>
  <c r="EF26" i="1"/>
  <c r="EG26" i="1"/>
  <c r="EH26" i="1"/>
  <c r="EI26" i="1"/>
  <c r="EJ26" i="1"/>
  <c r="EK26" i="1"/>
  <c r="EL26" i="1"/>
  <c r="EM26" i="1"/>
  <c r="EN26" i="1"/>
  <c r="EO26" i="1"/>
  <c r="EP26" i="1"/>
  <c r="EQ26" i="1"/>
  <c r="ER26" i="1"/>
  <c r="ES26" i="1"/>
  <c r="ET26" i="1"/>
  <c r="EU26" i="1"/>
  <c r="EV26" i="1"/>
  <c r="EW26" i="1"/>
  <c r="EX26" i="1"/>
  <c r="EY26" i="1"/>
  <c r="EZ26" i="1"/>
  <c r="FA26" i="1"/>
  <c r="FB26" i="1"/>
  <c r="FC26" i="1"/>
  <c r="FD26" i="1"/>
  <c r="FE26" i="1"/>
  <c r="FF26" i="1"/>
  <c r="FG26" i="1"/>
  <c r="FH26" i="1"/>
  <c r="FI26" i="1"/>
  <c r="FJ26" i="1"/>
  <c r="FK26" i="1"/>
  <c r="FL26" i="1"/>
  <c r="FM26" i="1"/>
  <c r="FN26" i="1"/>
  <c r="FO26" i="1"/>
  <c r="FP26" i="1"/>
  <c r="FQ26" i="1"/>
  <c r="FR26" i="1"/>
  <c r="FS26" i="1"/>
  <c r="FT26" i="1"/>
  <c r="FU26" i="1"/>
  <c r="FV26" i="1"/>
  <c r="FW26" i="1"/>
  <c r="FX26" i="1"/>
  <c r="FY26" i="1"/>
  <c r="FZ26" i="1"/>
  <c r="GA26" i="1"/>
  <c r="GB26" i="1"/>
  <c r="GC26" i="1"/>
  <c r="GD26" i="1"/>
  <c r="GE26" i="1"/>
  <c r="GF26" i="1"/>
  <c r="GG26" i="1"/>
  <c r="GH26" i="1"/>
  <c r="GI26" i="1"/>
  <c r="GJ26" i="1"/>
  <c r="GK26" i="1"/>
  <c r="GL26" i="1"/>
  <c r="GM26" i="1"/>
  <c r="GN26" i="1"/>
  <c r="GO26" i="1"/>
  <c r="GP26" i="1"/>
  <c r="GQ26" i="1"/>
  <c r="GR26" i="1"/>
  <c r="GS26" i="1"/>
  <c r="GT26" i="1"/>
  <c r="GU26" i="1"/>
  <c r="GV26" i="1"/>
  <c r="GW26" i="1"/>
  <c r="GX26" i="1"/>
  <c r="C28" i="1"/>
  <c r="D28" i="1"/>
  <c r="AC28" i="1"/>
  <c r="AD28" i="1"/>
  <c r="AE28" i="1"/>
  <c r="AF28" i="1"/>
  <c r="CT28" i="1" s="1"/>
  <c r="S28" i="1" s="1"/>
  <c r="AG28" i="1"/>
  <c r="AH28" i="1"/>
  <c r="CV28" i="1" s="1"/>
  <c r="U28" i="1" s="1"/>
  <c r="AI28" i="1"/>
  <c r="AJ28" i="1"/>
  <c r="CX28" i="1" s="1"/>
  <c r="W28" i="1" s="1"/>
  <c r="CQ28" i="1"/>
  <c r="P28" i="1" s="1"/>
  <c r="CR28" i="1"/>
  <c r="Q28" i="1" s="1"/>
  <c r="CS28" i="1"/>
  <c r="R28" i="1" s="1"/>
  <c r="CU28" i="1"/>
  <c r="T28" i="1" s="1"/>
  <c r="CW28" i="1"/>
  <c r="V28" i="1" s="1"/>
  <c r="FR28" i="1"/>
  <c r="GL28" i="1"/>
  <c r="GN28" i="1"/>
  <c r="GO28" i="1"/>
  <c r="GV28" i="1"/>
  <c r="HC28" i="1" s="1"/>
  <c r="GX28" i="1"/>
  <c r="C29" i="1"/>
  <c r="D29" i="1"/>
  <c r="I29" i="1"/>
  <c r="CU12" i="3" s="1"/>
  <c r="K29" i="1"/>
  <c r="AC29" i="1"/>
  <c r="AE29" i="1"/>
  <c r="AD29" i="1" s="1"/>
  <c r="AF29" i="1"/>
  <c r="AG29" i="1"/>
  <c r="AH29" i="1"/>
  <c r="AI29" i="1"/>
  <c r="CW29" i="1" s="1"/>
  <c r="V29" i="1" s="1"/>
  <c r="AJ29" i="1"/>
  <c r="CR29" i="1"/>
  <c r="Q29" i="1" s="1"/>
  <c r="CS29" i="1"/>
  <c r="R29" i="1" s="1"/>
  <c r="CT29" i="1"/>
  <c r="S29" i="1" s="1"/>
  <c r="CU29" i="1"/>
  <c r="CV29" i="1"/>
  <c r="U29" i="1" s="1"/>
  <c r="CX29" i="1"/>
  <c r="W29" i="1" s="1"/>
  <c r="FR29" i="1"/>
  <c r="GK29" i="1"/>
  <c r="GL29" i="1"/>
  <c r="GN29" i="1"/>
  <c r="GO29" i="1"/>
  <c r="GV29" i="1"/>
  <c r="HC29" i="1"/>
  <c r="GX29" i="1" s="1"/>
  <c r="C30" i="1"/>
  <c r="D30" i="1"/>
  <c r="I30" i="1"/>
  <c r="CX17" i="3" s="1"/>
  <c r="K30" i="1"/>
  <c r="S30" i="1"/>
  <c r="CY30" i="1" s="1"/>
  <c r="X30" i="1" s="1"/>
  <c r="T30" i="1"/>
  <c r="U30" i="1"/>
  <c r="V30" i="1"/>
  <c r="AC30" i="1"/>
  <c r="AB30" i="1" s="1"/>
  <c r="AE30" i="1"/>
  <c r="AD30" i="1" s="1"/>
  <c r="AF30" i="1"/>
  <c r="CT30" i="1" s="1"/>
  <c r="AG30" i="1"/>
  <c r="AH30" i="1"/>
  <c r="AI30" i="1"/>
  <c r="AJ30" i="1"/>
  <c r="CQ30" i="1"/>
  <c r="P30" i="1" s="1"/>
  <c r="CR30" i="1"/>
  <c r="Q30" i="1" s="1"/>
  <c r="CU30" i="1"/>
  <c r="CV30" i="1"/>
  <c r="CW30" i="1"/>
  <c r="CX30" i="1"/>
  <c r="W30" i="1" s="1"/>
  <c r="CZ30" i="1"/>
  <c r="Y30" i="1" s="1"/>
  <c r="FR30" i="1"/>
  <c r="GL30" i="1"/>
  <c r="GN30" i="1"/>
  <c r="GO30" i="1"/>
  <c r="GV30" i="1"/>
  <c r="HC30" i="1" s="1"/>
  <c r="GX30" i="1"/>
  <c r="C31" i="1"/>
  <c r="D31" i="1"/>
  <c r="I31" i="1"/>
  <c r="CV21" i="3" s="1"/>
  <c r="K31" i="1"/>
  <c r="T31" i="1"/>
  <c r="AC31" i="1"/>
  <c r="AB31" i="1" s="1"/>
  <c r="AD31" i="1"/>
  <c r="AE31" i="1"/>
  <c r="CS31" i="1" s="1"/>
  <c r="R31" i="1" s="1"/>
  <c r="GK31" i="1" s="1"/>
  <c r="AF31" i="1"/>
  <c r="CT31" i="1" s="1"/>
  <c r="S31" i="1" s="1"/>
  <c r="AG31" i="1"/>
  <c r="AH31" i="1"/>
  <c r="AI31" i="1"/>
  <c r="AJ31" i="1"/>
  <c r="CQ31" i="1"/>
  <c r="P31" i="1" s="1"/>
  <c r="CR31" i="1"/>
  <c r="Q31" i="1" s="1"/>
  <c r="CU31" i="1"/>
  <c r="CV31" i="1"/>
  <c r="U31" i="1" s="1"/>
  <c r="CW31" i="1"/>
  <c r="V31" i="1" s="1"/>
  <c r="CX31" i="1"/>
  <c r="W31" i="1" s="1"/>
  <c r="FR31" i="1"/>
  <c r="GL31" i="1"/>
  <c r="GN31" i="1"/>
  <c r="GO31" i="1"/>
  <c r="GV31" i="1"/>
  <c r="HC31" i="1" s="1"/>
  <c r="GX31" i="1" s="1"/>
  <c r="B33" i="1"/>
  <c r="B26" i="1" s="1"/>
  <c r="C33" i="1"/>
  <c r="C26" i="1" s="1"/>
  <c r="D33" i="1"/>
  <c r="D26" i="1" s="1"/>
  <c r="F33" i="1"/>
  <c r="F26" i="1" s="1"/>
  <c r="G33" i="1"/>
  <c r="G26" i="1" s="1"/>
  <c r="AO33" i="1"/>
  <c r="AP33" i="1"/>
  <c r="AP26" i="1" s="1"/>
  <c r="AZ33" i="1"/>
  <c r="AZ26" i="1" s="1"/>
  <c r="BD33" i="1"/>
  <c r="BD26" i="1" s="1"/>
  <c r="BX33" i="1"/>
  <c r="BX26" i="1" s="1"/>
  <c r="BY33" i="1"/>
  <c r="BY26" i="1" s="1"/>
  <c r="BZ33" i="1"/>
  <c r="BZ26" i="1" s="1"/>
  <c r="CB33" i="1"/>
  <c r="AS33" i="1" s="1"/>
  <c r="AS26" i="1" s="1"/>
  <c r="CC33" i="1"/>
  <c r="CC26" i="1" s="1"/>
  <c r="CI33" i="1"/>
  <c r="CI26" i="1" s="1"/>
  <c r="CK33" i="1"/>
  <c r="CK26" i="1" s="1"/>
  <c r="CL33" i="1"/>
  <c r="CL26" i="1" s="1"/>
  <c r="CM33" i="1"/>
  <c r="CM26" i="1" s="1"/>
  <c r="F44" i="1"/>
  <c r="F50" i="1"/>
  <c r="D63" i="1"/>
  <c r="D65" i="1"/>
  <c r="E65" i="1"/>
  <c r="Z65" i="1"/>
  <c r="AA65" i="1"/>
  <c r="AM65" i="1"/>
  <c r="AN65" i="1"/>
  <c r="BE65" i="1"/>
  <c r="BF65" i="1"/>
  <c r="BG65" i="1"/>
  <c r="BH65" i="1"/>
  <c r="BI65" i="1"/>
  <c r="BJ65" i="1"/>
  <c r="BK65" i="1"/>
  <c r="BL65" i="1"/>
  <c r="BM65" i="1"/>
  <c r="BN65" i="1"/>
  <c r="BO65" i="1"/>
  <c r="BP65" i="1"/>
  <c r="BQ65" i="1"/>
  <c r="BR65" i="1"/>
  <c r="BS65" i="1"/>
  <c r="BT65" i="1"/>
  <c r="BU65" i="1"/>
  <c r="BV65" i="1"/>
  <c r="BW65" i="1"/>
  <c r="BX65" i="1"/>
  <c r="CN65" i="1"/>
  <c r="CO65" i="1"/>
  <c r="CP65" i="1"/>
  <c r="CQ65" i="1"/>
  <c r="CR65" i="1"/>
  <c r="CS65" i="1"/>
  <c r="CT65" i="1"/>
  <c r="CU65" i="1"/>
  <c r="CV65" i="1"/>
  <c r="CW65" i="1"/>
  <c r="CX65" i="1"/>
  <c r="CY65" i="1"/>
  <c r="CZ65" i="1"/>
  <c r="DA65" i="1"/>
  <c r="DB65" i="1"/>
  <c r="DC65" i="1"/>
  <c r="DD65" i="1"/>
  <c r="DE65" i="1"/>
  <c r="DF65" i="1"/>
  <c r="DG65" i="1"/>
  <c r="DH65" i="1"/>
  <c r="DI65" i="1"/>
  <c r="DJ65" i="1"/>
  <c r="DK65" i="1"/>
  <c r="DL65" i="1"/>
  <c r="DM65" i="1"/>
  <c r="DN65" i="1"/>
  <c r="DO65" i="1"/>
  <c r="DP65" i="1"/>
  <c r="DQ65" i="1"/>
  <c r="DR65" i="1"/>
  <c r="DS65" i="1"/>
  <c r="DT65" i="1"/>
  <c r="DU65" i="1"/>
  <c r="DV65" i="1"/>
  <c r="DW65" i="1"/>
  <c r="DX65" i="1"/>
  <c r="DY65" i="1"/>
  <c r="DZ65" i="1"/>
  <c r="EA65" i="1"/>
  <c r="EB65" i="1"/>
  <c r="EC65" i="1"/>
  <c r="ED65" i="1"/>
  <c r="EE65" i="1"/>
  <c r="EF65" i="1"/>
  <c r="EG65" i="1"/>
  <c r="EH65" i="1"/>
  <c r="EI65" i="1"/>
  <c r="EJ65" i="1"/>
  <c r="EK65" i="1"/>
  <c r="EL65" i="1"/>
  <c r="EM65" i="1"/>
  <c r="EN65" i="1"/>
  <c r="EO65" i="1"/>
  <c r="EP65" i="1"/>
  <c r="EQ65" i="1"/>
  <c r="ER65" i="1"/>
  <c r="ES65" i="1"/>
  <c r="ET65" i="1"/>
  <c r="EU65" i="1"/>
  <c r="EV65" i="1"/>
  <c r="EW65" i="1"/>
  <c r="EX65" i="1"/>
  <c r="EY65" i="1"/>
  <c r="EZ65" i="1"/>
  <c r="FA65" i="1"/>
  <c r="FB65" i="1"/>
  <c r="FC65" i="1"/>
  <c r="FD65" i="1"/>
  <c r="FE65" i="1"/>
  <c r="FF65" i="1"/>
  <c r="FG65" i="1"/>
  <c r="FH65" i="1"/>
  <c r="FI65" i="1"/>
  <c r="FJ65" i="1"/>
  <c r="FK65" i="1"/>
  <c r="FL65" i="1"/>
  <c r="FM65" i="1"/>
  <c r="FN65" i="1"/>
  <c r="FO65" i="1"/>
  <c r="FP65" i="1"/>
  <c r="FQ65" i="1"/>
  <c r="FR65" i="1"/>
  <c r="FS65" i="1"/>
  <c r="FT65" i="1"/>
  <c r="FU65" i="1"/>
  <c r="FV65" i="1"/>
  <c r="FW65" i="1"/>
  <c r="FX65" i="1"/>
  <c r="FY65" i="1"/>
  <c r="FZ65" i="1"/>
  <c r="GA65" i="1"/>
  <c r="GB65" i="1"/>
  <c r="GC65" i="1"/>
  <c r="GD65" i="1"/>
  <c r="GE65" i="1"/>
  <c r="GF65" i="1"/>
  <c r="GG65" i="1"/>
  <c r="GH65" i="1"/>
  <c r="GI65" i="1"/>
  <c r="GJ65" i="1"/>
  <c r="GK65" i="1"/>
  <c r="GL65" i="1"/>
  <c r="GM65" i="1"/>
  <c r="GN65" i="1"/>
  <c r="GO65" i="1"/>
  <c r="GP65" i="1"/>
  <c r="GQ65" i="1"/>
  <c r="GR65" i="1"/>
  <c r="GS65" i="1"/>
  <c r="GT65" i="1"/>
  <c r="GU65" i="1"/>
  <c r="GV65" i="1"/>
  <c r="GW65" i="1"/>
  <c r="GX65" i="1"/>
  <c r="C67" i="1"/>
  <c r="D67" i="1"/>
  <c r="I67" i="1"/>
  <c r="CV32" i="3" s="1"/>
  <c r="K67" i="1"/>
  <c r="Q67" i="1"/>
  <c r="AB67" i="1"/>
  <c r="AC67" i="1"/>
  <c r="AD67" i="1"/>
  <c r="AE67" i="1"/>
  <c r="CS67" i="1" s="1"/>
  <c r="R67" i="1" s="1"/>
  <c r="AF67" i="1"/>
  <c r="AG67" i="1"/>
  <c r="CU67" i="1" s="1"/>
  <c r="T67" i="1" s="1"/>
  <c r="AH67" i="1"/>
  <c r="AI67" i="1"/>
  <c r="CW67" i="1" s="1"/>
  <c r="V67" i="1" s="1"/>
  <c r="AJ67" i="1"/>
  <c r="CX67" i="1" s="1"/>
  <c r="W67" i="1" s="1"/>
  <c r="CQ67" i="1"/>
  <c r="P67" i="1" s="1"/>
  <c r="CR67" i="1"/>
  <c r="CT67" i="1"/>
  <c r="S67" i="1" s="1"/>
  <c r="CZ67" i="1" s="1"/>
  <c r="Y67" i="1" s="1"/>
  <c r="CV67" i="1"/>
  <c r="U67" i="1" s="1"/>
  <c r="FR67" i="1"/>
  <c r="GL67" i="1"/>
  <c r="GN67" i="1"/>
  <c r="GO67" i="1"/>
  <c r="GV67" i="1"/>
  <c r="HC67" i="1"/>
  <c r="GX67" i="1" s="1"/>
  <c r="C68" i="1"/>
  <c r="D68" i="1"/>
  <c r="I68" i="1"/>
  <c r="K68" i="1"/>
  <c r="AB68" i="1"/>
  <c r="AC68" i="1"/>
  <c r="AD68" i="1"/>
  <c r="AE68" i="1"/>
  <c r="CS68" i="1" s="1"/>
  <c r="R68" i="1" s="1"/>
  <c r="GK68" i="1" s="1"/>
  <c r="AF68" i="1"/>
  <c r="AG68" i="1"/>
  <c r="CU68" i="1" s="1"/>
  <c r="T68" i="1" s="1"/>
  <c r="AH68" i="1"/>
  <c r="CV68" i="1" s="1"/>
  <c r="U68" i="1" s="1"/>
  <c r="AI68" i="1"/>
  <c r="AJ68" i="1"/>
  <c r="CX68" i="1" s="1"/>
  <c r="W68" i="1" s="1"/>
  <c r="CQ68" i="1"/>
  <c r="CR68" i="1"/>
  <c r="CT68" i="1"/>
  <c r="S68" i="1" s="1"/>
  <c r="CW68" i="1"/>
  <c r="FR68" i="1"/>
  <c r="GL68" i="1"/>
  <c r="GN68" i="1"/>
  <c r="CB73" i="1" s="1"/>
  <c r="GO68" i="1"/>
  <c r="GV68" i="1"/>
  <c r="HC68" i="1"/>
  <c r="GX68" i="1" s="1"/>
  <c r="C69" i="1"/>
  <c r="D69" i="1"/>
  <c r="I69" i="1"/>
  <c r="K69" i="1"/>
  <c r="U69" i="1"/>
  <c r="W69" i="1"/>
  <c r="AB69" i="1"/>
  <c r="AC69" i="1"/>
  <c r="CQ69" i="1" s="1"/>
  <c r="P69" i="1" s="1"/>
  <c r="CP69" i="1" s="1"/>
  <c r="O69" i="1" s="1"/>
  <c r="AE69" i="1"/>
  <c r="AD69" i="1" s="1"/>
  <c r="AF69" i="1"/>
  <c r="AG69" i="1"/>
  <c r="CU69" i="1" s="1"/>
  <c r="T69" i="1" s="1"/>
  <c r="AH69" i="1"/>
  <c r="CV69" i="1" s="1"/>
  <c r="AI69" i="1"/>
  <c r="AJ69" i="1"/>
  <c r="CX69" i="1" s="1"/>
  <c r="CR69" i="1"/>
  <c r="Q69" i="1" s="1"/>
  <c r="CS69" i="1"/>
  <c r="R69" i="1" s="1"/>
  <c r="GK69" i="1" s="1"/>
  <c r="CT69" i="1"/>
  <c r="S69" i="1" s="1"/>
  <c r="CY69" i="1" s="1"/>
  <c r="X69" i="1" s="1"/>
  <c r="CW69" i="1"/>
  <c r="V69" i="1" s="1"/>
  <c r="FR69" i="1"/>
  <c r="GL69" i="1"/>
  <c r="GN69" i="1"/>
  <c r="GO69" i="1"/>
  <c r="GV69" i="1"/>
  <c r="HC69" i="1" s="1"/>
  <c r="GX69" i="1" s="1"/>
  <c r="C70" i="1"/>
  <c r="D70" i="1"/>
  <c r="I70" i="1"/>
  <c r="K70" i="1"/>
  <c r="AC70" i="1"/>
  <c r="CQ70" i="1" s="1"/>
  <c r="P70" i="1" s="1"/>
  <c r="AE70" i="1"/>
  <c r="AF70" i="1"/>
  <c r="CT70" i="1" s="1"/>
  <c r="S70" i="1" s="1"/>
  <c r="AG70" i="1"/>
  <c r="AH70" i="1"/>
  <c r="AI70" i="1"/>
  <c r="CW70" i="1" s="1"/>
  <c r="V70" i="1" s="1"/>
  <c r="AJ70" i="1"/>
  <c r="CX70" i="1" s="1"/>
  <c r="W70" i="1" s="1"/>
  <c r="CU70" i="1"/>
  <c r="CV70" i="1"/>
  <c r="U70" i="1" s="1"/>
  <c r="FR70" i="1"/>
  <c r="GL70" i="1"/>
  <c r="GN70" i="1"/>
  <c r="GO70" i="1"/>
  <c r="CC73" i="1" s="1"/>
  <c r="GV70" i="1"/>
  <c r="HC70" i="1" s="1"/>
  <c r="C71" i="1"/>
  <c r="D71" i="1"/>
  <c r="I71" i="1"/>
  <c r="V71" i="1" s="1"/>
  <c r="K71" i="1"/>
  <c r="AC71" i="1"/>
  <c r="AB71" i="1" s="1"/>
  <c r="AD71" i="1"/>
  <c r="AE71" i="1"/>
  <c r="AF71" i="1"/>
  <c r="CT71" i="1" s="1"/>
  <c r="S71" i="1" s="1"/>
  <c r="AG71" i="1"/>
  <c r="AH71" i="1"/>
  <c r="CV71" i="1" s="1"/>
  <c r="U71" i="1" s="1"/>
  <c r="AI71" i="1"/>
  <c r="AJ71" i="1"/>
  <c r="CR71" i="1"/>
  <c r="CS71" i="1"/>
  <c r="CU71" i="1"/>
  <c r="T71" i="1" s="1"/>
  <c r="CW71" i="1"/>
  <c r="CX71" i="1"/>
  <c r="FR71" i="1"/>
  <c r="BY73" i="1" s="1"/>
  <c r="GL71" i="1"/>
  <c r="GN71" i="1"/>
  <c r="GO71" i="1"/>
  <c r="GV71" i="1"/>
  <c r="HC71" i="1" s="1"/>
  <c r="GX71" i="1" s="1"/>
  <c r="B73" i="1"/>
  <c r="B65" i="1" s="1"/>
  <c r="C73" i="1"/>
  <c r="C65" i="1" s="1"/>
  <c r="D73" i="1"/>
  <c r="F73" i="1"/>
  <c r="F65" i="1" s="1"/>
  <c r="G73" i="1"/>
  <c r="G65" i="1" s="1"/>
  <c r="BX73" i="1"/>
  <c r="AO73" i="1" s="1"/>
  <c r="BZ73" i="1"/>
  <c r="AQ73" i="1" s="1"/>
  <c r="CK73" i="1"/>
  <c r="CK65" i="1" s="1"/>
  <c r="CL73" i="1"/>
  <c r="CL65" i="1" s="1"/>
  <c r="CM73" i="1"/>
  <c r="BD73" i="1" s="1"/>
  <c r="D103" i="1"/>
  <c r="D105" i="1"/>
  <c r="E105" i="1"/>
  <c r="Z105" i="1"/>
  <c r="AA105" i="1"/>
  <c r="AM105" i="1"/>
  <c r="AN105" i="1"/>
  <c r="BE105" i="1"/>
  <c r="BF105" i="1"/>
  <c r="BG105" i="1"/>
  <c r="BH105" i="1"/>
  <c r="BI105" i="1"/>
  <c r="BJ105" i="1"/>
  <c r="BK105" i="1"/>
  <c r="BL105" i="1"/>
  <c r="BM105" i="1"/>
  <c r="BN105" i="1"/>
  <c r="BO105" i="1"/>
  <c r="BP105" i="1"/>
  <c r="BQ105" i="1"/>
  <c r="BR105" i="1"/>
  <c r="BS105" i="1"/>
  <c r="BT105" i="1"/>
  <c r="BU105" i="1"/>
  <c r="BV105" i="1"/>
  <c r="BW105" i="1"/>
  <c r="CM105" i="1"/>
  <c r="CN105" i="1"/>
  <c r="CO105" i="1"/>
  <c r="CP105" i="1"/>
  <c r="CQ105" i="1"/>
  <c r="CR105" i="1"/>
  <c r="CS105" i="1"/>
  <c r="CT105" i="1"/>
  <c r="CU105" i="1"/>
  <c r="CV105" i="1"/>
  <c r="CW105" i="1"/>
  <c r="CX105" i="1"/>
  <c r="CY105" i="1"/>
  <c r="CZ105" i="1"/>
  <c r="DA105" i="1"/>
  <c r="DB105" i="1"/>
  <c r="DC105" i="1"/>
  <c r="DD105" i="1"/>
  <c r="DE105" i="1"/>
  <c r="DF105" i="1"/>
  <c r="DG105" i="1"/>
  <c r="DH105" i="1"/>
  <c r="DI105" i="1"/>
  <c r="DJ105" i="1"/>
  <c r="DK105" i="1"/>
  <c r="DL105" i="1"/>
  <c r="DM105" i="1"/>
  <c r="DN105" i="1"/>
  <c r="DO105" i="1"/>
  <c r="DP105" i="1"/>
  <c r="DQ105" i="1"/>
  <c r="DR105" i="1"/>
  <c r="DS105" i="1"/>
  <c r="DT105" i="1"/>
  <c r="DU105" i="1"/>
  <c r="DV105" i="1"/>
  <c r="DW105" i="1"/>
  <c r="DX105" i="1"/>
  <c r="DY105" i="1"/>
  <c r="DZ105" i="1"/>
  <c r="EA105" i="1"/>
  <c r="EB105" i="1"/>
  <c r="EC105" i="1"/>
  <c r="ED105" i="1"/>
  <c r="EE105" i="1"/>
  <c r="EF105" i="1"/>
  <c r="EG105" i="1"/>
  <c r="EH105" i="1"/>
  <c r="EI105" i="1"/>
  <c r="EJ105" i="1"/>
  <c r="EK105" i="1"/>
  <c r="EL105" i="1"/>
  <c r="EM105" i="1"/>
  <c r="EN105" i="1"/>
  <c r="EO105" i="1"/>
  <c r="EP105" i="1"/>
  <c r="EQ105" i="1"/>
  <c r="ER105" i="1"/>
  <c r="ES105" i="1"/>
  <c r="ET105" i="1"/>
  <c r="EU105" i="1"/>
  <c r="EV105" i="1"/>
  <c r="EW105" i="1"/>
  <c r="EX105" i="1"/>
  <c r="EY105" i="1"/>
  <c r="EZ105" i="1"/>
  <c r="FA105" i="1"/>
  <c r="FB105" i="1"/>
  <c r="FC105" i="1"/>
  <c r="FD105" i="1"/>
  <c r="FE105" i="1"/>
  <c r="FF105" i="1"/>
  <c r="FG105" i="1"/>
  <c r="FH105" i="1"/>
  <c r="FI105" i="1"/>
  <c r="FJ105" i="1"/>
  <c r="FK105" i="1"/>
  <c r="FL105" i="1"/>
  <c r="FM105" i="1"/>
  <c r="FN105" i="1"/>
  <c r="FO105" i="1"/>
  <c r="FP105" i="1"/>
  <c r="FQ105" i="1"/>
  <c r="FR105" i="1"/>
  <c r="FS105" i="1"/>
  <c r="FT105" i="1"/>
  <c r="FU105" i="1"/>
  <c r="FV105" i="1"/>
  <c r="FW105" i="1"/>
  <c r="FX105" i="1"/>
  <c r="FY105" i="1"/>
  <c r="FZ105" i="1"/>
  <c r="GA105" i="1"/>
  <c r="GB105" i="1"/>
  <c r="GC105" i="1"/>
  <c r="GD105" i="1"/>
  <c r="GE105" i="1"/>
  <c r="GF105" i="1"/>
  <c r="GG105" i="1"/>
  <c r="GH105" i="1"/>
  <c r="GI105" i="1"/>
  <c r="GJ105" i="1"/>
  <c r="GK105" i="1"/>
  <c r="GL105" i="1"/>
  <c r="GM105" i="1"/>
  <c r="GN105" i="1"/>
  <c r="GO105" i="1"/>
  <c r="GP105" i="1"/>
  <c r="GQ105" i="1"/>
  <c r="GR105" i="1"/>
  <c r="GS105" i="1"/>
  <c r="GT105" i="1"/>
  <c r="GU105" i="1"/>
  <c r="GV105" i="1"/>
  <c r="GW105" i="1"/>
  <c r="GX105" i="1"/>
  <c r="C107" i="1"/>
  <c r="D107" i="1"/>
  <c r="W107" i="1"/>
  <c r="AC107" i="1"/>
  <c r="AE107" i="1"/>
  <c r="CR107" i="1" s="1"/>
  <c r="Q107" i="1" s="1"/>
  <c r="AD111" i="1" s="1"/>
  <c r="AF107" i="1"/>
  <c r="AG107" i="1"/>
  <c r="AH107" i="1"/>
  <c r="AI107" i="1"/>
  <c r="CW107" i="1" s="1"/>
  <c r="V107" i="1" s="1"/>
  <c r="AI111" i="1" s="1"/>
  <c r="AJ107" i="1"/>
  <c r="CT107" i="1"/>
  <c r="S107" i="1" s="1"/>
  <c r="CU107" i="1"/>
  <c r="T107" i="1" s="1"/>
  <c r="CV107" i="1"/>
  <c r="U107" i="1" s="1"/>
  <c r="CX107" i="1"/>
  <c r="FR107" i="1"/>
  <c r="GL107" i="1"/>
  <c r="GN107" i="1"/>
  <c r="GO107" i="1"/>
  <c r="GV107" i="1"/>
  <c r="HC107" i="1" s="1"/>
  <c r="GX107" i="1" s="1"/>
  <c r="C108" i="1"/>
  <c r="D108" i="1"/>
  <c r="I108" i="1"/>
  <c r="K108" i="1"/>
  <c r="Q108" i="1"/>
  <c r="R108" i="1"/>
  <c r="T108" i="1"/>
  <c r="AG111" i="1" s="1"/>
  <c r="AC108" i="1"/>
  <c r="AD108" i="1"/>
  <c r="AE108" i="1"/>
  <c r="AF108" i="1"/>
  <c r="CT108" i="1" s="1"/>
  <c r="S108" i="1" s="1"/>
  <c r="CZ108" i="1" s="1"/>
  <c r="Y108" i="1" s="1"/>
  <c r="AG108" i="1"/>
  <c r="AH108" i="1"/>
  <c r="CV108" i="1" s="1"/>
  <c r="U108" i="1" s="1"/>
  <c r="AI108" i="1"/>
  <c r="AJ108" i="1"/>
  <c r="CQ108" i="1"/>
  <c r="P108" i="1" s="1"/>
  <c r="CR108" i="1"/>
  <c r="CS108" i="1"/>
  <c r="CU108" i="1"/>
  <c r="CW108" i="1"/>
  <c r="V108" i="1" s="1"/>
  <c r="CX108" i="1"/>
  <c r="W108" i="1" s="1"/>
  <c r="AJ111" i="1" s="1"/>
  <c r="AJ105" i="1" s="1"/>
  <c r="FR108" i="1"/>
  <c r="GL108" i="1"/>
  <c r="GN108" i="1"/>
  <c r="GO108" i="1"/>
  <c r="GV108" i="1"/>
  <c r="HC108" i="1" s="1"/>
  <c r="GX108" i="1" s="1"/>
  <c r="C109" i="1"/>
  <c r="D109" i="1"/>
  <c r="I109" i="1"/>
  <c r="K109" i="1"/>
  <c r="P109" i="1"/>
  <c r="V109" i="1"/>
  <c r="AC109" i="1"/>
  <c r="AD109" i="1"/>
  <c r="AB109" i="1" s="1"/>
  <c r="AE109" i="1"/>
  <c r="CS109" i="1" s="1"/>
  <c r="R109" i="1" s="1"/>
  <c r="AF109" i="1"/>
  <c r="AG109" i="1"/>
  <c r="AH109" i="1"/>
  <c r="CV109" i="1" s="1"/>
  <c r="U109" i="1" s="1"/>
  <c r="AI109" i="1"/>
  <c r="AJ109" i="1"/>
  <c r="CX109" i="1" s="1"/>
  <c r="W109" i="1" s="1"/>
  <c r="CQ109" i="1"/>
  <c r="CR109" i="1"/>
  <c r="Q109" i="1" s="1"/>
  <c r="CT109" i="1"/>
  <c r="S109" i="1" s="1"/>
  <c r="CZ109" i="1" s="1"/>
  <c r="Y109" i="1" s="1"/>
  <c r="CU109" i="1"/>
  <c r="T109" i="1" s="1"/>
  <c r="CW109" i="1"/>
  <c r="CY109" i="1"/>
  <c r="X109" i="1" s="1"/>
  <c r="FR109" i="1"/>
  <c r="BY111" i="1" s="1"/>
  <c r="GL109" i="1"/>
  <c r="GN109" i="1"/>
  <c r="GO109" i="1"/>
  <c r="GV109" i="1"/>
  <c r="HC109" i="1" s="1"/>
  <c r="GX109" i="1" s="1"/>
  <c r="B111" i="1"/>
  <c r="B105" i="1" s="1"/>
  <c r="C111" i="1"/>
  <c r="C105" i="1" s="1"/>
  <c r="D111" i="1"/>
  <c r="F111" i="1"/>
  <c r="F105" i="1" s="1"/>
  <c r="G111" i="1"/>
  <c r="G105" i="1" s="1"/>
  <c r="BX111" i="1"/>
  <c r="BX105" i="1" s="1"/>
  <c r="BZ111" i="1"/>
  <c r="AQ111" i="1" s="1"/>
  <c r="CB111" i="1"/>
  <c r="CB105" i="1" s="1"/>
  <c r="CC111" i="1"/>
  <c r="CC105" i="1" s="1"/>
  <c r="CK111" i="1"/>
  <c r="CK105" i="1" s="1"/>
  <c r="CL111" i="1"/>
  <c r="CL105" i="1" s="1"/>
  <c r="CM111" i="1"/>
  <c r="BD111" i="1" s="1"/>
  <c r="B141" i="1"/>
  <c r="B22" i="1" s="1"/>
  <c r="C141" i="1"/>
  <c r="C22" i="1" s="1"/>
  <c r="D141" i="1"/>
  <c r="D22" i="1" s="1"/>
  <c r="F141" i="1"/>
  <c r="F22" i="1" s="1"/>
  <c r="G141" i="1"/>
  <c r="G22" i="1" s="1"/>
  <c r="BD141" i="1"/>
  <c r="F166" i="1"/>
  <c r="B171" i="1"/>
  <c r="B18" i="1" s="1"/>
  <c r="C171" i="1"/>
  <c r="C18" i="1" s="1"/>
  <c r="D171" i="1"/>
  <c r="D18" i="1" s="1"/>
  <c r="F171" i="1"/>
  <c r="F18" i="1" s="1"/>
  <c r="G171" i="1"/>
  <c r="G18" i="1" s="1"/>
  <c r="F12" i="6"/>
  <c r="G12" i="6"/>
  <c r="CY12" i="6"/>
  <c r="E15" i="9" l="1"/>
  <c r="M19" i="10"/>
  <c r="F33" i="9" s="1"/>
  <c r="R37" i="10"/>
  <c r="R52" i="10"/>
  <c r="O11" i="10"/>
  <c r="M12" i="10"/>
  <c r="F24" i="9" s="1"/>
  <c r="T14" i="10"/>
  <c r="R15" i="10"/>
  <c r="M20" i="10"/>
  <c r="F29" i="9" s="1"/>
  <c r="T22" i="10"/>
  <c r="R23" i="10"/>
  <c r="O27" i="10"/>
  <c r="M28" i="10"/>
  <c r="F25" i="9" s="1"/>
  <c r="T30" i="10"/>
  <c r="R31" i="10"/>
  <c r="M35" i="10"/>
  <c r="F46" i="9" s="1"/>
  <c r="R38" i="10"/>
  <c r="O42" i="10"/>
  <c r="M43" i="10"/>
  <c r="F51" i="9" s="1"/>
  <c r="E55" i="9" s="1"/>
  <c r="T45" i="10"/>
  <c r="R46" i="10"/>
  <c r="M50" i="10"/>
  <c r="F58" i="9" s="1"/>
  <c r="E61" i="9" s="1"/>
  <c r="R53" i="10"/>
  <c r="R9" i="10"/>
  <c r="M14" i="10"/>
  <c r="F17" i="9" s="1"/>
  <c r="R17" i="10"/>
  <c r="M22" i="10"/>
  <c r="F27" i="9" s="1"/>
  <c r="R25" i="10"/>
  <c r="M30" i="10"/>
  <c r="F21" i="9" s="1"/>
  <c r="R33" i="10"/>
  <c r="M37" i="10"/>
  <c r="F54" i="9" s="1"/>
  <c r="R40" i="10"/>
  <c r="M45" i="10"/>
  <c r="F45" i="9" s="1"/>
  <c r="E47" i="9" s="1"/>
  <c r="R48" i="10"/>
  <c r="M52" i="10"/>
  <c r="F59" i="9" s="1"/>
  <c r="K71" i="7"/>
  <c r="P71" i="7"/>
  <c r="I93" i="7"/>
  <c r="K52" i="7"/>
  <c r="P52" i="7"/>
  <c r="K83" i="7"/>
  <c r="P83" i="7"/>
  <c r="I44" i="7"/>
  <c r="P112" i="7"/>
  <c r="K112" i="7"/>
  <c r="K104" i="7"/>
  <c r="P104" i="7"/>
  <c r="K137" i="7"/>
  <c r="P137" i="7"/>
  <c r="P141" i="7"/>
  <c r="K141" i="7"/>
  <c r="K60" i="7"/>
  <c r="P60" i="7"/>
  <c r="P123" i="7"/>
  <c r="K123" i="7"/>
  <c r="I133" i="7"/>
  <c r="F121" i="1"/>
  <c r="AQ105" i="1"/>
  <c r="AD105" i="1"/>
  <c r="Q111" i="1"/>
  <c r="T111" i="1"/>
  <c r="AG105" i="1"/>
  <c r="CC65" i="1"/>
  <c r="AT73" i="1"/>
  <c r="BD22" i="1"/>
  <c r="BD171" i="1"/>
  <c r="BY105" i="1"/>
  <c r="AP111" i="1"/>
  <c r="CI111" i="1"/>
  <c r="AH111" i="1"/>
  <c r="F83" i="1"/>
  <c r="AQ65" i="1"/>
  <c r="CY70" i="1"/>
  <c r="X70" i="1" s="1"/>
  <c r="CZ70" i="1"/>
  <c r="Y70" i="1" s="1"/>
  <c r="CP109" i="1"/>
  <c r="O109" i="1" s="1"/>
  <c r="GM109" i="1" s="1"/>
  <c r="GP109" i="1" s="1"/>
  <c r="CP108" i="1"/>
  <c r="O108" i="1" s="1"/>
  <c r="GM108" i="1" s="1"/>
  <c r="GP108" i="1" s="1"/>
  <c r="AB108" i="1"/>
  <c r="CJ111" i="1"/>
  <c r="AO65" i="1"/>
  <c r="F77" i="1"/>
  <c r="AS73" i="1"/>
  <c r="CB65" i="1"/>
  <c r="AH73" i="1"/>
  <c r="F136" i="1"/>
  <c r="BD105" i="1"/>
  <c r="W111" i="1"/>
  <c r="CY108" i="1"/>
  <c r="X108" i="1" s="1"/>
  <c r="AP73" i="1"/>
  <c r="BY65" i="1"/>
  <c r="CI73" i="1"/>
  <c r="BZ105" i="1"/>
  <c r="CG111" i="1"/>
  <c r="CZ107" i="1"/>
  <c r="Y107" i="1" s="1"/>
  <c r="AL111" i="1" s="1"/>
  <c r="CY107" i="1"/>
  <c r="X107" i="1" s="1"/>
  <c r="AK111" i="1" s="1"/>
  <c r="AF111" i="1"/>
  <c r="BC111" i="1"/>
  <c r="V111" i="1"/>
  <c r="AI105" i="1"/>
  <c r="GK67" i="1"/>
  <c r="AG73" i="1"/>
  <c r="BD65" i="1"/>
  <c r="F98" i="1"/>
  <c r="CY71" i="1"/>
  <c r="X71" i="1" s="1"/>
  <c r="CZ71" i="1"/>
  <c r="Y71" i="1" s="1"/>
  <c r="CZ68" i="1"/>
  <c r="Y68" i="1" s="1"/>
  <c r="AL73" i="1" s="1"/>
  <c r="AF73" i="1"/>
  <c r="CY68" i="1"/>
  <c r="X68" i="1" s="1"/>
  <c r="CP67" i="1"/>
  <c r="O67" i="1" s="1"/>
  <c r="CU34" i="3"/>
  <c r="CX34" i="3"/>
  <c r="CX36" i="3"/>
  <c r="BB111" i="1"/>
  <c r="AT111" i="1"/>
  <c r="BB73" i="1"/>
  <c r="R71" i="1"/>
  <c r="GK71" i="1" s="1"/>
  <c r="T70" i="1"/>
  <c r="CS70" i="1"/>
  <c r="R70" i="1" s="1"/>
  <c r="GK70" i="1" s="1"/>
  <c r="AD70" i="1"/>
  <c r="AB70" i="1" s="1"/>
  <c r="BC33" i="1"/>
  <c r="AO26" i="1"/>
  <c r="F37" i="1"/>
  <c r="AD33" i="1"/>
  <c r="CX39" i="3"/>
  <c r="AS111" i="1"/>
  <c r="Q71" i="1"/>
  <c r="CR70" i="1"/>
  <c r="Q70" i="1" s="1"/>
  <c r="CP70" i="1" s="1"/>
  <c r="O70" i="1" s="1"/>
  <c r="GM70" i="1" s="1"/>
  <c r="GP70" i="1" s="1"/>
  <c r="BZ65" i="1"/>
  <c r="DG17" i="3"/>
  <c r="DI17" i="3"/>
  <c r="DF17" i="3"/>
  <c r="DJ17" i="3" s="1"/>
  <c r="DH17" i="3"/>
  <c r="AH33" i="1"/>
  <c r="CW57" i="3"/>
  <c r="CX57" i="3"/>
  <c r="CW56" i="3"/>
  <c r="CS107" i="1"/>
  <c r="R107" i="1" s="1"/>
  <c r="CQ71" i="1"/>
  <c r="P71" i="1" s="1"/>
  <c r="V68" i="1"/>
  <c r="AI73" i="1" s="1"/>
  <c r="CM65" i="1"/>
  <c r="F58" i="1"/>
  <c r="CP31" i="1"/>
  <c r="O31" i="1" s="1"/>
  <c r="AI33" i="1"/>
  <c r="CX50" i="3"/>
  <c r="CW35" i="3"/>
  <c r="CY67" i="1"/>
  <c r="X67" i="1" s="1"/>
  <c r="AK73" i="1" s="1"/>
  <c r="CY28" i="1"/>
  <c r="X28" i="1" s="1"/>
  <c r="AK33" i="1" s="1"/>
  <c r="CZ28" i="1"/>
  <c r="Y28" i="1" s="1"/>
  <c r="AF33" i="1"/>
  <c r="DF23" i="3"/>
  <c r="DJ23" i="3" s="1"/>
  <c r="DG23" i="3"/>
  <c r="DH23" i="3"/>
  <c r="DI23" i="3"/>
  <c r="CQ107" i="1"/>
  <c r="P107" i="1" s="1"/>
  <c r="AD107" i="1"/>
  <c r="AB107" i="1" s="1"/>
  <c r="CG73" i="1"/>
  <c r="CU38" i="3"/>
  <c r="CX38" i="3"/>
  <c r="CX41" i="3"/>
  <c r="Q68" i="1"/>
  <c r="AD73" i="1" s="1"/>
  <c r="F42" i="1"/>
  <c r="CP30" i="1"/>
  <c r="O30" i="1" s="1"/>
  <c r="CJ33" i="1"/>
  <c r="GK28" i="1"/>
  <c r="CU42" i="3"/>
  <c r="CX43" i="3"/>
  <c r="AO111" i="1"/>
  <c r="AO141" i="1" s="1"/>
  <c r="W71" i="1"/>
  <c r="AJ73" i="1" s="1"/>
  <c r="P68" i="1"/>
  <c r="CP68" i="1" s="1"/>
  <c r="O68" i="1" s="1"/>
  <c r="GM68" i="1" s="1"/>
  <c r="GP68" i="1" s="1"/>
  <c r="CG33" i="1"/>
  <c r="CU44" i="3"/>
  <c r="CX45" i="3"/>
  <c r="CX48" i="3"/>
  <c r="CV44" i="3"/>
  <c r="CX47" i="3"/>
  <c r="CX51" i="3"/>
  <c r="CW45" i="3"/>
  <c r="CW48" i="3"/>
  <c r="CW46" i="3"/>
  <c r="CX49" i="3"/>
  <c r="CW47" i="3"/>
  <c r="CX54" i="3"/>
  <c r="CW54" i="3"/>
  <c r="CW55" i="3"/>
  <c r="GX70" i="1"/>
  <c r="CJ73" i="1" s="1"/>
  <c r="CZ69" i="1"/>
  <c r="Y69" i="1" s="1"/>
  <c r="GM69" i="1" s="1"/>
  <c r="GP69" i="1" s="1"/>
  <c r="CY29" i="1"/>
  <c r="X29" i="1" s="1"/>
  <c r="CZ29" i="1"/>
  <c r="Y29" i="1" s="1"/>
  <c r="CP28" i="1"/>
  <c r="O28" i="1" s="1"/>
  <c r="AC33" i="1"/>
  <c r="BC73" i="1"/>
  <c r="CY31" i="1"/>
  <c r="X31" i="1" s="1"/>
  <c r="CZ31" i="1"/>
  <c r="Y31" i="1" s="1"/>
  <c r="AJ33" i="1"/>
  <c r="AQ33" i="1"/>
  <c r="CS30" i="1"/>
  <c r="R30" i="1" s="1"/>
  <c r="GK30" i="1" s="1"/>
  <c r="CX44" i="3"/>
  <c r="CX42" i="3"/>
  <c r="CW39" i="3"/>
  <c r="CU32" i="3"/>
  <c r="CX29" i="3"/>
  <c r="CX26" i="3"/>
  <c r="CX16" i="3"/>
  <c r="DG3" i="3"/>
  <c r="DJ3" i="3" s="1"/>
  <c r="DH3" i="3"/>
  <c r="DF3" i="3"/>
  <c r="CQ29" i="1"/>
  <c r="P29" i="1" s="1"/>
  <c r="CP29" i="1" s="1"/>
  <c r="O29" i="1" s="1"/>
  <c r="AB29" i="1"/>
  <c r="CX20" i="3"/>
  <c r="CX15" i="3"/>
  <c r="CB26" i="1"/>
  <c r="CW36" i="3"/>
  <c r="DG7" i="3"/>
  <c r="DG6" i="3"/>
  <c r="DH6" i="3"/>
  <c r="DF6" i="3"/>
  <c r="DJ6" i="3" s="1"/>
  <c r="CX56" i="3"/>
  <c r="CV34" i="3"/>
  <c r="CX31" i="3"/>
  <c r="CX28" i="3"/>
  <c r="CX25" i="3"/>
  <c r="CX22" i="3"/>
  <c r="CX19" i="3"/>
  <c r="CX14" i="3"/>
  <c r="DH10" i="3"/>
  <c r="DF7" i="3"/>
  <c r="DJ7" i="3" s="1"/>
  <c r="CX52" i="3"/>
  <c r="CX46" i="3"/>
  <c r="CX40" i="3"/>
  <c r="CX33" i="3"/>
  <c r="CW22" i="3"/>
  <c r="CX18" i="3"/>
  <c r="DG10" i="3"/>
  <c r="DI6" i="3"/>
  <c r="BB33" i="1"/>
  <c r="AT33" i="1"/>
  <c r="CX55" i="3"/>
  <c r="CV38" i="3"/>
  <c r="CX35" i="3"/>
  <c r="CX27" i="3"/>
  <c r="CX24" i="3"/>
  <c r="CX13" i="3"/>
  <c r="DI5" i="3"/>
  <c r="DF1" i="3"/>
  <c r="DH1" i="3"/>
  <c r="T29" i="1"/>
  <c r="AG33" i="1" s="1"/>
  <c r="CV42" i="3"/>
  <c r="CX37" i="3"/>
  <c r="CX30" i="3"/>
  <c r="CX21" i="3"/>
  <c r="CV12" i="3"/>
  <c r="CX12" i="3"/>
  <c r="DH5" i="3"/>
  <c r="CW4" i="3"/>
  <c r="DG1" i="3"/>
  <c r="CU15" i="3"/>
  <c r="CV15" i="3"/>
  <c r="AB28" i="1"/>
  <c r="CX32" i="3"/>
  <c r="CU21" i="3"/>
  <c r="DF11" i="3"/>
  <c r="DJ11" i="3" s="1"/>
  <c r="DG11" i="3"/>
  <c r="DI11" i="3"/>
  <c r="DF8" i="3"/>
  <c r="DJ8" i="3" s="1"/>
  <c r="DH8" i="3"/>
  <c r="DI4" i="3"/>
  <c r="DH4" i="3"/>
  <c r="DG9" i="3"/>
  <c r="E37" i="9" l="1"/>
  <c r="K44" i="7"/>
  <c r="P44" i="7"/>
  <c r="P93" i="7"/>
  <c r="I125" i="7" s="1"/>
  <c r="K93" i="7"/>
  <c r="K133" i="7"/>
  <c r="P133" i="7"/>
  <c r="I143" i="7" s="1"/>
  <c r="Y73" i="1"/>
  <c r="AL65" i="1"/>
  <c r="CJ65" i="1"/>
  <c r="BA73" i="1"/>
  <c r="AJ65" i="1"/>
  <c r="W73" i="1"/>
  <c r="AO22" i="1"/>
  <c r="F145" i="1"/>
  <c r="AO171" i="1"/>
  <c r="AG26" i="1"/>
  <c r="T33" i="1"/>
  <c r="AI65" i="1"/>
  <c r="V73" i="1"/>
  <c r="DH55" i="3"/>
  <c r="DF55" i="3"/>
  <c r="DG55" i="3"/>
  <c r="DJ55" i="3" s="1"/>
  <c r="DI55" i="3"/>
  <c r="DF40" i="3"/>
  <c r="DJ40" i="3" s="1"/>
  <c r="DH40" i="3"/>
  <c r="DG40" i="3"/>
  <c r="DI40" i="3"/>
  <c r="DH25" i="3"/>
  <c r="DF25" i="3"/>
  <c r="DJ25" i="3" s="1"/>
  <c r="DG25" i="3"/>
  <c r="DI25" i="3"/>
  <c r="DF44" i="3"/>
  <c r="DH44" i="3"/>
  <c r="DG44" i="3"/>
  <c r="DI44" i="3"/>
  <c r="DJ44" i="3" s="1"/>
  <c r="GM28" i="1"/>
  <c r="AB33" i="1"/>
  <c r="DF48" i="3"/>
  <c r="DH48" i="3"/>
  <c r="DI48" i="3"/>
  <c r="DG48" i="3"/>
  <c r="DJ48" i="3" s="1"/>
  <c r="DI38" i="3"/>
  <c r="DJ38" i="3" s="1"/>
  <c r="DG38" i="3"/>
  <c r="DF38" i="3"/>
  <c r="DH38" i="3"/>
  <c r="AI26" i="1"/>
  <c r="V33" i="1"/>
  <c r="DF57" i="3"/>
  <c r="DI57" i="3"/>
  <c r="DG57" i="3"/>
  <c r="DJ57" i="3" s="1"/>
  <c r="DH57" i="3"/>
  <c r="DI34" i="3"/>
  <c r="DJ34" i="3" s="1"/>
  <c r="DG34" i="3"/>
  <c r="DF34" i="3"/>
  <c r="DH34" i="3"/>
  <c r="V105" i="1"/>
  <c r="F134" i="1"/>
  <c r="U111" i="1"/>
  <c r="AH105" i="1"/>
  <c r="AT65" i="1"/>
  <c r="F91" i="1"/>
  <c r="DG12" i="3"/>
  <c r="DH12" i="3"/>
  <c r="DF12" i="3"/>
  <c r="DI12" i="3"/>
  <c r="DJ12" i="3" s="1"/>
  <c r="AT26" i="1"/>
  <c r="F51" i="1"/>
  <c r="AT141" i="1"/>
  <c r="DI28" i="3"/>
  <c r="DF28" i="3"/>
  <c r="DJ28" i="3" s="1"/>
  <c r="DG28" i="3"/>
  <c r="DH28" i="3"/>
  <c r="DI49" i="3"/>
  <c r="DG49" i="3"/>
  <c r="DF49" i="3"/>
  <c r="DJ49" i="3" s="1"/>
  <c r="DH49" i="3"/>
  <c r="DH45" i="3"/>
  <c r="DF45" i="3"/>
  <c r="DG45" i="3"/>
  <c r="DJ45" i="3" s="1"/>
  <c r="DI45" i="3"/>
  <c r="AE33" i="1"/>
  <c r="S33" i="1"/>
  <c r="AF26" i="1"/>
  <c r="GM31" i="1"/>
  <c r="GP31" i="1" s="1"/>
  <c r="BC105" i="1"/>
  <c r="F127" i="1"/>
  <c r="AP65" i="1"/>
  <c r="F82" i="1"/>
  <c r="AP141" i="1"/>
  <c r="AS65" i="1"/>
  <c r="F90" i="1"/>
  <c r="AS141" i="1"/>
  <c r="CI105" i="1"/>
  <c r="AZ111" i="1"/>
  <c r="DH46" i="3"/>
  <c r="DF46" i="3"/>
  <c r="DG46" i="3"/>
  <c r="DJ46" i="3" s="1"/>
  <c r="DI46" i="3"/>
  <c r="DG32" i="3"/>
  <c r="DI32" i="3"/>
  <c r="DJ32" i="3" s="1"/>
  <c r="DF32" i="3"/>
  <c r="DH32" i="3"/>
  <c r="BB26" i="1"/>
  <c r="BB141" i="1"/>
  <c r="F46" i="1"/>
  <c r="DH52" i="3"/>
  <c r="DF52" i="3"/>
  <c r="DJ52" i="3" s="1"/>
  <c r="DG52" i="3"/>
  <c r="DI52" i="3"/>
  <c r="DF31" i="3"/>
  <c r="DJ31" i="3" s="1"/>
  <c r="DG31" i="3"/>
  <c r="DH31" i="3"/>
  <c r="DI31" i="3"/>
  <c r="DI16" i="3"/>
  <c r="DH16" i="3"/>
  <c r="DF16" i="3"/>
  <c r="DJ16" i="3" s="1"/>
  <c r="DG16" i="3"/>
  <c r="AQ26" i="1"/>
  <c r="F43" i="1"/>
  <c r="AQ141" i="1"/>
  <c r="CG65" i="1"/>
  <c r="AX73" i="1"/>
  <c r="AL33" i="1"/>
  <c r="AH26" i="1"/>
  <c r="U33" i="1"/>
  <c r="F128" i="1"/>
  <c r="AS105" i="1"/>
  <c r="GM67" i="1"/>
  <c r="AF105" i="1"/>
  <c r="S111" i="1"/>
  <c r="F120" i="1"/>
  <c r="AP105" i="1"/>
  <c r="DG21" i="3"/>
  <c r="DI21" i="3"/>
  <c r="DJ21" i="3" s="1"/>
  <c r="DH21" i="3"/>
  <c r="DF21" i="3"/>
  <c r="DG26" i="3"/>
  <c r="DF26" i="3"/>
  <c r="DJ26" i="3" s="1"/>
  <c r="DH26" i="3"/>
  <c r="DI26" i="3"/>
  <c r="AJ26" i="1"/>
  <c r="W33" i="1"/>
  <c r="CG26" i="1"/>
  <c r="AX33" i="1"/>
  <c r="BA33" i="1"/>
  <c r="CJ26" i="1"/>
  <c r="AK26" i="1"/>
  <c r="X33" i="1"/>
  <c r="DI39" i="3"/>
  <c r="DH39" i="3"/>
  <c r="DF39" i="3"/>
  <c r="DG39" i="3"/>
  <c r="DJ39" i="3" s="1"/>
  <c r="AC73" i="1"/>
  <c r="AG65" i="1"/>
  <c r="T73" i="1"/>
  <c r="AK105" i="1"/>
  <c r="X111" i="1"/>
  <c r="W105" i="1"/>
  <c r="F135" i="1"/>
  <c r="T105" i="1"/>
  <c r="F132" i="1"/>
  <c r="DI30" i="3"/>
  <c r="DG30" i="3"/>
  <c r="DH30" i="3"/>
  <c r="DF30" i="3"/>
  <c r="DJ30" i="3" s="1"/>
  <c r="DG24" i="3"/>
  <c r="DI24" i="3"/>
  <c r="DF24" i="3"/>
  <c r="DJ24" i="3" s="1"/>
  <c r="DH24" i="3"/>
  <c r="DH56" i="3"/>
  <c r="DF56" i="3"/>
  <c r="DG56" i="3"/>
  <c r="DJ56" i="3" s="1"/>
  <c r="DI56" i="3"/>
  <c r="DF20" i="3"/>
  <c r="DJ20" i="3" s="1"/>
  <c r="DH20" i="3"/>
  <c r="DG20" i="3"/>
  <c r="DI20" i="3"/>
  <c r="DF29" i="3"/>
  <c r="DJ29" i="3" s="1"/>
  <c r="DH29" i="3"/>
  <c r="DG29" i="3"/>
  <c r="DI29" i="3"/>
  <c r="GM30" i="1"/>
  <c r="GP30" i="1" s="1"/>
  <c r="CP107" i="1"/>
  <c r="O107" i="1" s="1"/>
  <c r="AC111" i="1"/>
  <c r="Q33" i="1"/>
  <c r="AD26" i="1"/>
  <c r="F86" i="1"/>
  <c r="BB65" i="1"/>
  <c r="AL105" i="1"/>
  <c r="Y111" i="1"/>
  <c r="BD18" i="1"/>
  <c r="F196" i="1"/>
  <c r="Q105" i="1"/>
  <c r="F123" i="1"/>
  <c r="DH37" i="3"/>
  <c r="DF37" i="3"/>
  <c r="DJ37" i="3" s="1"/>
  <c r="DI37" i="3"/>
  <c r="DG37" i="3"/>
  <c r="DG18" i="3"/>
  <c r="DH18" i="3"/>
  <c r="DF18" i="3"/>
  <c r="DJ18" i="3" s="1"/>
  <c r="DI18" i="3"/>
  <c r="DF14" i="3"/>
  <c r="DJ14" i="3" s="1"/>
  <c r="DH14" i="3"/>
  <c r="DG14" i="3"/>
  <c r="DI14" i="3"/>
  <c r="DG51" i="3"/>
  <c r="DI51" i="3"/>
  <c r="DH51" i="3"/>
  <c r="DF51" i="3"/>
  <c r="DJ51" i="3" s="1"/>
  <c r="AK65" i="1"/>
  <c r="X73" i="1"/>
  <c r="CP71" i="1"/>
  <c r="O71" i="1" s="1"/>
  <c r="GM71" i="1" s="1"/>
  <c r="GP71" i="1" s="1"/>
  <c r="F129" i="1"/>
  <c r="AT105" i="1"/>
  <c r="S73" i="1"/>
  <c r="AF65" i="1"/>
  <c r="AE73" i="1"/>
  <c r="CG105" i="1"/>
  <c r="AX111" i="1"/>
  <c r="DI13" i="3"/>
  <c r="DF13" i="3"/>
  <c r="DJ13" i="3" s="1"/>
  <c r="DG13" i="3"/>
  <c r="DH13" i="3"/>
  <c r="DF15" i="3"/>
  <c r="DG15" i="3"/>
  <c r="DI15" i="3"/>
  <c r="DJ15" i="3" s="1"/>
  <c r="DH15" i="3"/>
  <c r="DH27" i="3"/>
  <c r="DF27" i="3"/>
  <c r="DJ27" i="3" s="1"/>
  <c r="DG27" i="3"/>
  <c r="DI27" i="3"/>
  <c r="DI35" i="3"/>
  <c r="DF35" i="3"/>
  <c r="DG35" i="3"/>
  <c r="DJ35" i="3" s="1"/>
  <c r="DH35" i="3"/>
  <c r="DI19" i="3"/>
  <c r="DF19" i="3"/>
  <c r="DJ19" i="3" s="1"/>
  <c r="DG19" i="3"/>
  <c r="DH19" i="3"/>
  <c r="GM29" i="1"/>
  <c r="GP29" i="1" s="1"/>
  <c r="BC65" i="1"/>
  <c r="F89" i="1"/>
  <c r="DF47" i="3"/>
  <c r="DG47" i="3"/>
  <c r="DJ47" i="3" s="1"/>
  <c r="DH47" i="3"/>
  <c r="DI47" i="3"/>
  <c r="AO105" i="1"/>
  <c r="F115" i="1"/>
  <c r="Q73" i="1"/>
  <c r="AD65" i="1"/>
  <c r="AE111" i="1"/>
  <c r="GK107" i="1"/>
  <c r="BB105" i="1"/>
  <c r="F124" i="1"/>
  <c r="AH65" i="1"/>
  <c r="U73" i="1"/>
  <c r="CJ105" i="1"/>
  <c r="BA111" i="1"/>
  <c r="DH33" i="3"/>
  <c r="DF33" i="3"/>
  <c r="DJ33" i="3" s="1"/>
  <c r="DG33" i="3"/>
  <c r="DI33" i="3"/>
  <c r="DI22" i="3"/>
  <c r="DG22" i="3"/>
  <c r="DJ22" i="3" s="1"/>
  <c r="DF22" i="3"/>
  <c r="DH22" i="3"/>
  <c r="DH42" i="3"/>
  <c r="DG42" i="3"/>
  <c r="DI42" i="3"/>
  <c r="DJ42" i="3" s="1"/>
  <c r="DF42" i="3"/>
  <c r="AC26" i="1"/>
  <c r="P33" i="1"/>
  <c r="CH33" i="1"/>
  <c r="CE33" i="1"/>
  <c r="CF33" i="1"/>
  <c r="DF54" i="3"/>
  <c r="DH54" i="3"/>
  <c r="DG54" i="3"/>
  <c r="DJ54" i="3" s="1"/>
  <c r="DI54" i="3"/>
  <c r="DG43" i="3"/>
  <c r="DF43" i="3"/>
  <c r="DJ43" i="3" s="1"/>
  <c r="DH43" i="3"/>
  <c r="DI43" i="3"/>
  <c r="DI41" i="3"/>
  <c r="DG41" i="3"/>
  <c r="DF41" i="3"/>
  <c r="DJ41" i="3" s="1"/>
  <c r="DH41" i="3"/>
  <c r="DF50" i="3"/>
  <c r="DJ50" i="3" s="1"/>
  <c r="DG50" i="3"/>
  <c r="DH50" i="3"/>
  <c r="DI50" i="3"/>
  <c r="BC26" i="1"/>
  <c r="BC141" i="1"/>
  <c r="F49" i="1"/>
  <c r="DG36" i="3"/>
  <c r="DJ36" i="3" s="1"/>
  <c r="DF36" i="3"/>
  <c r="DH36" i="3"/>
  <c r="DI36" i="3"/>
  <c r="CI65" i="1"/>
  <c r="AZ73" i="1"/>
  <c r="I146" i="7" l="1"/>
  <c r="I73" i="7"/>
  <c r="I149" i="7"/>
  <c r="F137" i="1"/>
  <c r="X105" i="1"/>
  <c r="AZ105" i="1"/>
  <c r="F122" i="1"/>
  <c r="BC22" i="1"/>
  <c r="F157" i="1"/>
  <c r="BC171" i="1"/>
  <c r="F84" i="1"/>
  <c r="AZ65" i="1"/>
  <c r="AZ141" i="1"/>
  <c r="CF26" i="1"/>
  <c r="AW33" i="1"/>
  <c r="AE105" i="1"/>
  <c r="R111" i="1"/>
  <c r="AX105" i="1"/>
  <c r="F118" i="1"/>
  <c r="X65" i="1"/>
  <c r="F99" i="1"/>
  <c r="X26" i="1"/>
  <c r="X141" i="1"/>
  <c r="F59" i="1"/>
  <c r="U26" i="1"/>
  <c r="F55" i="1"/>
  <c r="U141" i="1"/>
  <c r="AB26" i="1"/>
  <c r="O33" i="1"/>
  <c r="CE26" i="1"/>
  <c r="AV33" i="1"/>
  <c r="BA105" i="1"/>
  <c r="F131" i="1"/>
  <c r="F94" i="1"/>
  <c r="T65" i="1"/>
  <c r="AS22" i="1"/>
  <c r="F158" i="1"/>
  <c r="E16" i="2" s="1"/>
  <c r="AS171" i="1"/>
  <c r="AT22" i="1"/>
  <c r="F159" i="1"/>
  <c r="F16" i="2" s="1"/>
  <c r="F18" i="2" s="1"/>
  <c r="AT171" i="1"/>
  <c r="GP28" i="1"/>
  <c r="CD33" i="1" s="1"/>
  <c r="CA33" i="1"/>
  <c r="W65" i="1"/>
  <c r="F97" i="1"/>
  <c r="F126" i="1"/>
  <c r="S105" i="1"/>
  <c r="Y33" i="1"/>
  <c r="AL26" i="1"/>
  <c r="V65" i="1"/>
  <c r="F96" i="1"/>
  <c r="CH26" i="1"/>
  <c r="AY33" i="1"/>
  <c r="Q65" i="1"/>
  <c r="F85" i="1"/>
  <c r="P26" i="1"/>
  <c r="F36" i="1"/>
  <c r="U65" i="1"/>
  <c r="F95" i="1"/>
  <c r="Q26" i="1"/>
  <c r="F45" i="1"/>
  <c r="Q141" i="1"/>
  <c r="CE73" i="1"/>
  <c r="CH73" i="1"/>
  <c r="P73" i="1"/>
  <c r="CF73" i="1"/>
  <c r="AC65" i="1"/>
  <c r="BA26" i="1"/>
  <c r="F53" i="1"/>
  <c r="BA141" i="1"/>
  <c r="AX65" i="1"/>
  <c r="F80" i="1"/>
  <c r="S26" i="1"/>
  <c r="F48" i="1"/>
  <c r="S141" i="1"/>
  <c r="U105" i="1"/>
  <c r="F133" i="1"/>
  <c r="F93" i="1"/>
  <c r="BA65" i="1"/>
  <c r="AE65" i="1"/>
  <c r="R73" i="1"/>
  <c r="S65" i="1"/>
  <c r="F88" i="1"/>
  <c r="CE111" i="1"/>
  <c r="AC105" i="1"/>
  <c r="CF111" i="1"/>
  <c r="P111" i="1"/>
  <c r="CH111" i="1"/>
  <c r="AX26" i="1"/>
  <c r="F40" i="1"/>
  <c r="AX141" i="1"/>
  <c r="AB73" i="1"/>
  <c r="AP22" i="1"/>
  <c r="AP171" i="1"/>
  <c r="F150" i="1"/>
  <c r="G16" i="2" s="1"/>
  <c r="G18" i="2" s="1"/>
  <c r="R33" i="1"/>
  <c r="AE26" i="1"/>
  <c r="T26" i="1"/>
  <c r="F54" i="1"/>
  <c r="T141" i="1"/>
  <c r="AB111" i="1"/>
  <c r="GM107" i="1"/>
  <c r="GP67" i="1"/>
  <c r="CD73" i="1" s="1"/>
  <c r="CA73" i="1"/>
  <c r="AQ22" i="1"/>
  <c r="AQ171" i="1"/>
  <c r="F151" i="1"/>
  <c r="BB22" i="1"/>
  <c r="BB171" i="1"/>
  <c r="F154" i="1"/>
  <c r="F138" i="1"/>
  <c r="Y105" i="1"/>
  <c r="W26" i="1"/>
  <c r="F57" i="1"/>
  <c r="W141" i="1"/>
  <c r="F56" i="1"/>
  <c r="V26" i="1"/>
  <c r="V141" i="1"/>
  <c r="AO18" i="1"/>
  <c r="F175" i="1"/>
  <c r="Y65" i="1"/>
  <c r="F100" i="1"/>
  <c r="S22" i="1" l="1"/>
  <c r="S171" i="1"/>
  <c r="F156" i="1"/>
  <c r="AQ18" i="1"/>
  <c r="F181" i="1"/>
  <c r="CF65" i="1"/>
  <c r="AW73" i="1"/>
  <c r="CA26" i="1"/>
  <c r="AR33" i="1"/>
  <c r="U22" i="1"/>
  <c r="F163" i="1"/>
  <c r="U171" i="1"/>
  <c r="R65" i="1"/>
  <c r="F87" i="1"/>
  <c r="F76" i="1"/>
  <c r="P65" i="1"/>
  <c r="P141" i="1"/>
  <c r="CD26" i="1"/>
  <c r="AU33" i="1"/>
  <c r="BC18" i="1"/>
  <c r="F187" i="1"/>
  <c r="W22" i="1"/>
  <c r="F165" i="1"/>
  <c r="W171" i="1"/>
  <c r="AX22" i="1"/>
  <c r="AX171" i="1"/>
  <c r="F148" i="1"/>
  <c r="CA65" i="1"/>
  <c r="AR73" i="1"/>
  <c r="F47" i="1"/>
  <c r="R26" i="1"/>
  <c r="R141" i="1"/>
  <c r="CH105" i="1"/>
  <c r="AY111" i="1"/>
  <c r="AY73" i="1"/>
  <c r="CH65" i="1"/>
  <c r="AT18" i="1"/>
  <c r="F189" i="1"/>
  <c r="F125" i="1"/>
  <c r="R105" i="1"/>
  <c r="V22" i="1"/>
  <c r="F164" i="1"/>
  <c r="V171" i="1"/>
  <c r="GP107" i="1"/>
  <c r="CD111" i="1" s="1"/>
  <c r="CA111" i="1"/>
  <c r="AP18" i="1"/>
  <c r="F180" i="1"/>
  <c r="CF105" i="1"/>
  <c r="AW111" i="1"/>
  <c r="BA22" i="1"/>
  <c r="F161" i="1"/>
  <c r="BA171" i="1"/>
  <c r="Q22" i="1"/>
  <c r="F153" i="1"/>
  <c r="Q171" i="1"/>
  <c r="AV26" i="1"/>
  <c r="F38" i="1"/>
  <c r="X22" i="1"/>
  <c r="F167" i="1"/>
  <c r="X171" i="1"/>
  <c r="AW26" i="1"/>
  <c r="F39" i="1"/>
  <c r="AW141" i="1"/>
  <c r="Y26" i="1"/>
  <c r="F60" i="1"/>
  <c r="Y141" i="1"/>
  <c r="BB18" i="1"/>
  <c r="F184" i="1"/>
  <c r="AB105" i="1"/>
  <c r="O111" i="1"/>
  <c r="AS18" i="1"/>
  <c r="F188" i="1"/>
  <c r="CD65" i="1"/>
  <c r="AU73" i="1"/>
  <c r="F114" i="1"/>
  <c r="P105" i="1"/>
  <c r="CE65" i="1"/>
  <c r="AV73" i="1"/>
  <c r="T22" i="1"/>
  <c r="T171" i="1"/>
  <c r="F162" i="1"/>
  <c r="O73" i="1"/>
  <c r="AB65" i="1"/>
  <c r="AV111" i="1"/>
  <c r="CE105" i="1"/>
  <c r="AY26" i="1"/>
  <c r="F41" i="1"/>
  <c r="AY141" i="1"/>
  <c r="E18" i="2"/>
  <c r="O26" i="1"/>
  <c r="O141" i="1"/>
  <c r="F35" i="1"/>
  <c r="AZ22" i="1"/>
  <c r="AZ171" i="1"/>
  <c r="F152" i="1"/>
  <c r="AZ18" i="1" l="1"/>
  <c r="F182" i="1"/>
  <c r="AW22" i="1"/>
  <c r="F147" i="1"/>
  <c r="AW171" i="1"/>
  <c r="R22" i="1"/>
  <c r="F155" i="1"/>
  <c r="R171" i="1"/>
  <c r="W18" i="1"/>
  <c r="F195" i="1"/>
  <c r="O105" i="1"/>
  <c r="F113" i="1"/>
  <c r="Q18" i="1"/>
  <c r="F183" i="1"/>
  <c r="AW65" i="1"/>
  <c r="F79" i="1"/>
  <c r="AV65" i="1"/>
  <c r="F78" i="1"/>
  <c r="CA105" i="1"/>
  <c r="AR111" i="1"/>
  <c r="AR65" i="1"/>
  <c r="F101" i="1"/>
  <c r="AV105" i="1"/>
  <c r="F116" i="1"/>
  <c r="X18" i="1"/>
  <c r="F197" i="1"/>
  <c r="BA18" i="1"/>
  <c r="F191" i="1"/>
  <c r="CD105" i="1"/>
  <c r="AU111" i="1"/>
  <c r="U18" i="1"/>
  <c r="F193" i="1"/>
  <c r="O22" i="1"/>
  <c r="F143" i="1"/>
  <c r="O171" i="1"/>
  <c r="O65" i="1"/>
  <c r="F75" i="1"/>
  <c r="Y22" i="1"/>
  <c r="F168" i="1"/>
  <c r="Y171" i="1"/>
  <c r="V18" i="1"/>
  <c r="F194" i="1"/>
  <c r="AY65" i="1"/>
  <c r="F81" i="1"/>
  <c r="AU26" i="1"/>
  <c r="F52" i="1"/>
  <c r="AU141" i="1"/>
  <c r="J16" i="2"/>
  <c r="J18" i="2" s="1"/>
  <c r="AU65" i="1"/>
  <c r="F92" i="1"/>
  <c r="AV141" i="1"/>
  <c r="AY105" i="1"/>
  <c r="F119" i="1"/>
  <c r="AX18" i="1"/>
  <c r="F178" i="1"/>
  <c r="S18" i="1"/>
  <c r="F186" i="1"/>
  <c r="AY22" i="1"/>
  <c r="AY171" i="1"/>
  <c r="F149" i="1"/>
  <c r="T18" i="1"/>
  <c r="F192" i="1"/>
  <c r="AW105" i="1"/>
  <c r="F117" i="1"/>
  <c r="P22" i="1"/>
  <c r="F144" i="1"/>
  <c r="P171" i="1"/>
  <c r="AR26" i="1"/>
  <c r="F61" i="1"/>
  <c r="AR141" i="1"/>
  <c r="Y18" i="1" l="1"/>
  <c r="F198" i="1"/>
  <c r="R18" i="1"/>
  <c r="F185" i="1"/>
  <c r="AU22" i="1"/>
  <c r="F160" i="1"/>
  <c r="H16" i="2" s="1"/>
  <c r="AU171" i="1"/>
  <c r="F130" i="1"/>
  <c r="AU105" i="1"/>
  <c r="AW18" i="1"/>
  <c r="F177" i="1"/>
  <c r="AR22" i="1"/>
  <c r="AR171" i="1"/>
  <c r="F169" i="1"/>
  <c r="AR105" i="1"/>
  <c r="F139" i="1"/>
  <c r="AY18" i="1"/>
  <c r="F179" i="1"/>
  <c r="AV22" i="1"/>
  <c r="AV171" i="1"/>
  <c r="F146" i="1"/>
  <c r="O18" i="1"/>
  <c r="F173" i="1"/>
  <c r="P18" i="1"/>
  <c r="F174" i="1"/>
  <c r="H18" i="2" l="1"/>
  <c r="I16" i="2"/>
  <c r="I18" i="2" s="1"/>
  <c r="AU18" i="1"/>
  <c r="F190" i="1"/>
  <c r="AR18" i="1"/>
  <c r="F199" i="1"/>
  <c r="AV18" i="1"/>
  <c r="F176" i="1"/>
  <c r="F200" i="1" l="1"/>
  <c r="F201" i="1" s="1"/>
</calcChain>
</file>

<file path=xl/sharedStrings.xml><?xml version="1.0" encoding="utf-8"?>
<sst xmlns="http://schemas.openxmlformats.org/spreadsheetml/2006/main" count="2568" uniqueCount="368">
  <si>
    <t>Smeta.RU  (495) 974-1589</t>
  </si>
  <si>
    <t>_PS_</t>
  </si>
  <si>
    <t>Smeta.RU</t>
  </si>
  <si>
    <t/>
  </si>
  <si>
    <t>Новый объект</t>
  </si>
  <si>
    <t>ГБОУ Школа №1440. Крылатские холмы д. 17. Фасад, кровля (в ценах на 01.04.2025 г)</t>
  </si>
  <si>
    <t>Сметные нормы списания</t>
  </si>
  <si>
    <t>Коды ОКП для СН-2012 Выпуск № 3 (в ценах на 01.04.2025 г)</t>
  </si>
  <si>
    <t>СН-2012 Выпуск № 3. (в ценах на 01.04.2025) глава_1-5, 7</t>
  </si>
  <si>
    <t>Типовой расчет для СН-2012 Выпуск №3 (в ценах на 01.04.2025 г)</t>
  </si>
  <si>
    <t>СН-2012 Выпуск № 3. База данных "Сборник стоимостных нормативов" в текущих ценах по состоянию на 01.04.2025 года</t>
  </si>
  <si>
    <t>Поправки для СН-2012 Выпуск № 3 в ценах на 01.04.2025 г от 02.04.2025</t>
  </si>
  <si>
    <t>Новая локальная смета</t>
  </si>
  <si>
    <t>Новый раздел</t>
  </si>
  <si>
    <t>Фасад</t>
  </si>
  <si>
    <t>1</t>
  </si>
  <si>
    <t>1.4-3101-4-1/1</t>
  </si>
  <si>
    <t>Усиление существующих железобетонных балок монолитными железобетонными обоймами набрызгом (восстановление утраченных участков)</t>
  </si>
  <si>
    <t>м3</t>
  </si>
  <si>
    <t>СН-2012.1 Выпуск № 3 (в текущих ценах по состоянию на 01.04.2025 г.). Сб.4-3101-4-1/1</t>
  </si>
  <si>
    <t>СН-2012</t>
  </si>
  <si>
    <t>Подрядные работы, гл. 1-5,7</t>
  </si>
  <si>
    <t>работа</t>
  </si>
  <si>
    <t>2</t>
  </si>
  <si>
    <t>1.14-3101-2-1/1</t>
  </si>
  <si>
    <t>Ремонт штукатурки гладких фасадов по камню и бетону с лестниц цементно-известковым раствором при площади до 5 м2 толщиной слоя до 20 мм</t>
  </si>
  <si>
    <t>100 м2</t>
  </si>
  <si>
    <t>СН-2012.1 Выпуск № 3 (в текущих ценах по состоянию на 01.04.2025 г.). Сб.14-3101-2-1/1</t>
  </si>
  <si>
    <t>3</t>
  </si>
  <si>
    <t>1.14-3203-12-1/1</t>
  </si>
  <si>
    <t>Окраска фасадов с лесов акриловой краской с подготовкой поверхности (с лестниц)</t>
  </si>
  <si>
    <t>СН-2012.1 Выпуск № 3 (в текущих ценах по состоянию на 01.04.2025 г.). Сб.14-3203-12-1/1</t>
  </si>
  <si>
    <t>4</t>
  </si>
  <si>
    <t>1.14-3201-8-2/1</t>
  </si>
  <si>
    <t>Окраска фасадов акриловой краской с подготовкой поверхности, расчисткой старой краски до 35% с лестниц</t>
  </si>
  <si>
    <t>СН-2012.1 Выпуск № 3 (в текущих ценах по состоянию на 01.04.2025 г.). Сб.14-3201-8-2/1</t>
  </si>
  <si>
    <t>ПЗ</t>
  </si>
  <si>
    <t>Прямые затраты</t>
  </si>
  <si>
    <t>СтМатОб</t>
  </si>
  <si>
    <t>Стоимость материальных ресурсов (всего)</t>
  </si>
  <si>
    <t>СтМатОбЗак</t>
  </si>
  <si>
    <t>Стоимость материалов и оборудования заказчика</t>
  </si>
  <si>
    <t>СтМатОбПод</t>
  </si>
  <si>
    <t>Стоимость материалов и оборудования подрядчика</t>
  </si>
  <si>
    <t>СтМат</t>
  </si>
  <si>
    <t>Стоимость материалов (всего)</t>
  </si>
  <si>
    <t>СтМатЗак</t>
  </si>
  <si>
    <t>Стоимость материалов заказчика</t>
  </si>
  <si>
    <t>СтМатПод</t>
  </si>
  <si>
    <t>Стоимость материалов подрядчика</t>
  </si>
  <si>
    <t>Оборуд</t>
  </si>
  <si>
    <t>Стоимость оборудования (всего)</t>
  </si>
  <si>
    <t>ОборудЗак</t>
  </si>
  <si>
    <t>Стоимость оборудования заказчика</t>
  </si>
  <si>
    <t>ОборудПод</t>
  </si>
  <si>
    <t>Стоимость оборудования подрядчика</t>
  </si>
  <si>
    <t>ЭММ</t>
  </si>
  <si>
    <t>Эксплуатация машин</t>
  </si>
  <si>
    <t>ЭММсНРиСП</t>
  </si>
  <si>
    <t>Эксплуатация машин по ТСН-2001.16</t>
  </si>
  <si>
    <t>ЗПМ</t>
  </si>
  <si>
    <t>ЗП машинистов</t>
  </si>
  <si>
    <t>ОЗП</t>
  </si>
  <si>
    <t>Основная ЗП рабочих</t>
  </si>
  <si>
    <t>ОЗПсНРиСП</t>
  </si>
  <si>
    <t>Основная ЗП рабочих по ТСН-2001.16</t>
  </si>
  <si>
    <t>Строит</t>
  </si>
  <si>
    <t>Строительные работы с НР и СП</t>
  </si>
  <si>
    <t>Монтаж</t>
  </si>
  <si>
    <t>Монтажные работы с НР и СП</t>
  </si>
  <si>
    <t>Прочие</t>
  </si>
  <si>
    <t>Прочие работы с НР и СП</t>
  </si>
  <si>
    <t>ПрочиеЗатр</t>
  </si>
  <si>
    <t>Прочие затраты по ТСН-2001.16</t>
  </si>
  <si>
    <t>ВозврМат</t>
  </si>
  <si>
    <t>Возврат материалов</t>
  </si>
  <si>
    <t>ТрудСтр</t>
  </si>
  <si>
    <t>Трудозатраты строителей</t>
  </si>
  <si>
    <t>ТрудМаш</t>
  </si>
  <si>
    <t>Трудозатраты машинистов</t>
  </si>
  <si>
    <t>ТранспМат</t>
  </si>
  <si>
    <t>Транспорт материалов</t>
  </si>
  <si>
    <t>Перевозка</t>
  </si>
  <si>
    <t>Перевозка грузов</t>
  </si>
  <si>
    <t>НР</t>
  </si>
  <si>
    <t>Накладные расходы</t>
  </si>
  <si>
    <t>СмПриб</t>
  </si>
  <si>
    <t>Сметная прибыль</t>
  </si>
  <si>
    <t>Всего</t>
  </si>
  <si>
    <t>Всего с НР и СП</t>
  </si>
  <si>
    <t>Кровля (козырек)</t>
  </si>
  <si>
    <t>5</t>
  </si>
  <si>
    <t>1.7-3304-1-1/1</t>
  </si>
  <si>
    <t>Разборка покрытий кровли из рулонных материалов в 1-3 слоя</t>
  </si>
  <si>
    <t>СН-2012.1 Выпуск № 3 (в текущих ценах по состоянию на 01.04.2025 г.). Сб.7-3304-1-1/1</t>
  </si>
  <si>
    <t>6</t>
  </si>
  <si>
    <t>1.10-3304-1-1/1</t>
  </si>
  <si>
    <t>Разборка цементных покрытий, толщина 30 мм</t>
  </si>
  <si>
    <t>СН-2012.1 Выпуск № 3 (в текущих ценах по состоянию на 01.04.2025 г.). Сб.10-3304-1-1/1</t>
  </si>
  <si>
    <t>7</t>
  </si>
  <si>
    <t>1.7-3303-4-1/1</t>
  </si>
  <si>
    <t>Устройство выравнивающих стяжек цементно-песчаных толщиной 15 мм</t>
  </si>
  <si>
    <t>СН-2012.1 Выпуск № 3 (в текущих ценах по состоянию на 01.04.2025 г.). Сб.7-3303-4-1/1</t>
  </si>
  <si>
    <t>8</t>
  </si>
  <si>
    <t>1.7-3303-4-2/1</t>
  </si>
  <si>
    <t>Добавлять или исключать на каждый 1 мм изменения толщины для поз. 7-3303-4-1 (до 30 мм)</t>
  </si>
  <si>
    <t>СН-2012.1 Выпуск № 3 (в текущих ценах по состоянию на 01.04.2025 г.). Сб.7-3303-4-2/1</t>
  </si>
  <si>
    <t>*15</t>
  </si>
  <si>
    <t>9</t>
  </si>
  <si>
    <t>1.7-3303-7-3/1</t>
  </si>
  <si>
    <t>Устройство рулонного покрытия в два слоя из наплавляемого материала типа "Филизол", "Изопласт"</t>
  </si>
  <si>
    <t>СН-2012.1 Выпуск № 3 (в текущих ценах по состоянию на 01.04.2025 г.). Сб.7-3303-7-3/1</t>
  </si>
  <si>
    <t>Мусор</t>
  </si>
  <si>
    <t>10</t>
  </si>
  <si>
    <t>1.49-9101-7-1/1</t>
  </si>
  <si>
    <t>Механизированная погрузка строительного мусора в автомобили-самосвалы</t>
  </si>
  <si>
    <t>т</t>
  </si>
  <si>
    <t>СН-2012.1 Выпуск № 3 (в текущих ценах по состоянию на 01.04.2025 г.). Сб.49-9101-7-1/1</t>
  </si>
  <si>
    <t>11</t>
  </si>
  <si>
    <t>1.49-9201-1-2/1</t>
  </si>
  <si>
    <t>Перевозка строительного мусора автосамосвалами грузоподъемностью до 10 т на расстояние 1 км - при механизированной погрузке</t>
  </si>
  <si>
    <t>СН-2012.1 Выпуск № 3 (в текущих ценах по состоянию на 01.04.2025 г.). Сб.49-9201-1-2/1</t>
  </si>
  <si>
    <t>Подрядные работы, гл. 1 перевозка мусора</t>
  </si>
  <si>
    <t>12</t>
  </si>
  <si>
    <t>1.49-9201-1-3/1</t>
  </si>
  <si>
    <t>Перевозка строительного мусора автосамосвалами грузоподъемностью до 10 т - добавляется на каждый последующий 1 км до 100 км</t>
  </si>
  <si>
    <t>СН-2012.1 Выпуск № 3 (в текущих ценах по состоянию на 01.04.2025 г.). Сб.49-9201-1-3/1</t>
  </si>
  <si>
    <t>*48</t>
  </si>
  <si>
    <t>НДС</t>
  </si>
  <si>
    <t>НДС 20%</t>
  </si>
  <si>
    <t>Итого</t>
  </si>
  <si>
    <t>Итого с НДС</t>
  </si>
  <si>
    <t>Уровень цен на 01.04.2025 г</t>
  </si>
  <si>
    <t>_OBSM_</t>
  </si>
  <si>
    <t>9999990008</t>
  </si>
  <si>
    <t>Трудозатраты рабочих</t>
  </si>
  <si>
    <t>чел.-ч.</t>
  </si>
  <si>
    <t>22.1-10-2</t>
  </si>
  <si>
    <t>СН-2012.22 Выпуск № 3 (в текущих ценах по состоянию на 01.04.2025 г.). Сб.1-10-2</t>
  </si>
  <si>
    <t>Компрессоры автомобильные, производительность 5-10 м3/мин</t>
  </si>
  <si>
    <t>маш.-ч</t>
  </si>
  <si>
    <t>22.1-4-31</t>
  </si>
  <si>
    <t>СН-2012.22 Выпуск № 3 (в текущих ценах по состоянию на 01.04.2025 г.). Сб.1-4-31</t>
  </si>
  <si>
    <t>Лебедки электрические, грузоподъемность до 1,5 т</t>
  </si>
  <si>
    <t>22.1-6-55</t>
  </si>
  <si>
    <t>СН-2012.22 Выпуск № 3 (в текущих ценах по состоянию на 01.04.2025 г.). Сб.1-6-55</t>
  </si>
  <si>
    <t>Цемент-пушки</t>
  </si>
  <si>
    <t>21.1-12-11</t>
  </si>
  <si>
    <t>СН-2012.21 Выпуск № 3 (в текущих ценах по состоянию на 01.04.2025 г.). Сб.1-12-11</t>
  </si>
  <si>
    <t>Песок для строительных работ, рядовой</t>
  </si>
  <si>
    <t>21.1-2-14</t>
  </si>
  <si>
    <t>СН-2012.21 Выпуск № 3 (в текущих ценах по состоянию на 01.04.2025 г.). Сб.1-2-14</t>
  </si>
  <si>
    <t>Цемент общестроительный, портландцемент общего назначения, марка 500</t>
  </si>
  <si>
    <t>21.12-6-128</t>
  </si>
  <si>
    <t>СН-2012.21 Выпуск № 3 (в текущих ценах по состоянию на 01.04.2025 г.). Сб.12-6-128</t>
  </si>
  <si>
    <t>Трубы стальные электросварные прямошовные, ГОСТ 10705-80, ГОСТ 10704-91, наружный диаметр 57 мм, толщина стенки 4 мм</t>
  </si>
  <si>
    <t>м</t>
  </si>
  <si>
    <t>21.3-2-17</t>
  </si>
  <si>
    <t>СН-2012.21 Выпуск № 3 (в текущих ценах по состоянию на 01.04.2025 г.). Сб.3-2-17</t>
  </si>
  <si>
    <t>Растворы цементные, марка 200</t>
  </si>
  <si>
    <t>21.3-4-6</t>
  </si>
  <si>
    <t>СН-2012.21 Выпуск № 3 (в текущих ценах по состоянию на 01.04.2025 г.). Сб.3-4-6</t>
  </si>
  <si>
    <t>Арматурная сталь для изготовления арматурных изделий на строительной площадке, класс А-Ш, марка 35ГС, 25Г2С, диаметр 14 мм</t>
  </si>
  <si>
    <t>21.6-1-40</t>
  </si>
  <si>
    <t>СН-2012.21 Выпуск № 3 (в текущих ценах по состоянию на 01.04.2025 г.). Сб.6-1-40</t>
  </si>
  <si>
    <t>Отдельные конструктивные элементы с преобладанием толстолистовой стали, средняя масса сборочной единицы от 0,11 до 0,5 т</t>
  </si>
  <si>
    <t>21.9-11-3</t>
  </si>
  <si>
    <t>СН-2012.21 Выпуск № 3 (в текущих ценах по состоянию на 01.04.2025 г.). Сб.9-11-3</t>
  </si>
  <si>
    <t>Щиты деревянные для фундаментов, колонн, балок, перекрытий, стен, перегородок и других конструкций из досок, толщина 40мм</t>
  </si>
  <si>
    <t>м2</t>
  </si>
  <si>
    <t>21.3-2-10</t>
  </si>
  <si>
    <t>СН-2012.21 Выпуск № 3 (в текущих ценах по состоянию на 01.04.2025 г.). Сб.3-2-10</t>
  </si>
  <si>
    <t>Растворы цементно-известковые, марка 75</t>
  </si>
  <si>
    <t>9999990001</t>
  </si>
  <si>
    <t>Масса мусора</t>
  </si>
  <si>
    <t>21.1-25-407</t>
  </si>
  <si>
    <t>СН-2012.21 Выпуск № 3 (в текущих ценах по состоянию на 01.04.2025 г.). Сб.1-25-407</t>
  </si>
  <si>
    <t>Шпатлевка масляно-клеевая универсальная</t>
  </si>
  <si>
    <t>21.1-6-21</t>
  </si>
  <si>
    <t>СН-2012.21 Выпуск № 3 (в текущих ценах по состоянию на 01.04.2025 г.). Сб.1-6-21</t>
  </si>
  <si>
    <t>Дисперсия поливинилацетатная гомополимерная грубодисперсная непластифицированная марка Д50Н</t>
  </si>
  <si>
    <t>21.1-6-60</t>
  </si>
  <si>
    <t>СН-2012.21 Выпуск № 3 (в текущих ценах по состоянию на 01.04.2025 г.). Сб.1-6-60</t>
  </si>
  <si>
    <t>Краски фасадные, марка "Акриал"</t>
  </si>
  <si>
    <t>21.1-6-8</t>
  </si>
  <si>
    <t>СН-2012.21 Выпуск № 3 (в текущих ценах по состоянию на 01.04.2025 г.). Сб.1-6-8</t>
  </si>
  <si>
    <t>Грунтовка "Акриал"</t>
  </si>
  <si>
    <t>21.3-2-99</t>
  </si>
  <si>
    <t>СН-2012.21 Выпуск № 3 (в текущих ценах по состоянию на 01.04.2025 г.). Сб.3-2-99</t>
  </si>
  <si>
    <t>Смеси сухие штукатурные цементно-песчаные для внутренних и наружных работ, бездобавочные: В12,5 (М150), F50, крупность заполнителя не более 0,5 мм</t>
  </si>
  <si>
    <t>22.1-6-61</t>
  </si>
  <si>
    <t>СН-2012.22 Выпуск № 3 (в текущих ценах по состоянию на 01.04.2025 г.). Сб.1-6-61</t>
  </si>
  <si>
    <t>Мешалки тихоходные (дрель с насадкой)</t>
  </si>
  <si>
    <t>21.1-20-7</t>
  </si>
  <si>
    <t>СН-2012.21 Выпуск № 3 (в текущих ценах по состоянию на 01.04.2025 г.). Сб.1-20-7</t>
  </si>
  <si>
    <t>Ветошь</t>
  </si>
  <si>
    <t>кг</t>
  </si>
  <si>
    <t>21.1-25-13</t>
  </si>
  <si>
    <t>СН-2012.21 Выпуск № 3 (в текущих ценах по состоянию на 01.04.2025 г.). Сб.1-25-13</t>
  </si>
  <si>
    <t>Вода</t>
  </si>
  <si>
    <t>21.1-25-388</t>
  </si>
  <si>
    <t>СН-2012.21 Выпуск № 3 (в текущих ценах по состоянию на 01.04.2025 г.). Сб.1-25-388</t>
  </si>
  <si>
    <t>Шкурка шлифовальная на бумажной основе</t>
  </si>
  <si>
    <t>21.1-25-404</t>
  </si>
  <si>
    <t>СН-2012.21 Выпуск № 3 (в текущих ценах по состоянию на 01.04.2025 г.). Сб.1-25-404</t>
  </si>
  <si>
    <t>Шпатлевка водно-дисперсионная акриловая</t>
  </si>
  <si>
    <t>21.1-6-10</t>
  </si>
  <si>
    <t>СН-2012.21 Выпуск № 3 (в текущих ценах по состоянию на 01.04.2025 г.). Сб.1-6-10</t>
  </si>
  <si>
    <t>Грунтовка акриловая концентрированная универсальная с высокой клеевой и проникающей способностью</t>
  </si>
  <si>
    <t>л</t>
  </si>
  <si>
    <t>21.1-6-114</t>
  </si>
  <si>
    <t>СН-2012.21 Выпуск № 3 (в текущих ценах по состоянию на 01.04.2025 г.). Сб.1-6-114</t>
  </si>
  <si>
    <t>Растворитель уайт-спирит (нефрас-С4 - 155/200)</t>
  </si>
  <si>
    <t>21.3-2-69</t>
  </si>
  <si>
    <t>СН-2012.21 Выпуск № 3 (в текущих ценах по состоянию на 01.04.2025 г.). Сб.3-2-69</t>
  </si>
  <si>
    <t>Смеси сухие цементные ремонтные для оштукатуривания и ремонта бетонных поверхностей: В15 (М200), F100, крупность заполнителя 0,5 - 1,2 мм</t>
  </si>
  <si>
    <t>22.1-10-19</t>
  </si>
  <si>
    <t>СН-2012.22 Выпуск № 3 (в текущих ценах по состоянию на 01.04.2025 г.). Сб.1-10-19</t>
  </si>
  <si>
    <t>Компрессоры поршневые, объем ресивера 24 л</t>
  </si>
  <si>
    <t>22.1-30-54</t>
  </si>
  <si>
    <t>СН-2012.22 Выпуск № 3 (в текущих ценах по состоянию на 01.04.2025 г.). Сб.1-30-54</t>
  </si>
  <si>
    <t>Молотки отбойные</t>
  </si>
  <si>
    <t>22.1-11-27</t>
  </si>
  <si>
    <t>СН-2012.22 Выпуск № 3 (в текущих ценах по состоянию на 01.04.2025 г.). Сб.1-11-27</t>
  </si>
  <si>
    <t>Агрегаты электронасосные, производительность до 7,2 м3/ч</t>
  </si>
  <si>
    <t>21.3-2-13</t>
  </si>
  <si>
    <t>СН-2012.21 Выпуск № 3 (в текущих ценах по состоянию на 01.04.2025 г.). Сб.3-2-13</t>
  </si>
  <si>
    <t>Растворы цементные, марка 50</t>
  </si>
  <si>
    <t>22.1-10-5</t>
  </si>
  <si>
    <t>СН-2012.22 Выпуск № 3 (в текущих ценах по состоянию на 01.04.2025 г.). Сб.1-10-5</t>
  </si>
  <si>
    <t>Компрессоры с дизельным двигателем прицепные до 5 м3/мин</t>
  </si>
  <si>
    <t>22.1-14-13</t>
  </si>
  <si>
    <t>СН-2012.22 Выпуск № 3 (в текущих ценах по состоянию на 01.04.2025 г.). Сб.1-14-13</t>
  </si>
  <si>
    <t>Пылесосы, потребляемая мощность 350-1200 Вт</t>
  </si>
  <si>
    <t>22.1-17-22</t>
  </si>
  <si>
    <t>СН-2012.22 Выпуск № 3 (в текущих ценах по состоянию на 01.04.2025 г.). Сб.1-17-22</t>
  </si>
  <si>
    <t>Агрегаты "Пламя"</t>
  </si>
  <si>
    <t>22.1-17-23</t>
  </si>
  <si>
    <t>СН-2012.22 Выпуск № 3 (в текущих ценах по состоянию на 01.04.2025 г.). Сб.1-17-23</t>
  </si>
  <si>
    <t>Газовые горелки</t>
  </si>
  <si>
    <t>21.1-1-18</t>
  </si>
  <si>
    <t>СН-2012.21 Выпуск № 3 (в текущих ценах по состоянию на 01.04.2025 г.). Сб.1-1-18</t>
  </si>
  <si>
    <t>Мастика герметизирующая нетвердеющая, строительная, битумно-атактическая, антикоррозийная</t>
  </si>
  <si>
    <t>21.1-3-49</t>
  </si>
  <si>
    <t>СН-2012.21 Выпуск № 3 (в текущих ценах по состоянию на 01.04.2025 г.). Сб.1-3-49</t>
  </si>
  <si>
    <t>Материал рулонный кровельный, Филизол, марка "В"</t>
  </si>
  <si>
    <t>21.1-3-50</t>
  </si>
  <si>
    <t>СН-2012.21 Выпуск № 3 (в текущих ценах по состоянию на 01.04.2025 г.). Сб.1-3-50</t>
  </si>
  <si>
    <t>Материал рулонный кровельный, Филизол, марка "Н"</t>
  </si>
  <si>
    <t>21.1-4-32</t>
  </si>
  <si>
    <t>СН-2012.21 Выпуск № 3 (в текущих ценах по состоянию на 01.04.2025 г.). Сб.1-4-32</t>
  </si>
  <si>
    <t>Пропан-бутан, сжиженный газ</t>
  </si>
  <si>
    <t>22.1-1-5</t>
  </si>
  <si>
    <t>СН-2012.22 Выпуск № 3 (в текущих ценах по состоянию на 01.04.2025 г.). Сб.1-1-5</t>
  </si>
  <si>
    <t>Экскаваторы на гусеничном ходу гидравлические, объем ковша до 0,65 м3</t>
  </si>
  <si>
    <t>22.1-18-12</t>
  </si>
  <si>
    <t>СН-2012.22 Выпуск № 3 (в текущих ценах по состоянию на 01.04.2025 г.). Сб.1-18-12</t>
  </si>
  <si>
    <t>Автомобили-самосвалы, грузоподъемность до 7 т</t>
  </si>
  <si>
    <t>22.1-18-13</t>
  </si>
  <si>
    <t>СН-2012.22 Выпуск № 3 (в текущих ценах по состоянию на 01.04.2025 г.). Сб.1-18-13</t>
  </si>
  <si>
    <t>Автомобили-самосвалы, грузоподъемность до 10 т</t>
  </si>
  <si>
    <t>"СОГЛАСОВАНО"</t>
  </si>
  <si>
    <t>"УТВЕРЖДАЮ"</t>
  </si>
  <si>
    <t>Форма № 1а (глава 1-5)</t>
  </si>
  <si>
    <t>"_____"________________ 2025 г.</t>
  </si>
  <si>
    <t>(локальный сметный расчет)</t>
  </si>
  <si>
    <t>(наименование работ и затрат, наименование объекта)</t>
  </si>
  <si>
    <t>Сметная стоимость</t>
  </si>
  <si>
    <t>тыс.руб</t>
  </si>
  <si>
    <t>Строительные работы</t>
  </si>
  <si>
    <t>Монтажные работы</t>
  </si>
  <si>
    <t>Оборудование</t>
  </si>
  <si>
    <t>Прочие работы</t>
  </si>
  <si>
    <t>Средства на оплату труда</t>
  </si>
  <si>
    <t>№№ п/п</t>
  </si>
  <si>
    <t>Шифр расценки и коды ресурсов</t>
  </si>
  <si>
    <t>Наименование работ и затрат</t>
  </si>
  <si>
    <t>Единица измерения</t>
  </si>
  <si>
    <t>Кол-во единиц</t>
  </si>
  <si>
    <t>Цена на ед. изм. руб.</t>
  </si>
  <si>
    <t>Попра-вочные коэфф.</t>
  </si>
  <si>
    <t>Коэфф. зимних удоро-жаний</t>
  </si>
  <si>
    <t>Коэфф. пересчета</t>
  </si>
  <si>
    <t>ВСЕГО затрат, руб.</t>
  </si>
  <si>
    <t>Справочно</t>
  </si>
  <si>
    <t>ЗТР, всего чел.-час</t>
  </si>
  <si>
    <t>Ст-ть ед. с начислен.</t>
  </si>
  <si>
    <t>Составлен(а) в уровне текущих (прогнозных) цен на II квартал 2025 года</t>
  </si>
  <si>
    <t>ЗП</t>
  </si>
  <si>
    <t>ЭМ</t>
  </si>
  <si>
    <t>в т.ч. ЗПМ</t>
  </si>
  <si>
    <t>МР</t>
  </si>
  <si>
    <t>НР от ЗП</t>
  </si>
  <si>
    <t>%</t>
  </si>
  <si>
    <t>СП от ЗП</t>
  </si>
  <si>
    <t>НР и СП от ЗПМ</t>
  </si>
  <si>
    <t>ЗТР</t>
  </si>
  <si>
    <t>чел-ч</t>
  </si>
  <si>
    <t xml:space="preserve">Составил   </t>
  </si>
  <si>
    <t>[должность,подпись(инициалы,фамилия)]</t>
  </si>
  <si>
    <t xml:space="preserve">Проверил   </t>
  </si>
  <si>
    <t>" ___ " ___________ 20 ___ г.</t>
  </si>
  <si>
    <t xml:space="preserve">Мы, нижеподписавшиеся, произвели осмотр объекта </t>
  </si>
  <si>
    <t xml:space="preserve">и постановили произвести ремонт объекта в </t>
  </si>
  <si>
    <t>следующем объеме:</t>
  </si>
  <si>
    <t>№ п/п</t>
  </si>
  <si>
    <t>Количество</t>
  </si>
  <si>
    <t>Примечание</t>
  </si>
  <si>
    <t>Заказчик _________________</t>
  </si>
  <si>
    <t>Подрядчик _________________</t>
  </si>
  <si>
    <t>TYPE</t>
  </si>
  <si>
    <t>SOURCE_LINK</t>
  </si>
  <si>
    <t>RABMAT_EX</t>
  </si>
  <si>
    <t>TIP_RAB</t>
  </si>
  <si>
    <t>TYPE_TRUD</t>
  </si>
  <si>
    <t>TAB</t>
  </si>
  <si>
    <t>NAME</t>
  </si>
  <si>
    <t>EDIZM</t>
  </si>
  <si>
    <t>KOLL</t>
  </si>
  <si>
    <t>UCH</t>
  </si>
  <si>
    <t>PRICE_B</t>
  </si>
  <si>
    <t>PRICE_ED</t>
  </si>
  <si>
    <t>STOIM_B</t>
  </si>
  <si>
    <t>PRICE_C</t>
  </si>
  <si>
    <t>STOIM_C</t>
  </si>
  <si>
    <t>ZPM_B</t>
  </si>
  <si>
    <t>ZPM_ED</t>
  </si>
  <si>
    <t>STOIM_ZPM_B</t>
  </si>
  <si>
    <t>ZPM_C</t>
  </si>
  <si>
    <t>STOIM_ZPM_C</t>
  </si>
  <si>
    <t>CRC_GR_RES</t>
  </si>
  <si>
    <t>CRC_B</t>
  </si>
  <si>
    <t>CRC_C</t>
  </si>
  <si>
    <t>RABMAT</t>
  </si>
  <si>
    <t>WBS</t>
  </si>
  <si>
    <t>CBSI</t>
  </si>
  <si>
    <t>CBSII</t>
  </si>
  <si>
    <t>TechSpecCVORPP</t>
  </si>
  <si>
    <t>BuildingFinished</t>
  </si>
  <si>
    <t>PEREVOZKA</t>
  </si>
  <si>
    <t>Trud</t>
  </si>
  <si>
    <t>Mash</t>
  </si>
  <si>
    <t>Mat</t>
  </si>
  <si>
    <t>MatZak</t>
  </si>
  <si>
    <t>Oborud</t>
  </si>
  <si>
    <t>OborudZak</t>
  </si>
  <si>
    <t>ZeroStoim</t>
  </si>
  <si>
    <t>NegativeKoll</t>
  </si>
  <si>
    <t>ReUnionKollResurcy</t>
  </si>
  <si>
    <t>UnionOneUchRes</t>
  </si>
  <si>
    <t>IdLevel</t>
  </si>
  <si>
    <t>ViewCodes</t>
  </si>
  <si>
    <t>UnionCodes</t>
  </si>
  <si>
    <t>Ресурсная ведомость на</t>
  </si>
  <si>
    <t>Объект: ГБОУ Школа №1440. Крылатские холмы д. 17. Фасад, кровля (в ценах на 01.04.2025 г)</t>
  </si>
  <si>
    <t>Обоснование</t>
  </si>
  <si>
    <t>Наименование</t>
  </si>
  <si>
    <t>Объем</t>
  </si>
  <si>
    <t>Базовая</t>
  </si>
  <si>
    <t>цена</t>
  </si>
  <si>
    <t>стоимость</t>
  </si>
  <si>
    <t xml:space="preserve">Машины и механизмы </t>
  </si>
  <si>
    <t xml:space="preserve">Итого машины и механизмы </t>
  </si>
  <si>
    <t xml:space="preserve">Материальные ресурсы </t>
  </si>
  <si>
    <t xml:space="preserve">Итого материальные ресурсы </t>
  </si>
  <si>
    <t>Заместитель директора ГБОУ Школа №1440</t>
  </si>
  <si>
    <t>_____________________________А.Г. Абалян</t>
  </si>
  <si>
    <t>__________________А.Г. Абалян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</si>
</sst>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mmmm"/>
    <numFmt numFmtId="165" formatCode="#,##0.00;[Red]\-\ #,##0.00"/>
  </numFmts>
  <fonts count="18" x14ac:knownFonts="1">
    <font>
      <sz val="10"/>
      <name val="Arial"/>
      <charset val="204"/>
    </font>
    <font>
      <b/>
      <sz val="10"/>
      <color indexed="12"/>
      <name val="Arial"/>
      <charset val="204"/>
    </font>
    <font>
      <b/>
      <sz val="10"/>
      <color indexed="16"/>
      <name val="Arial"/>
      <charset val="204"/>
    </font>
    <font>
      <b/>
      <sz val="10"/>
      <color indexed="20"/>
      <name val="Arial"/>
      <charset val="204"/>
    </font>
    <font>
      <b/>
      <sz val="10"/>
      <color indexed="17"/>
      <name val="Arial"/>
      <charset val="204"/>
    </font>
    <font>
      <sz val="10"/>
      <color indexed="12"/>
      <name val="Arial"/>
      <charset val="204"/>
    </font>
    <font>
      <sz val="10"/>
      <color indexed="14"/>
      <name val="Arial"/>
      <charset val="204"/>
    </font>
    <font>
      <b/>
      <sz val="10"/>
      <color indexed="14"/>
      <name val="Arial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b/>
      <sz val="13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i/>
      <sz val="11"/>
      <name val="Arial"/>
      <family val="2"/>
      <charset val="204"/>
    </font>
    <font>
      <sz val="13"/>
      <name val="Arial"/>
      <family val="2"/>
      <charset val="204"/>
    </font>
    <font>
      <b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9" fillId="0" borderId="0" xfId="0" applyFont="1"/>
    <xf numFmtId="0" fontId="10" fillId="0" borderId="0" xfId="0" applyFont="1" applyAlignment="1">
      <alignment horizontal="right"/>
    </xf>
    <xf numFmtId="0" fontId="10" fillId="0" borderId="0" xfId="0" applyFont="1"/>
    <xf numFmtId="0" fontId="11" fillId="0" borderId="0" xfId="0" applyFont="1"/>
    <xf numFmtId="0" fontId="10" fillId="0" borderId="0" xfId="0" applyFont="1" applyAlignment="1">
      <alignment horizontal="left"/>
    </xf>
    <xf numFmtId="0" fontId="10" fillId="0" borderId="0" xfId="0" applyFont="1" applyAlignment="1">
      <alignment wrapText="1"/>
    </xf>
    <xf numFmtId="164" fontId="10" fillId="0" borderId="0" xfId="0" applyNumberFormat="1" applyFont="1"/>
    <xf numFmtId="1" fontId="10" fillId="0" borderId="0" xfId="0" applyNumberFormat="1" applyFont="1"/>
    <xf numFmtId="0" fontId="10" fillId="0" borderId="2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top" wrapText="1"/>
    </xf>
    <xf numFmtId="0" fontId="15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165" fontId="10" fillId="0" borderId="0" xfId="0" applyNumberFormat="1" applyFont="1" applyAlignment="1">
      <alignment horizontal="right"/>
    </xf>
    <xf numFmtId="165" fontId="15" fillId="0" borderId="0" xfId="0" applyNumberFormat="1" applyFont="1" applyAlignment="1">
      <alignment horizontal="right"/>
    </xf>
    <xf numFmtId="165" fontId="0" fillId="0" borderId="0" xfId="0" applyNumberFormat="1"/>
    <xf numFmtId="0" fontId="17" fillId="0" borderId="0" xfId="0" applyFont="1" applyAlignment="1">
      <alignment horizontal="right"/>
    </xf>
    <xf numFmtId="0" fontId="0" fillId="0" borderId="6" xfId="0" applyBorder="1"/>
    <xf numFmtId="165" fontId="17" fillId="0" borderId="6" xfId="0" applyNumberFormat="1" applyFont="1" applyBorder="1" applyAlignment="1">
      <alignment horizontal="right"/>
    </xf>
    <xf numFmtId="0" fontId="8" fillId="0" borderId="0" xfId="0" applyFont="1" applyAlignment="1">
      <alignment vertical="top" wrapText="1"/>
    </xf>
    <xf numFmtId="0" fontId="17" fillId="0" borderId="0" xfId="0" applyFont="1"/>
    <xf numFmtId="0" fontId="17" fillId="0" borderId="0" xfId="0" applyFont="1" applyAlignment="1">
      <alignment horizontal="left" wrapText="1"/>
    </xf>
    <xf numFmtId="0" fontId="10" fillId="0" borderId="1" xfId="0" applyFont="1" applyBorder="1"/>
    <xf numFmtId="0" fontId="17" fillId="0" borderId="0" xfId="0" applyFont="1" applyAlignment="1">
      <alignment horizontal="center" wrapText="1"/>
    </xf>
    <xf numFmtId="0" fontId="17" fillId="0" borderId="0" xfId="0" applyFont="1" applyAlignment="1">
      <alignment horizontal="left" vertical="top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wrapText="1"/>
    </xf>
    <xf numFmtId="0" fontId="10" fillId="0" borderId="3" xfId="0" applyFont="1" applyBorder="1" applyAlignment="1">
      <alignment horizontal="right" wrapText="1"/>
    </xf>
    <xf numFmtId="0" fontId="10" fillId="0" borderId="3" xfId="0" applyFont="1" applyBorder="1" applyAlignment="1">
      <alignment horizontal="right"/>
    </xf>
    <xf numFmtId="0" fontId="10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wrapText="1"/>
    </xf>
    <xf numFmtId="0" fontId="10" fillId="0" borderId="2" xfId="0" applyFont="1" applyBorder="1" applyAlignment="1">
      <alignment horizontal="right" wrapText="1"/>
    </xf>
    <xf numFmtId="0" fontId="10" fillId="0" borderId="2" xfId="0" applyFont="1" applyBorder="1" applyAlignment="1">
      <alignment horizontal="right"/>
    </xf>
    <xf numFmtId="0" fontId="11" fillId="0" borderId="3" xfId="0" quotePrefix="1" applyFont="1" applyBorder="1" applyAlignment="1">
      <alignment horizontal="center" vertical="center" wrapText="1"/>
    </xf>
    <xf numFmtId="49" fontId="10" fillId="0" borderId="3" xfId="0" applyNumberFormat="1" applyFont="1" applyBorder="1" applyAlignment="1">
      <alignment horizontal="left" vertical="top" wrapText="1"/>
    </xf>
    <xf numFmtId="165" fontId="10" fillId="0" borderId="3" xfId="0" applyNumberFormat="1" applyFont="1" applyBorder="1" applyAlignment="1">
      <alignment horizontal="right" wrapText="1"/>
    </xf>
    <xf numFmtId="0" fontId="10" fillId="0" borderId="0" xfId="0" applyFont="1" applyAlignment="1">
      <alignment horizontal="left"/>
    </xf>
    <xf numFmtId="165" fontId="10" fillId="0" borderId="0" xfId="0" applyNumberFormat="1" applyFont="1" applyAlignment="1">
      <alignment horizontal="right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 wrapText="1"/>
    </xf>
    <xf numFmtId="0" fontId="12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 wrapText="1"/>
    </xf>
    <xf numFmtId="0" fontId="9" fillId="0" borderId="0" xfId="0" applyFont="1" applyAlignment="1">
      <alignment horizontal="center" wrapText="1"/>
    </xf>
    <xf numFmtId="0" fontId="14" fillId="0" borderId="0" xfId="0" applyFont="1" applyAlignment="1">
      <alignment horizontal="center" wrapText="1"/>
    </xf>
    <xf numFmtId="0" fontId="12" fillId="0" borderId="0" xfId="0" applyFont="1" applyAlignment="1">
      <alignment horizontal="left"/>
    </xf>
    <xf numFmtId="0" fontId="14" fillId="0" borderId="1" xfId="0" applyFont="1" applyBorder="1" applyAlignment="1">
      <alignment horizontal="center" wrapText="1"/>
    </xf>
    <xf numFmtId="0" fontId="0" fillId="0" borderId="0" xfId="0"/>
    <xf numFmtId="165" fontId="17" fillId="0" borderId="6" xfId="0" applyNumberFormat="1" applyFont="1" applyBorder="1" applyAlignment="1">
      <alignment horizontal="right"/>
    </xf>
    <xf numFmtId="0" fontId="10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1" fillId="0" borderId="0" xfId="0" applyFont="1" applyAlignment="1">
      <alignment horizontal="center" wrapText="1"/>
    </xf>
    <xf numFmtId="0" fontId="17" fillId="0" borderId="0" xfId="0" applyFont="1" applyAlignment="1">
      <alignment horizontal="left" wrapText="1"/>
    </xf>
    <xf numFmtId="165" fontId="17" fillId="0" borderId="0" xfId="0" applyNumberFormat="1" applyFont="1" applyAlignment="1">
      <alignment horizontal="right"/>
    </xf>
    <xf numFmtId="0" fontId="17" fillId="0" borderId="0" xfId="0" applyFont="1" applyAlignment="1">
      <alignment horizontal="right"/>
    </xf>
    <xf numFmtId="0" fontId="9" fillId="0" borderId="5" xfId="0" applyFont="1" applyBorder="1" applyAlignment="1">
      <alignment horizontal="center"/>
    </xf>
    <xf numFmtId="0" fontId="10" fillId="0" borderId="0" xfId="0" applyFont="1" applyAlignment="1">
      <alignment horizontal="right" vertical="center"/>
    </xf>
    <xf numFmtId="0" fontId="11" fillId="0" borderId="2" xfId="0" applyFont="1" applyBorder="1" applyAlignment="1">
      <alignment horizontal="center" wrapText="1"/>
    </xf>
    <xf numFmtId="0" fontId="12" fillId="0" borderId="0" xfId="0" applyFont="1" applyAlignment="1">
      <alignment horizontal="center" wrapText="1"/>
    </xf>
    <xf numFmtId="0" fontId="17" fillId="0" borderId="0" xfId="0" applyFont="1" applyAlignment="1">
      <alignment horizontal="center" wrapText="1"/>
    </xf>
    <xf numFmtId="0" fontId="17" fillId="0" borderId="3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right"/>
    </xf>
    <xf numFmtId="165" fontId="17" fillId="0" borderId="3" xfId="0" applyNumberFormat="1" applyFont="1" applyBorder="1" applyAlignment="1">
      <alignment horizontal="right"/>
    </xf>
    <xf numFmtId="0" fontId="17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158"/>
  <sheetViews>
    <sheetView tabSelected="1" zoomScaleNormal="100" workbookViewId="0">
      <selection activeCell="F12" sqref="F12"/>
    </sheetView>
  </sheetViews>
  <sheetFormatPr defaultRowHeight="12.75" x14ac:dyDescent="0.2"/>
  <cols>
    <col min="1" max="1" width="5.7109375" customWidth="1"/>
    <col min="2" max="2" width="11.7109375" customWidth="1"/>
    <col min="3" max="3" width="40.7109375" customWidth="1"/>
    <col min="4" max="6" width="11.7109375" customWidth="1"/>
    <col min="7" max="11" width="12.7109375" customWidth="1"/>
    <col min="15" max="31" width="0" hidden="1" customWidth="1"/>
    <col min="32" max="32" width="116.7109375" hidden="1" customWidth="1"/>
    <col min="33" max="36" width="0" hidden="1" customWidth="1"/>
  </cols>
  <sheetData>
    <row r="1" spans="1:11" x14ac:dyDescent="0.2">
      <c r="A1" s="8" t="str">
        <f>CONCATENATE(Source!B1, "     СН-2012 (© ОАО МЦЦС 'Мосстройцены', ", "2025", ")")</f>
        <v>Smeta.RU  (495) 974-1589     СН-2012 (© ОАО МЦЦС 'Мосстройцены', 2025)</v>
      </c>
    </row>
    <row r="2" spans="1:11" ht="14.25" x14ac:dyDescent="0.2">
      <c r="A2" s="9"/>
      <c r="B2" s="9"/>
      <c r="C2" s="9"/>
      <c r="D2" s="9"/>
      <c r="E2" s="9"/>
      <c r="F2" s="9"/>
      <c r="G2" s="9"/>
      <c r="H2" s="9"/>
      <c r="I2" s="9"/>
      <c r="J2" s="48" t="s">
        <v>263</v>
      </c>
      <c r="K2" s="48"/>
    </row>
    <row r="3" spans="1:11" ht="16.5" x14ac:dyDescent="0.25">
      <c r="A3" s="11"/>
      <c r="B3" s="54" t="s">
        <v>261</v>
      </c>
      <c r="C3" s="54"/>
      <c r="D3" s="54"/>
      <c r="E3" s="54"/>
      <c r="F3" s="10"/>
      <c r="G3" s="54" t="s">
        <v>262</v>
      </c>
      <c r="H3" s="54"/>
      <c r="I3" s="54"/>
      <c r="J3" s="54"/>
      <c r="K3" s="54"/>
    </row>
    <row r="4" spans="1:11" ht="14.25" x14ac:dyDescent="0.2">
      <c r="A4" s="10"/>
      <c r="B4" s="46"/>
      <c r="C4" s="46"/>
      <c r="D4" s="46"/>
      <c r="E4" s="46"/>
      <c r="F4" s="10"/>
      <c r="G4" s="46" t="s">
        <v>365</v>
      </c>
      <c r="H4" s="46"/>
      <c r="I4" s="46"/>
      <c r="J4" s="46"/>
      <c r="K4" s="46"/>
    </row>
    <row r="5" spans="1:11" ht="14.25" x14ac:dyDescent="0.2">
      <c r="A5" s="10"/>
      <c r="B5" s="10"/>
      <c r="C5" s="12"/>
      <c r="D5" s="12"/>
      <c r="E5" s="12"/>
      <c r="F5" s="10"/>
      <c r="G5" s="12"/>
      <c r="H5" s="12"/>
      <c r="I5" s="12"/>
      <c r="J5" s="12"/>
      <c r="K5" s="12"/>
    </row>
    <row r="6" spans="1:11" ht="14.25" x14ac:dyDescent="0.2">
      <c r="A6" s="12"/>
      <c r="B6" s="46" t="str">
        <f>CONCATENATE("______________________ ", IF(Source!AL12&lt;&gt;"", Source!AL12, ""))</f>
        <v xml:space="preserve">______________________ </v>
      </c>
      <c r="C6" s="46"/>
      <c r="D6" s="46"/>
      <c r="E6" s="46"/>
      <c r="F6" s="10"/>
      <c r="G6" s="46" t="s">
        <v>366</v>
      </c>
      <c r="H6" s="46"/>
      <c r="I6" s="46"/>
      <c r="J6" s="46"/>
      <c r="K6" s="46"/>
    </row>
    <row r="7" spans="1:11" ht="14.25" x14ac:dyDescent="0.2">
      <c r="A7" s="13"/>
      <c r="B7" s="49" t="s">
        <v>264</v>
      </c>
      <c r="C7" s="49"/>
      <c r="D7" s="49"/>
      <c r="E7" s="49"/>
      <c r="F7" s="10"/>
      <c r="G7" s="49" t="s">
        <v>264</v>
      </c>
      <c r="H7" s="49"/>
      <c r="I7" s="49"/>
      <c r="J7" s="49"/>
      <c r="K7" s="49"/>
    </row>
    <row r="9" spans="1:11" ht="14.25" x14ac:dyDescent="0.2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</row>
    <row r="10" spans="1:11" ht="15.75" x14ac:dyDescent="0.25">
      <c r="A10" s="50" t="str">
        <f>CONCATENATE( "ЛОКАЛЬНАЯ СМЕТА № ",IF(Source!F12&lt;&gt;"Новый объект", Source!F12, ""))</f>
        <v xml:space="preserve">ЛОКАЛЬНАЯ СМЕТА № 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</row>
    <row r="11" spans="1:11" x14ac:dyDescent="0.2">
      <c r="A11" s="52" t="s">
        <v>265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</row>
    <row r="12" spans="1:11" ht="14.25" x14ac:dyDescent="0.2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0"/>
    </row>
    <row r="13" spans="1:11" ht="18" hidden="1" x14ac:dyDescent="0.25">
      <c r="A13" s="53"/>
      <c r="B13" s="53"/>
      <c r="C13" s="53"/>
      <c r="D13" s="53"/>
      <c r="E13" s="53"/>
      <c r="F13" s="53"/>
      <c r="G13" s="53"/>
      <c r="H13" s="53"/>
      <c r="I13" s="53"/>
      <c r="J13" s="53"/>
      <c r="K13" s="53"/>
    </row>
    <row r="14" spans="1:11" ht="14.25" hidden="1" x14ac:dyDescent="0.2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0"/>
    </row>
    <row r="15" spans="1:11" ht="18" x14ac:dyDescent="0.25">
      <c r="A15" s="55" t="str">
        <f>IF(Source!G12&lt;&gt;"Новый объект", Source!G12, "")</f>
        <v>ГБОУ Школа №1440. Крылатские холмы д. 17. Фасад, кровля (в ценах на 01.04.2025 г)</v>
      </c>
      <c r="B15" s="55"/>
      <c r="C15" s="55"/>
      <c r="D15" s="55"/>
      <c r="E15" s="55"/>
      <c r="F15" s="55"/>
      <c r="G15" s="55"/>
      <c r="H15" s="55"/>
      <c r="I15" s="55"/>
      <c r="J15" s="55"/>
      <c r="K15" s="55"/>
    </row>
    <row r="16" spans="1:11" x14ac:dyDescent="0.2">
      <c r="A16" s="52" t="s">
        <v>266</v>
      </c>
      <c r="B16" s="56"/>
      <c r="C16" s="56"/>
      <c r="D16" s="56"/>
      <c r="E16" s="56"/>
      <c r="F16" s="56"/>
      <c r="G16" s="56"/>
      <c r="H16" s="56"/>
      <c r="I16" s="56"/>
      <c r="J16" s="56"/>
      <c r="K16" s="56"/>
    </row>
    <row r="17" spans="1:11" ht="14.25" x14ac:dyDescent="0.2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0"/>
    </row>
    <row r="18" spans="1:11" ht="14.25" x14ac:dyDescent="0.2">
      <c r="A18" s="49" t="str">
        <f>CONCATENATE( "Основание: чертежи № ", Source!J12)</f>
        <v xml:space="preserve">Основание: чертежи № </v>
      </c>
      <c r="B18" s="49"/>
      <c r="C18" s="49"/>
      <c r="D18" s="49"/>
      <c r="E18" s="49"/>
      <c r="F18" s="49"/>
      <c r="G18" s="49"/>
      <c r="H18" s="49"/>
      <c r="I18" s="49"/>
      <c r="J18" s="49"/>
      <c r="K18" s="49"/>
    </row>
    <row r="19" spans="1:11" ht="14.25" x14ac:dyDescent="0.2">
      <c r="A19" s="10"/>
      <c r="B19" s="10"/>
      <c r="C19" s="10"/>
      <c r="D19" s="10"/>
      <c r="E19" s="10"/>
      <c r="F19" s="10"/>
      <c r="G19" s="10"/>
      <c r="H19" s="10"/>
      <c r="I19" s="10"/>
      <c r="J19" s="10"/>
      <c r="K19" s="10"/>
    </row>
    <row r="20" spans="1:11" ht="14.25" x14ac:dyDescent="0.2">
      <c r="A20" s="10"/>
      <c r="B20" s="10"/>
      <c r="C20" s="10"/>
      <c r="D20" s="10"/>
      <c r="E20" s="10"/>
      <c r="F20" s="46" t="s">
        <v>267</v>
      </c>
      <c r="G20" s="46"/>
      <c r="H20" s="46"/>
      <c r="I20" s="47">
        <f>I21+I22+I23+I24</f>
        <v>224.35</v>
      </c>
      <c r="J20" s="48"/>
      <c r="K20" s="10" t="s">
        <v>268</v>
      </c>
    </row>
    <row r="21" spans="1:11" ht="14.25" hidden="1" x14ac:dyDescent="0.2">
      <c r="A21" s="10"/>
      <c r="B21" s="10"/>
      <c r="C21" s="10"/>
      <c r="D21" s="10"/>
      <c r="E21" s="10"/>
      <c r="F21" s="46" t="s">
        <v>269</v>
      </c>
      <c r="G21" s="46"/>
      <c r="H21" s="46"/>
      <c r="I21" s="47">
        <f>ROUND((Source!F188)/1000, 2)</f>
        <v>0</v>
      </c>
      <c r="J21" s="48"/>
      <c r="K21" s="10" t="s">
        <v>268</v>
      </c>
    </row>
    <row r="22" spans="1:11" ht="14.25" hidden="1" x14ac:dyDescent="0.2">
      <c r="A22" s="10"/>
      <c r="B22" s="10"/>
      <c r="C22" s="10"/>
      <c r="D22" s="10"/>
      <c r="E22" s="10"/>
      <c r="F22" s="46" t="s">
        <v>270</v>
      </c>
      <c r="G22" s="46"/>
      <c r="H22" s="46"/>
      <c r="I22" s="47">
        <f>ROUND((Source!F189)/1000, 2)</f>
        <v>0</v>
      </c>
      <c r="J22" s="48"/>
      <c r="K22" s="10" t="s">
        <v>268</v>
      </c>
    </row>
    <row r="23" spans="1:11" ht="14.25" hidden="1" x14ac:dyDescent="0.2">
      <c r="A23" s="10"/>
      <c r="B23" s="10"/>
      <c r="C23" s="10"/>
      <c r="D23" s="10"/>
      <c r="E23" s="10"/>
      <c r="F23" s="46" t="s">
        <v>271</v>
      </c>
      <c r="G23" s="46"/>
      <c r="H23" s="46"/>
      <c r="I23" s="47">
        <f>ROUND((Source!F180)/1000, 2)</f>
        <v>0</v>
      </c>
      <c r="J23" s="48"/>
      <c r="K23" s="10" t="s">
        <v>268</v>
      </c>
    </row>
    <row r="24" spans="1:11" ht="14.25" hidden="1" x14ac:dyDescent="0.2">
      <c r="A24" s="10"/>
      <c r="B24" s="10"/>
      <c r="C24" s="10"/>
      <c r="D24" s="10"/>
      <c r="E24" s="10"/>
      <c r="F24" s="46" t="s">
        <v>272</v>
      </c>
      <c r="G24" s="46"/>
      <c r="H24" s="46"/>
      <c r="I24" s="47">
        <f>ROUND((Source!F190+Source!F191)/1000, 2)</f>
        <v>224.35</v>
      </c>
      <c r="J24" s="48"/>
      <c r="K24" s="10" t="s">
        <v>268</v>
      </c>
    </row>
    <row r="25" spans="1:11" ht="14.25" x14ac:dyDescent="0.2">
      <c r="A25" s="10"/>
      <c r="B25" s="10"/>
      <c r="C25" s="10"/>
      <c r="D25" s="10"/>
      <c r="E25" s="10"/>
      <c r="F25" s="46" t="s">
        <v>273</v>
      </c>
      <c r="G25" s="46"/>
      <c r="H25" s="46"/>
      <c r="I25" s="47">
        <f>(Source!F186+ Source!F185)/1000</f>
        <v>84.946559999999991</v>
      </c>
      <c r="J25" s="48"/>
      <c r="K25" s="10" t="s">
        <v>268</v>
      </c>
    </row>
    <row r="26" spans="1:11" ht="14.25" x14ac:dyDescent="0.2">
      <c r="A26" s="10" t="s">
        <v>287</v>
      </c>
      <c r="B26" s="10"/>
      <c r="C26" s="10"/>
      <c r="D26" s="14"/>
      <c r="E26" s="15"/>
      <c r="F26" s="10"/>
      <c r="G26" s="10"/>
      <c r="H26" s="10"/>
      <c r="I26" s="10"/>
      <c r="J26" s="10"/>
      <c r="K26" s="10"/>
    </row>
    <row r="27" spans="1:11" ht="14.25" x14ac:dyDescent="0.2">
      <c r="A27" s="58" t="s">
        <v>274</v>
      </c>
      <c r="B27" s="58" t="s">
        <v>275</v>
      </c>
      <c r="C27" s="58" t="s">
        <v>276</v>
      </c>
      <c r="D27" s="58" t="s">
        <v>277</v>
      </c>
      <c r="E27" s="58" t="s">
        <v>278</v>
      </c>
      <c r="F27" s="58" t="s">
        <v>279</v>
      </c>
      <c r="G27" s="58" t="s">
        <v>280</v>
      </c>
      <c r="H27" s="58" t="s">
        <v>281</v>
      </c>
      <c r="I27" s="58" t="s">
        <v>282</v>
      </c>
      <c r="J27" s="58" t="s">
        <v>283</v>
      </c>
      <c r="K27" s="17" t="s">
        <v>284</v>
      </c>
    </row>
    <row r="28" spans="1:11" ht="28.5" x14ac:dyDescent="0.2">
      <c r="A28" s="59"/>
      <c r="B28" s="59"/>
      <c r="C28" s="59"/>
      <c r="D28" s="59"/>
      <c r="E28" s="59"/>
      <c r="F28" s="59"/>
      <c r="G28" s="59"/>
      <c r="H28" s="59"/>
      <c r="I28" s="59"/>
      <c r="J28" s="59"/>
      <c r="K28" s="18" t="s">
        <v>285</v>
      </c>
    </row>
    <row r="29" spans="1:11" ht="28.5" x14ac:dyDescent="0.2">
      <c r="A29" s="59"/>
      <c r="B29" s="59"/>
      <c r="C29" s="59"/>
      <c r="D29" s="59"/>
      <c r="E29" s="59"/>
      <c r="F29" s="59"/>
      <c r="G29" s="59"/>
      <c r="H29" s="59"/>
      <c r="I29" s="59"/>
      <c r="J29" s="59"/>
      <c r="K29" s="18" t="s">
        <v>286</v>
      </c>
    </row>
    <row r="30" spans="1:11" ht="14.25" x14ac:dyDescent="0.2">
      <c r="A30" s="18">
        <v>1</v>
      </c>
      <c r="B30" s="18">
        <v>2</v>
      </c>
      <c r="C30" s="18">
        <v>3</v>
      </c>
      <c r="D30" s="18">
        <v>4</v>
      </c>
      <c r="E30" s="18">
        <v>5</v>
      </c>
      <c r="F30" s="18">
        <v>6</v>
      </c>
      <c r="G30" s="18">
        <v>7</v>
      </c>
      <c r="H30" s="18">
        <v>8</v>
      </c>
      <c r="I30" s="18">
        <v>9</v>
      </c>
      <c r="J30" s="18">
        <v>10</v>
      </c>
      <c r="K30" s="18">
        <v>11</v>
      </c>
    </row>
    <row r="32" spans="1:11" ht="16.5" x14ac:dyDescent="0.25">
      <c r="A32" s="60" t="str">
        <f>CONCATENATE("Локальная смета: ",IF(Source!G20&lt;&gt;"Новая локальная смета", Source!G20, ""))</f>
        <v xml:space="preserve">Локальная смета: </v>
      </c>
      <c r="B32" s="60"/>
      <c r="C32" s="60"/>
      <c r="D32" s="60"/>
      <c r="E32" s="60"/>
      <c r="F32" s="60"/>
      <c r="G32" s="60"/>
      <c r="H32" s="60"/>
      <c r="I32" s="60"/>
      <c r="J32" s="60"/>
      <c r="K32" s="60"/>
    </row>
    <row r="34" spans="1:22" ht="16.5" x14ac:dyDescent="0.25">
      <c r="A34" s="60" t="str">
        <f>CONCATENATE("Раздел: ",IF(Source!G24&lt;&gt;"Новый раздел", Source!G24, ""))</f>
        <v>Раздел: Фасад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</row>
    <row r="35" spans="1:22" ht="71.25" x14ac:dyDescent="0.2">
      <c r="A35" s="19">
        <v>1</v>
      </c>
      <c r="B35" s="19" t="str">
        <f>Source!F28</f>
        <v>1.4-3101-4-1/1</v>
      </c>
      <c r="C35" s="19" t="str">
        <f>Source!G28</f>
        <v>Усиление существующих железобетонных балок монолитными железобетонными обоймами набрызгом (восстановление утраченных участков)</v>
      </c>
      <c r="D35" s="20" t="str">
        <f>Source!H28</f>
        <v>м3</v>
      </c>
      <c r="E35" s="9">
        <f>Source!I28</f>
        <v>0.08</v>
      </c>
      <c r="F35" s="22"/>
      <c r="G35" s="21"/>
      <c r="H35" s="9"/>
      <c r="I35" s="9"/>
      <c r="J35" s="22"/>
      <c r="K35" s="22"/>
      <c r="Q35">
        <f>ROUND((Source!BZ28/100)*ROUND((Source!AF28*Source!AV28)*Source!I28, 2), 2)</f>
        <v>2184.0300000000002</v>
      </c>
      <c r="R35">
        <f>Source!X28</f>
        <v>2184.0300000000002</v>
      </c>
      <c r="S35">
        <f>ROUND((Source!CA28/100)*ROUND((Source!AF28*Source!AV28)*Source!I28, 2), 2)</f>
        <v>312</v>
      </c>
      <c r="T35">
        <f>Source!Y28</f>
        <v>312</v>
      </c>
      <c r="U35">
        <f>ROUND((175/100)*ROUND((Source!AE28*Source!AV28)*Source!I28, 2), 2)</f>
        <v>957.6</v>
      </c>
      <c r="V35">
        <f>ROUND((108/100)*ROUND(Source!CS28*Source!I28, 2), 2)</f>
        <v>590.98</v>
      </c>
    </row>
    <row r="36" spans="1:22" ht="14.25" x14ac:dyDescent="0.2">
      <c r="A36" s="19"/>
      <c r="B36" s="19"/>
      <c r="C36" s="19" t="s">
        <v>288</v>
      </c>
      <c r="D36" s="20"/>
      <c r="E36" s="9"/>
      <c r="F36" s="22">
        <f>Source!AO28</f>
        <v>39000.46</v>
      </c>
      <c r="G36" s="21" t="str">
        <f>Source!DG28</f>
        <v/>
      </c>
      <c r="H36" s="9">
        <f>Source!AV28</f>
        <v>1</v>
      </c>
      <c r="I36" s="9">
        <f>IF(Source!BA28&lt;&gt; 0, Source!BA28, 1)</f>
        <v>1</v>
      </c>
      <c r="J36" s="22">
        <f>Source!S28</f>
        <v>3120.04</v>
      </c>
      <c r="K36" s="22"/>
    </row>
    <row r="37" spans="1:22" ht="14.25" x14ac:dyDescent="0.2">
      <c r="A37" s="19"/>
      <c r="B37" s="19"/>
      <c r="C37" s="19" t="s">
        <v>289</v>
      </c>
      <c r="D37" s="20"/>
      <c r="E37" s="9"/>
      <c r="F37" s="22">
        <f>Source!AM28</f>
        <v>18357.02</v>
      </c>
      <c r="G37" s="21" t="str">
        <f>Source!DE28</f>
        <v/>
      </c>
      <c r="H37" s="9">
        <f>Source!AV28</f>
        <v>1</v>
      </c>
      <c r="I37" s="9">
        <f>IF(Source!BB28&lt;&gt; 0, Source!BB28, 1)</f>
        <v>1</v>
      </c>
      <c r="J37" s="22">
        <f>Source!Q28</f>
        <v>1468.56</v>
      </c>
      <c r="K37" s="22"/>
    </row>
    <row r="38" spans="1:22" ht="14.25" x14ac:dyDescent="0.2">
      <c r="A38" s="19"/>
      <c r="B38" s="19"/>
      <c r="C38" s="19" t="s">
        <v>290</v>
      </c>
      <c r="D38" s="20"/>
      <c r="E38" s="9"/>
      <c r="F38" s="22">
        <f>Source!AN28</f>
        <v>6840.04</v>
      </c>
      <c r="G38" s="21" t="str">
        <f>Source!DF28</f>
        <v/>
      </c>
      <c r="H38" s="9">
        <f>Source!AV28</f>
        <v>1</v>
      </c>
      <c r="I38" s="9">
        <f>IF(Source!BS28&lt;&gt; 0, Source!BS28, 1)</f>
        <v>1</v>
      </c>
      <c r="J38" s="23">
        <f>Source!R28</f>
        <v>547.20000000000005</v>
      </c>
      <c r="K38" s="22"/>
    </row>
    <row r="39" spans="1:22" ht="14.25" x14ac:dyDescent="0.2">
      <c r="A39" s="19"/>
      <c r="B39" s="19"/>
      <c r="C39" s="19" t="s">
        <v>291</v>
      </c>
      <c r="D39" s="20"/>
      <c r="E39" s="9"/>
      <c r="F39" s="22">
        <f>Source!AL28</f>
        <v>38689.68</v>
      </c>
      <c r="G39" s="21" t="str">
        <f>Source!DD28</f>
        <v/>
      </c>
      <c r="H39" s="9">
        <f>Source!AW28</f>
        <v>1</v>
      </c>
      <c r="I39" s="9">
        <f>IF(Source!BC28&lt;&gt; 0, Source!BC28, 1)</f>
        <v>1</v>
      </c>
      <c r="J39" s="22">
        <f>Source!P28</f>
        <v>3095.17</v>
      </c>
      <c r="K39" s="22"/>
    </row>
    <row r="40" spans="1:22" ht="14.25" x14ac:dyDescent="0.2">
      <c r="A40" s="19"/>
      <c r="B40" s="19"/>
      <c r="C40" s="19" t="s">
        <v>292</v>
      </c>
      <c r="D40" s="20" t="s">
        <v>293</v>
      </c>
      <c r="E40" s="9">
        <f>Source!AT28</f>
        <v>70</v>
      </c>
      <c r="F40" s="22"/>
      <c r="G40" s="21"/>
      <c r="H40" s="9"/>
      <c r="I40" s="9"/>
      <c r="J40" s="22">
        <f>SUM(R35:R39)</f>
        <v>2184.0300000000002</v>
      </c>
      <c r="K40" s="22"/>
    </row>
    <row r="41" spans="1:22" ht="14.25" x14ac:dyDescent="0.2">
      <c r="A41" s="19"/>
      <c r="B41" s="19"/>
      <c r="C41" s="19" t="s">
        <v>294</v>
      </c>
      <c r="D41" s="20" t="s">
        <v>293</v>
      </c>
      <c r="E41" s="9">
        <f>Source!AU28</f>
        <v>10</v>
      </c>
      <c r="F41" s="22"/>
      <c r="G41" s="21"/>
      <c r="H41" s="9"/>
      <c r="I41" s="9"/>
      <c r="J41" s="22">
        <f>SUM(T35:T40)</f>
        <v>312</v>
      </c>
      <c r="K41" s="22"/>
    </row>
    <row r="42" spans="1:22" ht="14.25" x14ac:dyDescent="0.2">
      <c r="A42" s="19"/>
      <c r="B42" s="19"/>
      <c r="C42" s="19" t="s">
        <v>295</v>
      </c>
      <c r="D42" s="20" t="s">
        <v>293</v>
      </c>
      <c r="E42" s="9">
        <f>108</f>
        <v>108</v>
      </c>
      <c r="F42" s="22"/>
      <c r="G42" s="21"/>
      <c r="H42" s="9"/>
      <c r="I42" s="9"/>
      <c r="J42" s="22">
        <f>SUM(V35:V41)</f>
        <v>590.98</v>
      </c>
      <c r="K42" s="22"/>
    </row>
    <row r="43" spans="1:22" ht="14.25" x14ac:dyDescent="0.2">
      <c r="A43" s="19"/>
      <c r="B43" s="19"/>
      <c r="C43" s="19" t="s">
        <v>296</v>
      </c>
      <c r="D43" s="20" t="s">
        <v>297</v>
      </c>
      <c r="E43" s="9">
        <f>Source!AQ28</f>
        <v>79.2</v>
      </c>
      <c r="F43" s="22"/>
      <c r="G43" s="21" t="str">
        <f>Source!DI28</f>
        <v/>
      </c>
      <c r="H43" s="9">
        <f>Source!AV28</f>
        <v>1</v>
      </c>
      <c r="I43" s="9"/>
      <c r="J43" s="22"/>
      <c r="K43" s="22">
        <f>Source!U28</f>
        <v>6.3360000000000003</v>
      </c>
    </row>
    <row r="44" spans="1:22" ht="15" x14ac:dyDescent="0.25">
      <c r="A44" s="26"/>
      <c r="B44" s="26"/>
      <c r="C44" s="26"/>
      <c r="D44" s="26"/>
      <c r="E44" s="26"/>
      <c r="F44" s="26"/>
      <c r="G44" s="26"/>
      <c r="H44" s="26"/>
      <c r="I44" s="57">
        <f>J36+J37+J39+J40+J41+J42</f>
        <v>10770.78</v>
      </c>
      <c r="J44" s="57"/>
      <c r="K44" s="27">
        <f>IF(Source!I28&lt;&gt;0, ROUND(I44/Source!I28, 2), 0)</f>
        <v>134634.75</v>
      </c>
      <c r="P44" s="24">
        <f>I44</f>
        <v>10770.78</v>
      </c>
    </row>
    <row r="45" spans="1:22" ht="57" x14ac:dyDescent="0.2">
      <c r="A45" s="19">
        <v>2</v>
      </c>
      <c r="B45" s="19" t="str">
        <f>Source!F29</f>
        <v>1.14-3101-2-1/1</v>
      </c>
      <c r="C45" s="19" t="str">
        <f>Source!G29</f>
        <v>Ремонт штукатурки гладких фасадов по камню и бетону с лестниц цементно-известковым раствором при площади до 5 м2 толщиной слоя до 20 мм</v>
      </c>
      <c r="D45" s="20" t="str">
        <f>Source!H29</f>
        <v>100 м2</v>
      </c>
      <c r="E45" s="9">
        <f>Source!I29</f>
        <v>0.25</v>
      </c>
      <c r="F45" s="22"/>
      <c r="G45" s="21"/>
      <c r="H45" s="9"/>
      <c r="I45" s="9"/>
      <c r="J45" s="22"/>
      <c r="K45" s="22"/>
      <c r="Q45">
        <f>ROUND((Source!BZ29/100)*ROUND((Source!AF29*Source!AV29)*Source!I29, 2), 2)</f>
        <v>18621.599999999999</v>
      </c>
      <c r="R45">
        <f>Source!X29</f>
        <v>18621.599999999999</v>
      </c>
      <c r="S45">
        <f>ROUND((Source!CA29/100)*ROUND((Source!AF29*Source!AV29)*Source!I29, 2), 2)</f>
        <v>2660.23</v>
      </c>
      <c r="T45">
        <f>Source!Y29</f>
        <v>2660.23</v>
      </c>
      <c r="U45">
        <f>ROUND((175/100)*ROUND((Source!AE29*Source!AV29)*Source!I29, 2), 2)</f>
        <v>0</v>
      </c>
      <c r="V45">
        <f>ROUND((108/100)*ROUND(Source!CS29*Source!I29, 2), 2)</f>
        <v>0</v>
      </c>
    </row>
    <row r="46" spans="1:22" x14ac:dyDescent="0.2">
      <c r="C46" s="28" t="str">
        <f>"Объем: "&amp;Source!I29&amp;"=25/"&amp;"100"</f>
        <v>Объем: 0,25=25/100</v>
      </c>
    </row>
    <row r="47" spans="1:22" ht="14.25" x14ac:dyDescent="0.2">
      <c r="A47" s="19"/>
      <c r="B47" s="19"/>
      <c r="C47" s="19" t="s">
        <v>288</v>
      </c>
      <c r="D47" s="20"/>
      <c r="E47" s="9"/>
      <c r="F47" s="22">
        <f>Source!AO29</f>
        <v>106409.16</v>
      </c>
      <c r="G47" s="21" t="str">
        <f>Source!DG29</f>
        <v/>
      </c>
      <c r="H47" s="9">
        <f>Source!AV29</f>
        <v>1</v>
      </c>
      <c r="I47" s="9">
        <f>IF(Source!BA29&lt;&gt; 0, Source!BA29, 1)</f>
        <v>1</v>
      </c>
      <c r="J47" s="22">
        <f>Source!S29</f>
        <v>26602.29</v>
      </c>
      <c r="K47" s="22"/>
    </row>
    <row r="48" spans="1:22" ht="14.25" x14ac:dyDescent="0.2">
      <c r="A48" s="19"/>
      <c r="B48" s="19"/>
      <c r="C48" s="19" t="s">
        <v>291</v>
      </c>
      <c r="D48" s="20"/>
      <c r="E48" s="9"/>
      <c r="F48" s="22">
        <f>Source!AL29</f>
        <v>11738.36</v>
      </c>
      <c r="G48" s="21" t="str">
        <f>Source!DD29</f>
        <v/>
      </c>
      <c r="H48" s="9">
        <f>Source!AW29</f>
        <v>1</v>
      </c>
      <c r="I48" s="9">
        <f>IF(Source!BC29&lt;&gt; 0, Source!BC29, 1)</f>
        <v>1</v>
      </c>
      <c r="J48" s="22">
        <f>Source!P29</f>
        <v>2934.59</v>
      </c>
      <c r="K48" s="22"/>
    </row>
    <row r="49" spans="1:22" ht="14.25" x14ac:dyDescent="0.2">
      <c r="A49" s="19"/>
      <c r="B49" s="19"/>
      <c r="C49" s="19" t="s">
        <v>292</v>
      </c>
      <c r="D49" s="20" t="s">
        <v>293</v>
      </c>
      <c r="E49" s="9">
        <f>Source!AT29</f>
        <v>70</v>
      </c>
      <c r="F49" s="22"/>
      <c r="G49" s="21"/>
      <c r="H49" s="9"/>
      <c r="I49" s="9"/>
      <c r="J49" s="22">
        <f>SUM(R45:R48)</f>
        <v>18621.599999999999</v>
      </c>
      <c r="K49" s="22"/>
    </row>
    <row r="50" spans="1:22" ht="14.25" x14ac:dyDescent="0.2">
      <c r="A50" s="19"/>
      <c r="B50" s="19"/>
      <c r="C50" s="19" t="s">
        <v>294</v>
      </c>
      <c r="D50" s="20" t="s">
        <v>293</v>
      </c>
      <c r="E50" s="9">
        <f>Source!AU29</f>
        <v>10</v>
      </c>
      <c r="F50" s="22"/>
      <c r="G50" s="21"/>
      <c r="H50" s="9"/>
      <c r="I50" s="9"/>
      <c r="J50" s="22">
        <f>SUM(T45:T49)</f>
        <v>2660.23</v>
      </c>
      <c r="K50" s="22"/>
    </row>
    <row r="51" spans="1:22" ht="14.25" x14ac:dyDescent="0.2">
      <c r="A51" s="19"/>
      <c r="B51" s="19"/>
      <c r="C51" s="19" t="s">
        <v>296</v>
      </c>
      <c r="D51" s="20" t="s">
        <v>297</v>
      </c>
      <c r="E51" s="9">
        <f>Source!AQ29</f>
        <v>212</v>
      </c>
      <c r="F51" s="22"/>
      <c r="G51" s="21" t="str">
        <f>Source!DI29</f>
        <v/>
      </c>
      <c r="H51" s="9">
        <f>Source!AV29</f>
        <v>1</v>
      </c>
      <c r="I51" s="9"/>
      <c r="J51" s="22"/>
      <c r="K51" s="22">
        <f>Source!U29</f>
        <v>53</v>
      </c>
    </row>
    <row r="52" spans="1:22" ht="15" x14ac:dyDescent="0.25">
      <c r="A52" s="26"/>
      <c r="B52" s="26"/>
      <c r="C52" s="26"/>
      <c r="D52" s="26"/>
      <c r="E52" s="26"/>
      <c r="F52" s="26"/>
      <c r="G52" s="26"/>
      <c r="H52" s="26"/>
      <c r="I52" s="57">
        <f>J47+J48+J49+J50</f>
        <v>50818.71</v>
      </c>
      <c r="J52" s="57"/>
      <c r="K52" s="27">
        <f>IF(Source!I29&lt;&gt;0, ROUND(I52/Source!I29, 2), 0)</f>
        <v>203274.84</v>
      </c>
      <c r="P52" s="24">
        <f>I52</f>
        <v>50818.71</v>
      </c>
    </row>
    <row r="53" spans="1:22" ht="42.75" x14ac:dyDescent="0.2">
      <c r="A53" s="19">
        <v>3</v>
      </c>
      <c r="B53" s="19" t="str">
        <f>Source!F30</f>
        <v>1.14-3203-12-1/1</v>
      </c>
      <c r="C53" s="19" t="str">
        <f>Source!G30</f>
        <v>Окраска фасадов с лесов акриловой краской с подготовкой поверхности (с лестниц)</v>
      </c>
      <c r="D53" s="20" t="str">
        <f>Source!H30</f>
        <v>100 м2</v>
      </c>
      <c r="E53" s="9">
        <f>Source!I30</f>
        <v>0.25</v>
      </c>
      <c r="F53" s="22"/>
      <c r="G53" s="21"/>
      <c r="H53" s="9"/>
      <c r="I53" s="9"/>
      <c r="J53" s="22"/>
      <c r="K53" s="22"/>
      <c r="Q53">
        <f>ROUND((Source!BZ30/100)*ROUND((Source!AF30*Source!AV30)*Source!I30, 2), 2)</f>
        <v>1358.11</v>
      </c>
      <c r="R53">
        <f>Source!X30</f>
        <v>1358.11</v>
      </c>
      <c r="S53">
        <f>ROUND((Source!CA30/100)*ROUND((Source!AF30*Source!AV30)*Source!I30, 2), 2)</f>
        <v>194.02</v>
      </c>
      <c r="T53">
        <f>Source!Y30</f>
        <v>194.02</v>
      </c>
      <c r="U53">
        <f>ROUND((175/100)*ROUND((Source!AE30*Source!AV30)*Source!I30, 2), 2)</f>
        <v>0</v>
      </c>
      <c r="V53">
        <f>ROUND((108/100)*ROUND(Source!CS30*Source!I30, 2), 2)</f>
        <v>0</v>
      </c>
    </row>
    <row r="54" spans="1:22" x14ac:dyDescent="0.2">
      <c r="C54" s="28" t="str">
        <f>"Объем: "&amp;Source!I30&amp;"=25/"&amp;"100"</f>
        <v>Объем: 0,25=25/100</v>
      </c>
    </row>
    <row r="55" spans="1:22" ht="14.25" x14ac:dyDescent="0.2">
      <c r="A55" s="19"/>
      <c r="B55" s="19"/>
      <c r="C55" s="19" t="s">
        <v>288</v>
      </c>
      <c r="D55" s="20"/>
      <c r="E55" s="9"/>
      <c r="F55" s="22">
        <f>Source!AO30</f>
        <v>7760.58</v>
      </c>
      <c r="G55" s="21" t="str">
        <f>Source!DG30</f>
        <v/>
      </c>
      <c r="H55" s="9">
        <f>Source!AV30</f>
        <v>1</v>
      </c>
      <c r="I55" s="9">
        <f>IF(Source!BA30&lt;&gt; 0, Source!BA30, 1)</f>
        <v>1</v>
      </c>
      <c r="J55" s="22">
        <f>Source!S30</f>
        <v>1940.15</v>
      </c>
      <c r="K55" s="22"/>
    </row>
    <row r="56" spans="1:22" ht="14.25" x14ac:dyDescent="0.2">
      <c r="A56" s="19"/>
      <c r="B56" s="19"/>
      <c r="C56" s="19" t="s">
        <v>291</v>
      </c>
      <c r="D56" s="20"/>
      <c r="E56" s="9"/>
      <c r="F56" s="22">
        <f>Source!AL30</f>
        <v>12812</v>
      </c>
      <c r="G56" s="21" t="str">
        <f>Source!DD30</f>
        <v/>
      </c>
      <c r="H56" s="9">
        <f>Source!AW30</f>
        <v>1</v>
      </c>
      <c r="I56" s="9">
        <f>IF(Source!BC30&lt;&gt; 0, Source!BC30, 1)</f>
        <v>1</v>
      </c>
      <c r="J56" s="22">
        <f>Source!P30</f>
        <v>3203</v>
      </c>
      <c r="K56" s="22"/>
    </row>
    <row r="57" spans="1:22" ht="14.25" x14ac:dyDescent="0.2">
      <c r="A57" s="19"/>
      <c r="B57" s="19"/>
      <c r="C57" s="19" t="s">
        <v>292</v>
      </c>
      <c r="D57" s="20" t="s">
        <v>293</v>
      </c>
      <c r="E57" s="9">
        <f>Source!AT30</f>
        <v>70</v>
      </c>
      <c r="F57" s="22"/>
      <c r="G57" s="21"/>
      <c r="H57" s="9"/>
      <c r="I57" s="9"/>
      <c r="J57" s="22">
        <f>SUM(R53:R56)</f>
        <v>1358.11</v>
      </c>
      <c r="K57" s="22"/>
    </row>
    <row r="58" spans="1:22" ht="14.25" x14ac:dyDescent="0.2">
      <c r="A58" s="19"/>
      <c r="B58" s="19"/>
      <c r="C58" s="19" t="s">
        <v>294</v>
      </c>
      <c r="D58" s="20" t="s">
        <v>293</v>
      </c>
      <c r="E58" s="9">
        <f>Source!AU30</f>
        <v>10</v>
      </c>
      <c r="F58" s="22"/>
      <c r="G58" s="21"/>
      <c r="H58" s="9"/>
      <c r="I58" s="9"/>
      <c r="J58" s="22">
        <f>SUM(T53:T57)</f>
        <v>194.02</v>
      </c>
      <c r="K58" s="22"/>
    </row>
    <row r="59" spans="1:22" ht="14.25" x14ac:dyDescent="0.2">
      <c r="A59" s="19"/>
      <c r="B59" s="19"/>
      <c r="C59" s="19" t="s">
        <v>296</v>
      </c>
      <c r="D59" s="20" t="s">
        <v>297</v>
      </c>
      <c r="E59" s="9">
        <f>Source!AQ30</f>
        <v>15.93</v>
      </c>
      <c r="F59" s="22"/>
      <c r="G59" s="21" t="str">
        <f>Source!DI30</f>
        <v/>
      </c>
      <c r="H59" s="9">
        <f>Source!AV30</f>
        <v>1</v>
      </c>
      <c r="I59" s="9"/>
      <c r="J59" s="22"/>
      <c r="K59" s="22">
        <f>Source!U30</f>
        <v>3.9824999999999999</v>
      </c>
    </row>
    <row r="60" spans="1:22" ht="15" x14ac:dyDescent="0.25">
      <c r="A60" s="26"/>
      <c r="B60" s="26"/>
      <c r="C60" s="26"/>
      <c r="D60" s="26"/>
      <c r="E60" s="26"/>
      <c r="F60" s="26"/>
      <c r="G60" s="26"/>
      <c r="H60" s="26"/>
      <c r="I60" s="57">
        <f>J55+J56+J57+J58</f>
        <v>6695.28</v>
      </c>
      <c r="J60" s="57"/>
      <c r="K60" s="27">
        <f>IF(Source!I30&lt;&gt;0, ROUND(I60/Source!I30, 2), 0)</f>
        <v>26781.119999999999</v>
      </c>
      <c r="P60" s="24">
        <f>I60</f>
        <v>6695.28</v>
      </c>
    </row>
    <row r="61" spans="1:22" ht="42.75" x14ac:dyDescent="0.2">
      <c r="A61" s="19">
        <v>4</v>
      </c>
      <c r="B61" s="19" t="str">
        <f>Source!F31</f>
        <v>1.14-3201-8-2/1</v>
      </c>
      <c r="C61" s="19" t="str">
        <f>Source!G31</f>
        <v>Окраска фасадов акриловой краской с подготовкой поверхности, расчисткой старой краски до 35% с лестниц</v>
      </c>
      <c r="D61" s="20" t="str">
        <f>Source!H31</f>
        <v>100 м2</v>
      </c>
      <c r="E61" s="9">
        <f>Source!I31</f>
        <v>1.05</v>
      </c>
      <c r="F61" s="22"/>
      <c r="G61" s="21"/>
      <c r="H61" s="9"/>
      <c r="I61" s="9"/>
      <c r="J61" s="22"/>
      <c r="K61" s="22"/>
      <c r="Q61">
        <f>ROUND((Source!BZ31/100)*ROUND((Source!AF31*Source!AV31)*Source!I31, 2), 2)</f>
        <v>16352.55</v>
      </c>
      <c r="R61">
        <f>Source!X31</f>
        <v>16352.55</v>
      </c>
      <c r="S61">
        <f>ROUND((Source!CA31/100)*ROUND((Source!AF31*Source!AV31)*Source!I31, 2), 2)</f>
        <v>2336.08</v>
      </c>
      <c r="T61">
        <f>Source!Y31</f>
        <v>2336.08</v>
      </c>
      <c r="U61">
        <f>ROUND((175/100)*ROUND((Source!AE31*Source!AV31)*Source!I31, 2), 2)</f>
        <v>0.04</v>
      </c>
      <c r="V61">
        <f>ROUND((108/100)*ROUND(Source!CS31*Source!I31, 2), 2)</f>
        <v>0.02</v>
      </c>
    </row>
    <row r="62" spans="1:22" x14ac:dyDescent="0.2">
      <c r="C62" s="28" t="str">
        <f>"Объем: "&amp;Source!I31&amp;"=105/"&amp;"100"</f>
        <v>Объем: 1,05=105/100</v>
      </c>
    </row>
    <row r="63" spans="1:22" ht="14.25" x14ac:dyDescent="0.2">
      <c r="A63" s="19"/>
      <c r="B63" s="19"/>
      <c r="C63" s="19" t="s">
        <v>288</v>
      </c>
      <c r="D63" s="20"/>
      <c r="E63" s="9"/>
      <c r="F63" s="22">
        <f>Source!AO31</f>
        <v>22248.36</v>
      </c>
      <c r="G63" s="21" t="str">
        <f>Source!DG31</f>
        <v/>
      </c>
      <c r="H63" s="9">
        <f>Source!AV31</f>
        <v>1</v>
      </c>
      <c r="I63" s="9">
        <f>IF(Source!BA31&lt;&gt; 0, Source!BA31, 1)</f>
        <v>1</v>
      </c>
      <c r="J63" s="22">
        <f>Source!S31</f>
        <v>23360.78</v>
      </c>
      <c r="K63" s="22"/>
    </row>
    <row r="64" spans="1:22" ht="14.25" x14ac:dyDescent="0.2">
      <c r="A64" s="19"/>
      <c r="B64" s="19"/>
      <c r="C64" s="19" t="s">
        <v>289</v>
      </c>
      <c r="D64" s="20"/>
      <c r="E64" s="9"/>
      <c r="F64" s="22">
        <f>Source!AM31</f>
        <v>1.46</v>
      </c>
      <c r="G64" s="21" t="str">
        <f>Source!DE31</f>
        <v/>
      </c>
      <c r="H64" s="9">
        <f>Source!AV31</f>
        <v>1</v>
      </c>
      <c r="I64" s="9">
        <f>IF(Source!BB31&lt;&gt; 0, Source!BB31, 1)</f>
        <v>1</v>
      </c>
      <c r="J64" s="22">
        <f>Source!Q31</f>
        <v>1.53</v>
      </c>
      <c r="K64" s="22"/>
    </row>
    <row r="65" spans="1:22" ht="14.25" x14ac:dyDescent="0.2">
      <c r="A65" s="19"/>
      <c r="B65" s="19"/>
      <c r="C65" s="19" t="s">
        <v>290</v>
      </c>
      <c r="D65" s="20"/>
      <c r="E65" s="9"/>
      <c r="F65" s="22">
        <f>Source!AN31</f>
        <v>0.02</v>
      </c>
      <c r="G65" s="21" t="str">
        <f>Source!DF31</f>
        <v/>
      </c>
      <c r="H65" s="9">
        <f>Source!AV31</f>
        <v>1</v>
      </c>
      <c r="I65" s="9">
        <f>IF(Source!BS31&lt;&gt; 0, Source!BS31, 1)</f>
        <v>1</v>
      </c>
      <c r="J65" s="23">
        <f>Source!R31</f>
        <v>0.02</v>
      </c>
      <c r="K65" s="22"/>
    </row>
    <row r="66" spans="1:22" ht="14.25" x14ac:dyDescent="0.2">
      <c r="A66" s="19"/>
      <c r="B66" s="19"/>
      <c r="C66" s="19" t="s">
        <v>291</v>
      </c>
      <c r="D66" s="20"/>
      <c r="E66" s="9"/>
      <c r="F66" s="22">
        <f>Source!AL31</f>
        <v>12294.89</v>
      </c>
      <c r="G66" s="21" t="str">
        <f>Source!DD31</f>
        <v/>
      </c>
      <c r="H66" s="9">
        <f>Source!AW31</f>
        <v>1</v>
      </c>
      <c r="I66" s="9">
        <f>IF(Source!BC31&lt;&gt; 0, Source!BC31, 1)</f>
        <v>1</v>
      </c>
      <c r="J66" s="22">
        <f>Source!P31</f>
        <v>12909.63</v>
      </c>
      <c r="K66" s="22"/>
    </row>
    <row r="67" spans="1:22" ht="14.25" x14ac:dyDescent="0.2">
      <c r="A67" s="19"/>
      <c r="B67" s="19"/>
      <c r="C67" s="19" t="s">
        <v>292</v>
      </c>
      <c r="D67" s="20" t="s">
        <v>293</v>
      </c>
      <c r="E67" s="9">
        <f>Source!AT31</f>
        <v>70</v>
      </c>
      <c r="F67" s="22"/>
      <c r="G67" s="21"/>
      <c r="H67" s="9"/>
      <c r="I67" s="9"/>
      <c r="J67" s="22">
        <f>SUM(R61:R66)</f>
        <v>16352.55</v>
      </c>
      <c r="K67" s="22"/>
    </row>
    <row r="68" spans="1:22" ht="14.25" x14ac:dyDescent="0.2">
      <c r="A68" s="19"/>
      <c r="B68" s="19"/>
      <c r="C68" s="19" t="s">
        <v>294</v>
      </c>
      <c r="D68" s="20" t="s">
        <v>293</v>
      </c>
      <c r="E68" s="9">
        <f>Source!AU31</f>
        <v>10</v>
      </c>
      <c r="F68" s="22"/>
      <c r="G68" s="21"/>
      <c r="H68" s="9"/>
      <c r="I68" s="9"/>
      <c r="J68" s="22">
        <f>SUM(T61:T67)</f>
        <v>2336.08</v>
      </c>
      <c r="K68" s="22"/>
    </row>
    <row r="69" spans="1:22" ht="14.25" x14ac:dyDescent="0.2">
      <c r="A69" s="19"/>
      <c r="B69" s="19"/>
      <c r="C69" s="19" t="s">
        <v>295</v>
      </c>
      <c r="D69" s="20" t="s">
        <v>293</v>
      </c>
      <c r="E69" s="9">
        <f>108</f>
        <v>108</v>
      </c>
      <c r="F69" s="22"/>
      <c r="G69" s="21"/>
      <c r="H69" s="9"/>
      <c r="I69" s="9"/>
      <c r="J69" s="22">
        <f>SUM(V61:V68)</f>
        <v>0.02</v>
      </c>
      <c r="K69" s="22"/>
    </row>
    <row r="70" spans="1:22" ht="14.25" x14ac:dyDescent="0.2">
      <c r="A70" s="19"/>
      <c r="B70" s="19"/>
      <c r="C70" s="19" t="s">
        <v>296</v>
      </c>
      <c r="D70" s="20" t="s">
        <v>297</v>
      </c>
      <c r="E70" s="9">
        <f>Source!AQ31</f>
        <v>50.27</v>
      </c>
      <c r="F70" s="22"/>
      <c r="G70" s="21" t="str">
        <f>Source!DI31</f>
        <v/>
      </c>
      <c r="H70" s="9">
        <f>Source!AV31</f>
        <v>1</v>
      </c>
      <c r="I70" s="9"/>
      <c r="J70" s="22"/>
      <c r="K70" s="22">
        <f>Source!U31</f>
        <v>52.783500000000004</v>
      </c>
    </row>
    <row r="71" spans="1:22" ht="15" x14ac:dyDescent="0.25">
      <c r="A71" s="26"/>
      <c r="B71" s="26"/>
      <c r="C71" s="26"/>
      <c r="D71" s="26"/>
      <c r="E71" s="26"/>
      <c r="F71" s="26"/>
      <c r="G71" s="26"/>
      <c r="H71" s="26"/>
      <c r="I71" s="57">
        <f>J63+J64+J66+J67+J68+J69</f>
        <v>54960.589999999989</v>
      </c>
      <c r="J71" s="57"/>
      <c r="K71" s="27">
        <f>IF(Source!I31&lt;&gt;0, ROUND(I71/Source!I31, 2), 0)</f>
        <v>52343.42</v>
      </c>
      <c r="P71" s="24">
        <f>I71</f>
        <v>54960.589999999989</v>
      </c>
    </row>
    <row r="73" spans="1:22" ht="15" x14ac:dyDescent="0.25">
      <c r="A73" s="61" t="str">
        <f>CONCATENATE("Итого по разделу: ",IF(Source!G33&lt;&gt;"Новый раздел", Source!G33, ""))</f>
        <v>Итого по разделу: Фасад</v>
      </c>
      <c r="B73" s="61"/>
      <c r="C73" s="61"/>
      <c r="D73" s="61"/>
      <c r="E73" s="61"/>
      <c r="F73" s="61"/>
      <c r="G73" s="61"/>
      <c r="H73" s="61"/>
      <c r="I73" s="62">
        <f>SUM(P34:P72)</f>
        <v>123245.35999999999</v>
      </c>
      <c r="J73" s="63"/>
      <c r="K73" s="29"/>
    </row>
    <row r="76" spans="1:22" ht="16.5" x14ac:dyDescent="0.25">
      <c r="A76" s="60" t="str">
        <f>CONCATENATE("Раздел: ",IF(Source!G63&lt;&gt;"Новый раздел", Source!G63, ""))</f>
        <v>Раздел: Кровля (козырек)</v>
      </c>
      <c r="B76" s="60"/>
      <c r="C76" s="60"/>
      <c r="D76" s="60"/>
      <c r="E76" s="60"/>
      <c r="F76" s="60"/>
      <c r="G76" s="60"/>
      <c r="H76" s="60"/>
      <c r="I76" s="60"/>
      <c r="J76" s="60"/>
      <c r="K76" s="60"/>
    </row>
    <row r="77" spans="1:22" ht="28.5" x14ac:dyDescent="0.2">
      <c r="A77" s="19">
        <v>5</v>
      </c>
      <c r="B77" s="19" t="str">
        <f>Source!F67</f>
        <v>1.7-3304-1-1/1</v>
      </c>
      <c r="C77" s="19" t="str">
        <f>Source!G67</f>
        <v>Разборка покрытий кровли из рулонных материалов в 1-3 слоя</v>
      </c>
      <c r="D77" s="20" t="str">
        <f>Source!H67</f>
        <v>100 м2</v>
      </c>
      <c r="E77" s="9">
        <f>Source!I67</f>
        <v>0.5</v>
      </c>
      <c r="F77" s="22"/>
      <c r="G77" s="21"/>
      <c r="H77" s="9"/>
      <c r="I77" s="9"/>
      <c r="J77" s="22"/>
      <c r="K77" s="22"/>
      <c r="Q77">
        <f>ROUND((Source!BZ67/100)*ROUND((Source!AF67*Source!AV67)*Source!I67, 2), 2)</f>
        <v>2596.81</v>
      </c>
      <c r="R77">
        <f>Source!X67</f>
        <v>2596.81</v>
      </c>
      <c r="S77">
        <f>ROUND((Source!CA67/100)*ROUND((Source!AF67*Source!AV67)*Source!I67, 2), 2)</f>
        <v>370.97</v>
      </c>
      <c r="T77">
        <f>Source!Y67</f>
        <v>370.97</v>
      </c>
      <c r="U77">
        <f>ROUND((175/100)*ROUND((Source!AE67*Source!AV67)*Source!I67, 2), 2)</f>
        <v>0</v>
      </c>
      <c r="V77">
        <f>ROUND((108/100)*ROUND(Source!CS67*Source!I67, 2), 2)</f>
        <v>0</v>
      </c>
    </row>
    <row r="78" spans="1:22" x14ac:dyDescent="0.2">
      <c r="C78" s="28" t="str">
        <f>"Объем: "&amp;Source!I67&amp;"=50/"&amp;"100"</f>
        <v>Объем: 0,5=50/100</v>
      </c>
    </row>
    <row r="79" spans="1:22" ht="14.25" x14ac:dyDescent="0.2">
      <c r="A79" s="19"/>
      <c r="B79" s="19"/>
      <c r="C79" s="19" t="s">
        <v>288</v>
      </c>
      <c r="D79" s="20"/>
      <c r="E79" s="9"/>
      <c r="F79" s="22">
        <f>Source!AO67</f>
        <v>7419.45</v>
      </c>
      <c r="G79" s="21" t="str">
        <f>Source!DG67</f>
        <v/>
      </c>
      <c r="H79" s="9">
        <f>Source!AV67</f>
        <v>1</v>
      </c>
      <c r="I79" s="9">
        <f>IF(Source!BA67&lt;&gt; 0, Source!BA67, 1)</f>
        <v>1</v>
      </c>
      <c r="J79" s="22">
        <f>Source!S67</f>
        <v>3709.73</v>
      </c>
      <c r="K79" s="22"/>
    </row>
    <row r="80" spans="1:22" ht="14.25" x14ac:dyDescent="0.2">
      <c r="A80" s="19"/>
      <c r="B80" s="19"/>
      <c r="C80" s="19" t="s">
        <v>292</v>
      </c>
      <c r="D80" s="20" t="s">
        <v>293</v>
      </c>
      <c r="E80" s="9">
        <f>Source!AT67</f>
        <v>70</v>
      </c>
      <c r="F80" s="22"/>
      <c r="G80" s="21"/>
      <c r="H80" s="9"/>
      <c r="I80" s="9"/>
      <c r="J80" s="22">
        <f>SUM(R77:R79)</f>
        <v>2596.81</v>
      </c>
      <c r="K80" s="22"/>
    </row>
    <row r="81" spans="1:22" ht="14.25" x14ac:dyDescent="0.2">
      <c r="A81" s="19"/>
      <c r="B81" s="19"/>
      <c r="C81" s="19" t="s">
        <v>294</v>
      </c>
      <c r="D81" s="20" t="s">
        <v>293</v>
      </c>
      <c r="E81" s="9">
        <f>Source!AU67</f>
        <v>10</v>
      </c>
      <c r="F81" s="22"/>
      <c r="G81" s="21"/>
      <c r="H81" s="9"/>
      <c r="I81" s="9"/>
      <c r="J81" s="22">
        <f>SUM(T77:T80)</f>
        <v>370.97</v>
      </c>
      <c r="K81" s="22"/>
    </row>
    <row r="82" spans="1:22" ht="14.25" x14ac:dyDescent="0.2">
      <c r="A82" s="19"/>
      <c r="B82" s="19"/>
      <c r="C82" s="19" t="s">
        <v>296</v>
      </c>
      <c r="D82" s="20" t="s">
        <v>297</v>
      </c>
      <c r="E82" s="9">
        <f>Source!AQ67</f>
        <v>17.41</v>
      </c>
      <c r="F82" s="22"/>
      <c r="G82" s="21" t="str">
        <f>Source!DI67</f>
        <v/>
      </c>
      <c r="H82" s="9">
        <f>Source!AV67</f>
        <v>1</v>
      </c>
      <c r="I82" s="9"/>
      <c r="J82" s="22"/>
      <c r="K82" s="22">
        <f>Source!U67</f>
        <v>8.7050000000000001</v>
      </c>
    </row>
    <row r="83" spans="1:22" ht="15" x14ac:dyDescent="0.25">
      <c r="A83" s="26"/>
      <c r="B83" s="26"/>
      <c r="C83" s="26"/>
      <c r="D83" s="26"/>
      <c r="E83" s="26"/>
      <c r="F83" s="26"/>
      <c r="G83" s="26"/>
      <c r="H83" s="26"/>
      <c r="I83" s="57">
        <f>J79+J80+J81</f>
        <v>6677.51</v>
      </c>
      <c r="J83" s="57"/>
      <c r="K83" s="27">
        <f>IF(Source!I67&lt;&gt;0, ROUND(I83/Source!I67, 2), 0)</f>
        <v>13355.02</v>
      </c>
      <c r="P83" s="24">
        <f>I83</f>
        <v>6677.51</v>
      </c>
    </row>
    <row r="84" spans="1:22" ht="28.5" x14ac:dyDescent="0.2">
      <c r="A84" s="19">
        <v>6</v>
      </c>
      <c r="B84" s="19" t="str">
        <f>Source!F68</f>
        <v>1.10-3304-1-1/1</v>
      </c>
      <c r="C84" s="19" t="str">
        <f>Source!G68</f>
        <v>Разборка цементных покрытий, толщина 30 мм</v>
      </c>
      <c r="D84" s="20" t="str">
        <f>Source!H68</f>
        <v>100 м2</v>
      </c>
      <c r="E84" s="9">
        <f>Source!I68</f>
        <v>0.15</v>
      </c>
      <c r="F84" s="22"/>
      <c r="G84" s="21"/>
      <c r="H84" s="9"/>
      <c r="I84" s="9"/>
      <c r="J84" s="22"/>
      <c r="K84" s="22"/>
      <c r="Q84">
        <f>ROUND((Source!BZ68/100)*ROUND((Source!AF68*Source!AV68)*Source!I68, 2), 2)</f>
        <v>1124.6099999999999</v>
      </c>
      <c r="R84">
        <f>Source!X68</f>
        <v>1124.6099999999999</v>
      </c>
      <c r="S84">
        <f>ROUND((Source!CA68/100)*ROUND((Source!AF68*Source!AV68)*Source!I68, 2), 2)</f>
        <v>160.66</v>
      </c>
      <c r="T84">
        <f>Source!Y68</f>
        <v>160.66</v>
      </c>
      <c r="U84">
        <f>ROUND((175/100)*ROUND((Source!AE68*Source!AV68)*Source!I68, 2), 2)</f>
        <v>0.25</v>
      </c>
      <c r="V84">
        <f>ROUND((108/100)*ROUND(Source!CS68*Source!I68, 2), 2)</f>
        <v>0.15</v>
      </c>
    </row>
    <row r="85" spans="1:22" x14ac:dyDescent="0.2">
      <c r="C85" s="28" t="str">
        <f>"Объем: "&amp;Source!I68&amp;"=15/"&amp;"100"</f>
        <v>Объем: 0,15=15/100</v>
      </c>
    </row>
    <row r="86" spans="1:22" ht="14.25" x14ac:dyDescent="0.2">
      <c r="A86" s="19"/>
      <c r="B86" s="19"/>
      <c r="C86" s="19" t="s">
        <v>288</v>
      </c>
      <c r="D86" s="20"/>
      <c r="E86" s="9"/>
      <c r="F86" s="22">
        <f>Source!AO68</f>
        <v>10710.59</v>
      </c>
      <c r="G86" s="21" t="str">
        <f>Source!DG68</f>
        <v/>
      </c>
      <c r="H86" s="9">
        <f>Source!AV68</f>
        <v>1</v>
      </c>
      <c r="I86" s="9">
        <f>IF(Source!BA68&lt;&gt; 0, Source!BA68, 1)</f>
        <v>1</v>
      </c>
      <c r="J86" s="22">
        <f>Source!S68</f>
        <v>1606.59</v>
      </c>
      <c r="K86" s="22"/>
    </row>
    <row r="87" spans="1:22" ht="14.25" x14ac:dyDescent="0.2">
      <c r="A87" s="19"/>
      <c r="B87" s="19"/>
      <c r="C87" s="19" t="s">
        <v>289</v>
      </c>
      <c r="D87" s="20"/>
      <c r="E87" s="9"/>
      <c r="F87" s="22">
        <f>Source!AM68</f>
        <v>189.59</v>
      </c>
      <c r="G87" s="21" t="str">
        <f>Source!DE68</f>
        <v/>
      </c>
      <c r="H87" s="9">
        <f>Source!AV68</f>
        <v>1</v>
      </c>
      <c r="I87" s="9">
        <f>IF(Source!BB68&lt;&gt; 0, Source!BB68, 1)</f>
        <v>1</v>
      </c>
      <c r="J87" s="22">
        <f>Source!Q68</f>
        <v>28.44</v>
      </c>
      <c r="K87" s="22"/>
    </row>
    <row r="88" spans="1:22" ht="14.25" x14ac:dyDescent="0.2">
      <c r="A88" s="19"/>
      <c r="B88" s="19"/>
      <c r="C88" s="19" t="s">
        <v>290</v>
      </c>
      <c r="D88" s="20"/>
      <c r="E88" s="9"/>
      <c r="F88" s="22">
        <f>Source!AN68</f>
        <v>0.94</v>
      </c>
      <c r="G88" s="21" t="str">
        <f>Source!DF68</f>
        <v/>
      </c>
      <c r="H88" s="9">
        <f>Source!AV68</f>
        <v>1</v>
      </c>
      <c r="I88" s="9">
        <f>IF(Source!BS68&lt;&gt; 0, Source!BS68, 1)</f>
        <v>1</v>
      </c>
      <c r="J88" s="23">
        <f>Source!R68</f>
        <v>0.14000000000000001</v>
      </c>
      <c r="K88" s="22"/>
    </row>
    <row r="89" spans="1:22" ht="14.25" x14ac:dyDescent="0.2">
      <c r="A89" s="19"/>
      <c r="B89" s="19"/>
      <c r="C89" s="19" t="s">
        <v>292</v>
      </c>
      <c r="D89" s="20" t="s">
        <v>293</v>
      </c>
      <c r="E89" s="9">
        <f>Source!AT68</f>
        <v>70</v>
      </c>
      <c r="F89" s="22"/>
      <c r="G89" s="21"/>
      <c r="H89" s="9"/>
      <c r="I89" s="9"/>
      <c r="J89" s="22">
        <f>SUM(R84:R88)</f>
        <v>1124.6099999999999</v>
      </c>
      <c r="K89" s="22"/>
    </row>
    <row r="90" spans="1:22" ht="14.25" x14ac:dyDescent="0.2">
      <c r="A90" s="19"/>
      <c r="B90" s="19"/>
      <c r="C90" s="19" t="s">
        <v>294</v>
      </c>
      <c r="D90" s="20" t="s">
        <v>293</v>
      </c>
      <c r="E90" s="9">
        <f>Source!AU68</f>
        <v>10</v>
      </c>
      <c r="F90" s="22"/>
      <c r="G90" s="21"/>
      <c r="H90" s="9"/>
      <c r="I90" s="9"/>
      <c r="J90" s="22">
        <f>SUM(T84:T89)</f>
        <v>160.66</v>
      </c>
      <c r="K90" s="22"/>
    </row>
    <row r="91" spans="1:22" ht="14.25" x14ac:dyDescent="0.2">
      <c r="A91" s="19"/>
      <c r="B91" s="19"/>
      <c r="C91" s="19" t="s">
        <v>295</v>
      </c>
      <c r="D91" s="20" t="s">
        <v>293</v>
      </c>
      <c r="E91" s="9">
        <f>108</f>
        <v>108</v>
      </c>
      <c r="F91" s="22"/>
      <c r="G91" s="21"/>
      <c r="H91" s="9"/>
      <c r="I91" s="9"/>
      <c r="J91" s="22">
        <f>SUM(V84:V90)</f>
        <v>0.15</v>
      </c>
      <c r="K91" s="22"/>
    </row>
    <row r="92" spans="1:22" ht="14.25" x14ac:dyDescent="0.2">
      <c r="A92" s="19"/>
      <c r="B92" s="19"/>
      <c r="C92" s="19" t="s">
        <v>296</v>
      </c>
      <c r="D92" s="20" t="s">
        <v>297</v>
      </c>
      <c r="E92" s="9">
        <f>Source!AQ68</f>
        <v>24.6</v>
      </c>
      <c r="F92" s="22"/>
      <c r="G92" s="21" t="str">
        <f>Source!DI68</f>
        <v/>
      </c>
      <c r="H92" s="9">
        <f>Source!AV68</f>
        <v>1</v>
      </c>
      <c r="I92" s="9"/>
      <c r="J92" s="22"/>
      <c r="K92" s="22">
        <f>Source!U68</f>
        <v>3.69</v>
      </c>
    </row>
    <row r="93" spans="1:22" ht="15" x14ac:dyDescent="0.25">
      <c r="A93" s="26"/>
      <c r="B93" s="26"/>
      <c r="C93" s="26"/>
      <c r="D93" s="26"/>
      <c r="E93" s="26"/>
      <c r="F93" s="26"/>
      <c r="G93" s="26"/>
      <c r="H93" s="26"/>
      <c r="I93" s="57">
        <f>J86+J87+J89+J90+J91</f>
        <v>2920.45</v>
      </c>
      <c r="J93" s="57"/>
      <c r="K93" s="27">
        <f>IF(Source!I68&lt;&gt;0, ROUND(I93/Source!I68, 2), 0)</f>
        <v>19469.669999999998</v>
      </c>
      <c r="P93" s="24">
        <f>I93</f>
        <v>2920.45</v>
      </c>
    </row>
    <row r="94" spans="1:22" ht="28.5" x14ac:dyDescent="0.2">
      <c r="A94" s="19">
        <v>7</v>
      </c>
      <c r="B94" s="19" t="str">
        <f>Source!F69</f>
        <v>1.7-3303-4-1/1</v>
      </c>
      <c r="C94" s="19" t="str">
        <f>Source!G69</f>
        <v>Устройство выравнивающих стяжек цементно-песчаных толщиной 15 мм</v>
      </c>
      <c r="D94" s="20" t="str">
        <f>Source!H69</f>
        <v>100 м2</v>
      </c>
      <c r="E94" s="9">
        <f>Source!I69</f>
        <v>0.15</v>
      </c>
      <c r="F94" s="22"/>
      <c r="G94" s="21"/>
      <c r="H94" s="9"/>
      <c r="I94" s="9"/>
      <c r="J94" s="22"/>
      <c r="K94" s="22"/>
      <c r="Q94">
        <f>ROUND((Source!BZ69/100)*ROUND((Source!AF69*Source!AV69)*Source!I69, 2), 2)</f>
        <v>1169.05</v>
      </c>
      <c r="R94">
        <f>Source!X69</f>
        <v>1169.05</v>
      </c>
      <c r="S94">
        <f>ROUND((Source!CA69/100)*ROUND((Source!AF69*Source!AV69)*Source!I69, 2), 2)</f>
        <v>167.01</v>
      </c>
      <c r="T94">
        <f>Source!Y69</f>
        <v>167.01</v>
      </c>
      <c r="U94">
        <f>ROUND((175/100)*ROUND((Source!AE69*Source!AV69)*Source!I69, 2), 2)</f>
        <v>25.18</v>
      </c>
      <c r="V94">
        <f>ROUND((108/100)*ROUND(Source!CS69*Source!I69, 2), 2)</f>
        <v>15.54</v>
      </c>
    </row>
    <row r="95" spans="1:22" x14ac:dyDescent="0.2">
      <c r="C95" s="28" t="str">
        <f>"Объем: "&amp;Source!I69&amp;"=15/"&amp;"100"</f>
        <v>Объем: 0,15=15/100</v>
      </c>
    </row>
    <row r="96" spans="1:22" ht="14.25" x14ac:dyDescent="0.2">
      <c r="A96" s="19"/>
      <c r="B96" s="19"/>
      <c r="C96" s="19" t="s">
        <v>288</v>
      </c>
      <c r="D96" s="20"/>
      <c r="E96" s="9"/>
      <c r="F96" s="22">
        <f>Source!AO69</f>
        <v>11133.81</v>
      </c>
      <c r="G96" s="21" t="str">
        <f>Source!DG69</f>
        <v/>
      </c>
      <c r="H96" s="9">
        <f>Source!AV69</f>
        <v>1</v>
      </c>
      <c r="I96" s="9">
        <f>IF(Source!BA69&lt;&gt; 0, Source!BA69, 1)</f>
        <v>1</v>
      </c>
      <c r="J96" s="22">
        <f>Source!S69</f>
        <v>1670.07</v>
      </c>
      <c r="K96" s="22"/>
    </row>
    <row r="97" spans="1:22" ht="14.25" x14ac:dyDescent="0.2">
      <c r="A97" s="19"/>
      <c r="B97" s="19"/>
      <c r="C97" s="19" t="s">
        <v>289</v>
      </c>
      <c r="D97" s="20"/>
      <c r="E97" s="9"/>
      <c r="F97" s="22">
        <f>Source!AM69</f>
        <v>387.96</v>
      </c>
      <c r="G97" s="21" t="str">
        <f>Source!DE69</f>
        <v/>
      </c>
      <c r="H97" s="9">
        <f>Source!AV69</f>
        <v>1</v>
      </c>
      <c r="I97" s="9">
        <f>IF(Source!BB69&lt;&gt; 0, Source!BB69, 1)</f>
        <v>1</v>
      </c>
      <c r="J97" s="22">
        <f>Source!Q69</f>
        <v>58.19</v>
      </c>
      <c r="K97" s="22"/>
    </row>
    <row r="98" spans="1:22" ht="14.25" x14ac:dyDescent="0.2">
      <c r="A98" s="19"/>
      <c r="B98" s="19"/>
      <c r="C98" s="19" t="s">
        <v>290</v>
      </c>
      <c r="D98" s="20"/>
      <c r="E98" s="9"/>
      <c r="F98" s="22">
        <f>Source!AN69</f>
        <v>95.92</v>
      </c>
      <c r="G98" s="21" t="str">
        <f>Source!DF69</f>
        <v/>
      </c>
      <c r="H98" s="9">
        <f>Source!AV69</f>
        <v>1</v>
      </c>
      <c r="I98" s="9">
        <f>IF(Source!BS69&lt;&gt; 0, Source!BS69, 1)</f>
        <v>1</v>
      </c>
      <c r="J98" s="23">
        <f>Source!R69</f>
        <v>14.39</v>
      </c>
      <c r="K98" s="22"/>
    </row>
    <row r="99" spans="1:22" ht="14.25" x14ac:dyDescent="0.2">
      <c r="A99" s="19"/>
      <c r="B99" s="19"/>
      <c r="C99" s="19" t="s">
        <v>291</v>
      </c>
      <c r="D99" s="20"/>
      <c r="E99" s="9"/>
      <c r="F99" s="22">
        <f>Source!AL69</f>
        <v>8135.77</v>
      </c>
      <c r="G99" s="21" t="str">
        <f>Source!DD69</f>
        <v/>
      </c>
      <c r="H99" s="9">
        <f>Source!AW69</f>
        <v>1</v>
      </c>
      <c r="I99" s="9">
        <f>IF(Source!BC69&lt;&gt; 0, Source!BC69, 1)</f>
        <v>1</v>
      </c>
      <c r="J99" s="22">
        <f>Source!P69</f>
        <v>1220.3699999999999</v>
      </c>
      <c r="K99" s="22"/>
    </row>
    <row r="100" spans="1:22" ht="14.25" x14ac:dyDescent="0.2">
      <c r="A100" s="19"/>
      <c r="B100" s="19"/>
      <c r="C100" s="19" t="s">
        <v>292</v>
      </c>
      <c r="D100" s="20" t="s">
        <v>293</v>
      </c>
      <c r="E100" s="9">
        <f>Source!AT69</f>
        <v>70</v>
      </c>
      <c r="F100" s="22"/>
      <c r="G100" s="21"/>
      <c r="H100" s="9"/>
      <c r="I100" s="9"/>
      <c r="J100" s="22">
        <f>SUM(R94:R99)</f>
        <v>1169.05</v>
      </c>
      <c r="K100" s="22"/>
    </row>
    <row r="101" spans="1:22" ht="14.25" x14ac:dyDescent="0.2">
      <c r="A101" s="19"/>
      <c r="B101" s="19"/>
      <c r="C101" s="19" t="s">
        <v>294</v>
      </c>
      <c r="D101" s="20" t="s">
        <v>293</v>
      </c>
      <c r="E101" s="9">
        <f>Source!AU69</f>
        <v>10</v>
      </c>
      <c r="F101" s="22"/>
      <c r="G101" s="21"/>
      <c r="H101" s="9"/>
      <c r="I101" s="9"/>
      <c r="J101" s="22">
        <f>SUM(T94:T100)</f>
        <v>167.01</v>
      </c>
      <c r="K101" s="22"/>
    </row>
    <row r="102" spans="1:22" ht="14.25" x14ac:dyDescent="0.2">
      <c r="A102" s="19"/>
      <c r="B102" s="19"/>
      <c r="C102" s="19" t="s">
        <v>295</v>
      </c>
      <c r="D102" s="20" t="s">
        <v>293</v>
      </c>
      <c r="E102" s="9">
        <f>108</f>
        <v>108</v>
      </c>
      <c r="F102" s="22"/>
      <c r="G102" s="21"/>
      <c r="H102" s="9"/>
      <c r="I102" s="9"/>
      <c r="J102" s="22">
        <f>SUM(V94:V101)</f>
        <v>15.54</v>
      </c>
      <c r="K102" s="22"/>
    </row>
    <row r="103" spans="1:22" ht="14.25" x14ac:dyDescent="0.2">
      <c r="A103" s="19"/>
      <c r="B103" s="19"/>
      <c r="C103" s="19" t="s">
        <v>296</v>
      </c>
      <c r="D103" s="20" t="s">
        <v>297</v>
      </c>
      <c r="E103" s="9">
        <f>Source!AQ69</f>
        <v>27.94</v>
      </c>
      <c r="F103" s="22"/>
      <c r="G103" s="21" t="str">
        <f>Source!DI69</f>
        <v/>
      </c>
      <c r="H103" s="9">
        <f>Source!AV69</f>
        <v>1</v>
      </c>
      <c r="I103" s="9"/>
      <c r="J103" s="22"/>
      <c r="K103" s="22">
        <f>Source!U69</f>
        <v>4.1909999999999998</v>
      </c>
    </row>
    <row r="104" spans="1:22" ht="15" x14ac:dyDescent="0.25">
      <c r="A104" s="26"/>
      <c r="B104" s="26"/>
      <c r="C104" s="26"/>
      <c r="D104" s="26"/>
      <c r="E104" s="26"/>
      <c r="F104" s="26"/>
      <c r="G104" s="26"/>
      <c r="H104" s="26"/>
      <c r="I104" s="57">
        <f>J96+J97+J99+J100+J101+J102</f>
        <v>4300.2300000000005</v>
      </c>
      <c r="J104" s="57"/>
      <c r="K104" s="27">
        <f>IF(Source!I69&lt;&gt;0, ROUND(I104/Source!I69, 2), 0)</f>
        <v>28668.2</v>
      </c>
      <c r="P104" s="24">
        <f>I104</f>
        <v>4300.2300000000005</v>
      </c>
    </row>
    <row r="105" spans="1:22" ht="42.75" x14ac:dyDescent="0.2">
      <c r="A105" s="19">
        <v>8</v>
      </c>
      <c r="B105" s="19" t="str">
        <f>Source!F70</f>
        <v>1.7-3303-4-2/1</v>
      </c>
      <c r="C105" s="19" t="str">
        <f>Source!G70</f>
        <v>Добавлять или исключать на каждый 1 мм изменения толщины для поз. 7-3303-4-1 (до 30 мм)</v>
      </c>
      <c r="D105" s="20" t="str">
        <f>Source!H70</f>
        <v>100 м2</v>
      </c>
      <c r="E105" s="9">
        <f>Source!I70</f>
        <v>0.15</v>
      </c>
      <c r="F105" s="22"/>
      <c r="G105" s="21"/>
      <c r="H105" s="9"/>
      <c r="I105" s="9"/>
      <c r="J105" s="22"/>
      <c r="K105" s="22"/>
      <c r="Q105">
        <f>ROUND((Source!BZ70/100)*ROUND((Source!AF70*Source!AV70)*Source!I70, 2), 2)</f>
        <v>61.31</v>
      </c>
      <c r="R105">
        <f>Source!X70</f>
        <v>61.31</v>
      </c>
      <c r="S105">
        <f>ROUND((Source!CA70/100)*ROUND((Source!AF70*Source!AV70)*Source!I70, 2), 2)</f>
        <v>8.76</v>
      </c>
      <c r="T105">
        <f>Source!Y70</f>
        <v>8.76</v>
      </c>
      <c r="U105">
        <f>ROUND((175/100)*ROUND((Source!AE70*Source!AV70)*Source!I70, 2), 2)</f>
        <v>0</v>
      </c>
      <c r="V105">
        <f>ROUND((108/100)*ROUND(Source!CS70*Source!I70, 2), 2)</f>
        <v>0</v>
      </c>
    </row>
    <row r="106" spans="1:22" x14ac:dyDescent="0.2">
      <c r="C106" s="28" t="str">
        <f>"Объем: "&amp;Source!I70&amp;"=15/"&amp;"100"</f>
        <v>Объем: 0,15=15/100</v>
      </c>
    </row>
    <row r="107" spans="1:22" ht="14.25" x14ac:dyDescent="0.2">
      <c r="A107" s="19"/>
      <c r="B107" s="19"/>
      <c r="C107" s="19" t="s">
        <v>288</v>
      </c>
      <c r="D107" s="20"/>
      <c r="E107" s="9"/>
      <c r="F107" s="22">
        <f>Source!AO70</f>
        <v>38.93</v>
      </c>
      <c r="G107" s="21" t="str">
        <f>Source!DG70</f>
        <v>*15</v>
      </c>
      <c r="H107" s="9">
        <f>Source!AV70</f>
        <v>1</v>
      </c>
      <c r="I107" s="9">
        <f>IF(Source!BA70&lt;&gt; 0, Source!BA70, 1)</f>
        <v>1</v>
      </c>
      <c r="J107" s="22">
        <f>Source!S70</f>
        <v>87.59</v>
      </c>
      <c r="K107" s="22"/>
    </row>
    <row r="108" spans="1:22" ht="14.25" x14ac:dyDescent="0.2">
      <c r="A108" s="19"/>
      <c r="B108" s="19"/>
      <c r="C108" s="19" t="s">
        <v>291</v>
      </c>
      <c r="D108" s="20"/>
      <c r="E108" s="9"/>
      <c r="F108" s="22">
        <f>Source!AL70</f>
        <v>529.6</v>
      </c>
      <c r="G108" s="21" t="str">
        <f>Source!DD70</f>
        <v>*15</v>
      </c>
      <c r="H108" s="9">
        <f>Source!AW70</f>
        <v>1</v>
      </c>
      <c r="I108" s="9">
        <f>IF(Source!BC70&lt;&gt; 0, Source!BC70, 1)</f>
        <v>1</v>
      </c>
      <c r="J108" s="22">
        <f>Source!P70</f>
        <v>1191.5999999999999</v>
      </c>
      <c r="K108" s="22"/>
    </row>
    <row r="109" spans="1:22" ht="14.25" x14ac:dyDescent="0.2">
      <c r="A109" s="19"/>
      <c r="B109" s="19"/>
      <c r="C109" s="19" t="s">
        <v>292</v>
      </c>
      <c r="D109" s="20" t="s">
        <v>293</v>
      </c>
      <c r="E109" s="9">
        <f>Source!AT70</f>
        <v>70</v>
      </c>
      <c r="F109" s="22"/>
      <c r="G109" s="21"/>
      <c r="H109" s="9"/>
      <c r="I109" s="9"/>
      <c r="J109" s="22">
        <f>SUM(R105:R108)</f>
        <v>61.31</v>
      </c>
      <c r="K109" s="22"/>
    </row>
    <row r="110" spans="1:22" ht="14.25" x14ac:dyDescent="0.2">
      <c r="A110" s="19"/>
      <c r="B110" s="19"/>
      <c r="C110" s="19" t="s">
        <v>294</v>
      </c>
      <c r="D110" s="20" t="s">
        <v>293</v>
      </c>
      <c r="E110" s="9">
        <f>Source!AU70</f>
        <v>10</v>
      </c>
      <c r="F110" s="22"/>
      <c r="G110" s="21"/>
      <c r="H110" s="9"/>
      <c r="I110" s="9"/>
      <c r="J110" s="22">
        <f>SUM(T105:T109)</f>
        <v>8.76</v>
      </c>
      <c r="K110" s="22"/>
    </row>
    <row r="111" spans="1:22" ht="14.25" x14ac:dyDescent="0.2">
      <c r="A111" s="19"/>
      <c r="B111" s="19"/>
      <c r="C111" s="19" t="s">
        <v>296</v>
      </c>
      <c r="D111" s="20" t="s">
        <v>297</v>
      </c>
      <c r="E111" s="9">
        <f>Source!AQ70</f>
        <v>0.1</v>
      </c>
      <c r="F111" s="22"/>
      <c r="G111" s="21" t="str">
        <f>Source!DI70</f>
        <v>*15</v>
      </c>
      <c r="H111" s="9">
        <f>Source!AV70</f>
        <v>1</v>
      </c>
      <c r="I111" s="9"/>
      <c r="J111" s="22"/>
      <c r="K111" s="22">
        <f>Source!U70</f>
        <v>0.22499999999999998</v>
      </c>
    </row>
    <row r="112" spans="1:22" ht="15" x14ac:dyDescent="0.25">
      <c r="A112" s="26"/>
      <c r="B112" s="26"/>
      <c r="C112" s="26"/>
      <c r="D112" s="26"/>
      <c r="E112" s="26"/>
      <c r="F112" s="26"/>
      <c r="G112" s="26"/>
      <c r="H112" s="26"/>
      <c r="I112" s="57">
        <f>J107+J108+J109+J110</f>
        <v>1349.2599999999998</v>
      </c>
      <c r="J112" s="57"/>
      <c r="K112" s="27">
        <f>IF(Source!I70&lt;&gt;0, ROUND(I112/Source!I70, 2), 0)</f>
        <v>8995.07</v>
      </c>
      <c r="P112" s="24">
        <f>I112</f>
        <v>1349.2599999999998</v>
      </c>
    </row>
    <row r="113" spans="1:22" ht="42.75" x14ac:dyDescent="0.2">
      <c r="A113" s="19">
        <v>9</v>
      </c>
      <c r="B113" s="19" t="str">
        <f>Source!F71</f>
        <v>1.7-3303-7-3/1</v>
      </c>
      <c r="C113" s="19" t="str">
        <f>Source!G71</f>
        <v>Устройство рулонного покрытия в два слоя из наплавляемого материала типа "Филизол", "Изопласт"</v>
      </c>
      <c r="D113" s="20" t="str">
        <f>Source!H71</f>
        <v>100 м2</v>
      </c>
      <c r="E113" s="9">
        <f>Source!I71</f>
        <v>0.5</v>
      </c>
      <c r="F113" s="22"/>
      <c r="G113" s="21"/>
      <c r="H113" s="9"/>
      <c r="I113" s="9"/>
      <c r="J113" s="22"/>
      <c r="K113" s="22"/>
      <c r="Q113">
        <f>ROUND((Source!BZ71/100)*ROUND((Source!AF71*Source!AV71)*Source!I71, 2), 2)</f>
        <v>11653.52</v>
      </c>
      <c r="R113">
        <f>Source!X71</f>
        <v>11653.52</v>
      </c>
      <c r="S113">
        <f>ROUND((Source!CA71/100)*ROUND((Source!AF71*Source!AV71)*Source!I71, 2), 2)</f>
        <v>1664.79</v>
      </c>
      <c r="T113">
        <f>Source!Y71</f>
        <v>1664.79</v>
      </c>
      <c r="U113">
        <f>ROUND((175/100)*ROUND((Source!AE71*Source!AV71)*Source!I71, 2), 2)</f>
        <v>3348.84</v>
      </c>
      <c r="V113">
        <f>ROUND((108/100)*ROUND(Source!CS71*Source!I71, 2), 2)</f>
        <v>2066.71</v>
      </c>
    </row>
    <row r="114" spans="1:22" x14ac:dyDescent="0.2">
      <c r="C114" s="28" t="str">
        <f>"Объем: "&amp;Source!I71&amp;"=50/"&amp;"100"</f>
        <v>Объем: 0,5=50/100</v>
      </c>
    </row>
    <row r="115" spans="1:22" ht="14.25" x14ac:dyDescent="0.2">
      <c r="A115" s="19"/>
      <c r="B115" s="19"/>
      <c r="C115" s="19" t="s">
        <v>288</v>
      </c>
      <c r="D115" s="20"/>
      <c r="E115" s="9"/>
      <c r="F115" s="22">
        <f>Source!AO71</f>
        <v>33295.769999999997</v>
      </c>
      <c r="G115" s="21" t="str">
        <f>Source!DG71</f>
        <v/>
      </c>
      <c r="H115" s="9">
        <f>Source!AV71</f>
        <v>1</v>
      </c>
      <c r="I115" s="9">
        <f>IF(Source!BA71&lt;&gt; 0, Source!BA71, 1)</f>
        <v>1</v>
      </c>
      <c r="J115" s="22">
        <f>Source!S71</f>
        <v>16647.89</v>
      </c>
      <c r="K115" s="22"/>
    </row>
    <row r="116" spans="1:22" ht="14.25" x14ac:dyDescent="0.2">
      <c r="A116" s="19"/>
      <c r="B116" s="19"/>
      <c r="C116" s="19" t="s">
        <v>289</v>
      </c>
      <c r="D116" s="20"/>
      <c r="E116" s="9"/>
      <c r="F116" s="22">
        <f>Source!AM71</f>
        <v>7298.24</v>
      </c>
      <c r="G116" s="21" t="str">
        <f>Source!DE71</f>
        <v/>
      </c>
      <c r="H116" s="9">
        <f>Source!AV71</f>
        <v>1</v>
      </c>
      <c r="I116" s="9">
        <f>IF(Source!BB71&lt;&gt; 0, Source!BB71, 1)</f>
        <v>1</v>
      </c>
      <c r="J116" s="22">
        <f>Source!Q71</f>
        <v>3649.12</v>
      </c>
      <c r="K116" s="22"/>
    </row>
    <row r="117" spans="1:22" ht="14.25" x14ac:dyDescent="0.2">
      <c r="A117" s="19"/>
      <c r="B117" s="19"/>
      <c r="C117" s="19" t="s">
        <v>290</v>
      </c>
      <c r="D117" s="20"/>
      <c r="E117" s="9"/>
      <c r="F117" s="22">
        <f>Source!AN71</f>
        <v>3827.24</v>
      </c>
      <c r="G117" s="21" t="str">
        <f>Source!DF71</f>
        <v/>
      </c>
      <c r="H117" s="9">
        <f>Source!AV71</f>
        <v>1</v>
      </c>
      <c r="I117" s="9">
        <f>IF(Source!BS71&lt;&gt; 0, Source!BS71, 1)</f>
        <v>1</v>
      </c>
      <c r="J117" s="23">
        <f>Source!R71</f>
        <v>1913.62</v>
      </c>
      <c r="K117" s="22"/>
    </row>
    <row r="118" spans="1:22" ht="14.25" x14ac:dyDescent="0.2">
      <c r="A118" s="19"/>
      <c r="B118" s="19"/>
      <c r="C118" s="19" t="s">
        <v>291</v>
      </c>
      <c r="D118" s="20"/>
      <c r="E118" s="9"/>
      <c r="F118" s="22">
        <f>Source!AL71</f>
        <v>87645.72</v>
      </c>
      <c r="G118" s="21" t="str">
        <f>Source!DD71</f>
        <v/>
      </c>
      <c r="H118" s="9">
        <f>Source!AW71</f>
        <v>1</v>
      </c>
      <c r="I118" s="9">
        <f>IF(Source!BC71&lt;&gt; 0, Source!BC71, 1)</f>
        <v>1</v>
      </c>
      <c r="J118" s="22">
        <f>Source!P71</f>
        <v>43822.86</v>
      </c>
      <c r="K118" s="22"/>
    </row>
    <row r="119" spans="1:22" ht="14.25" x14ac:dyDescent="0.2">
      <c r="A119" s="19"/>
      <c r="B119" s="19"/>
      <c r="C119" s="19" t="s">
        <v>292</v>
      </c>
      <c r="D119" s="20" t="s">
        <v>293</v>
      </c>
      <c r="E119" s="9">
        <f>Source!AT71</f>
        <v>70</v>
      </c>
      <c r="F119" s="22"/>
      <c r="G119" s="21"/>
      <c r="H119" s="9"/>
      <c r="I119" s="9"/>
      <c r="J119" s="22">
        <f>SUM(R113:R118)</f>
        <v>11653.52</v>
      </c>
      <c r="K119" s="22"/>
    </row>
    <row r="120" spans="1:22" ht="14.25" x14ac:dyDescent="0.2">
      <c r="A120" s="19"/>
      <c r="B120" s="19"/>
      <c r="C120" s="19" t="s">
        <v>294</v>
      </c>
      <c r="D120" s="20" t="s">
        <v>293</v>
      </c>
      <c r="E120" s="9">
        <f>Source!AU71</f>
        <v>10</v>
      </c>
      <c r="F120" s="22"/>
      <c r="G120" s="21"/>
      <c r="H120" s="9"/>
      <c r="I120" s="9"/>
      <c r="J120" s="22">
        <f>SUM(T113:T119)</f>
        <v>1664.79</v>
      </c>
      <c r="K120" s="22"/>
    </row>
    <row r="121" spans="1:22" ht="14.25" x14ac:dyDescent="0.2">
      <c r="A121" s="19"/>
      <c r="B121" s="19"/>
      <c r="C121" s="19" t="s">
        <v>295</v>
      </c>
      <c r="D121" s="20" t="s">
        <v>293</v>
      </c>
      <c r="E121" s="9">
        <f>108</f>
        <v>108</v>
      </c>
      <c r="F121" s="22"/>
      <c r="G121" s="21"/>
      <c r="H121" s="9"/>
      <c r="I121" s="9"/>
      <c r="J121" s="22">
        <f>SUM(V113:V120)</f>
        <v>2066.71</v>
      </c>
      <c r="K121" s="22"/>
    </row>
    <row r="122" spans="1:22" ht="14.25" x14ac:dyDescent="0.2">
      <c r="A122" s="19"/>
      <c r="B122" s="19"/>
      <c r="C122" s="19" t="s">
        <v>296</v>
      </c>
      <c r="D122" s="20" t="s">
        <v>297</v>
      </c>
      <c r="E122" s="9">
        <f>Source!AQ71</f>
        <v>60.95</v>
      </c>
      <c r="F122" s="22"/>
      <c r="G122" s="21" t="str">
        <f>Source!DI71</f>
        <v/>
      </c>
      <c r="H122" s="9">
        <f>Source!AV71</f>
        <v>1</v>
      </c>
      <c r="I122" s="9"/>
      <c r="J122" s="22"/>
      <c r="K122" s="22">
        <f>Source!U71</f>
        <v>30.475000000000001</v>
      </c>
    </row>
    <row r="123" spans="1:22" ht="15" x14ac:dyDescent="0.25">
      <c r="A123" s="26"/>
      <c r="B123" s="26"/>
      <c r="C123" s="26"/>
      <c r="D123" s="26"/>
      <c r="E123" s="26"/>
      <c r="F123" s="26"/>
      <c r="G123" s="26"/>
      <c r="H123" s="26"/>
      <c r="I123" s="57">
        <f>J115+J116+J118+J119+J120+J121</f>
        <v>79504.89</v>
      </c>
      <c r="J123" s="57"/>
      <c r="K123" s="27">
        <f>IF(Source!I71&lt;&gt;0, ROUND(I123/Source!I71, 2), 0)</f>
        <v>159009.78</v>
      </c>
      <c r="P123" s="24">
        <f>I123</f>
        <v>79504.89</v>
      </c>
    </row>
    <row r="125" spans="1:22" ht="15" x14ac:dyDescent="0.25">
      <c r="A125" s="61" t="str">
        <f>CONCATENATE("Итого по разделу: ",IF(Source!G73&lt;&gt;"Новый раздел", Source!G73, ""))</f>
        <v>Итого по разделу: Кровля (козырек)</v>
      </c>
      <c r="B125" s="61"/>
      <c r="C125" s="61"/>
      <c r="D125" s="61"/>
      <c r="E125" s="61"/>
      <c r="F125" s="61"/>
      <c r="G125" s="61"/>
      <c r="H125" s="61"/>
      <c r="I125" s="62">
        <f>SUM(P76:P124)</f>
        <v>94752.34</v>
      </c>
      <c r="J125" s="63"/>
      <c r="K125" s="29"/>
    </row>
    <row r="128" spans="1:22" ht="16.5" x14ac:dyDescent="0.25">
      <c r="A128" s="60" t="str">
        <f>CONCATENATE("Раздел: ",IF(Source!G103&lt;&gt;"Новый раздел", Source!G103, ""))</f>
        <v>Раздел: Мусор</v>
      </c>
      <c r="B128" s="60"/>
      <c r="C128" s="60"/>
      <c r="D128" s="60"/>
      <c r="E128" s="60"/>
      <c r="F128" s="60"/>
      <c r="G128" s="60"/>
      <c r="H128" s="60"/>
      <c r="I128" s="60"/>
      <c r="J128" s="60"/>
      <c r="K128" s="60"/>
    </row>
    <row r="129" spans="1:22" ht="42.75" x14ac:dyDescent="0.2">
      <c r="A129" s="19">
        <v>10</v>
      </c>
      <c r="B129" s="19" t="str">
        <f>Source!F107</f>
        <v>1.49-9101-7-1/1</v>
      </c>
      <c r="C129" s="19" t="str">
        <f>Source!G107</f>
        <v>Механизированная погрузка строительного мусора в автомобили-самосвалы</v>
      </c>
      <c r="D129" s="20" t="str">
        <f>Source!H107</f>
        <v>т</v>
      </c>
      <c r="E129" s="9">
        <f>Source!I107</f>
        <v>2.71</v>
      </c>
      <c r="F129" s="22"/>
      <c r="G129" s="21"/>
      <c r="H129" s="9"/>
      <c r="I129" s="9"/>
      <c r="J129" s="22"/>
      <c r="K129" s="22"/>
      <c r="Q129">
        <f>ROUND((Source!BZ107/100)*ROUND((Source!AF107*Source!AV107)*Source!I107, 2), 2)</f>
        <v>0</v>
      </c>
      <c r="R129">
        <f>Source!X107</f>
        <v>0</v>
      </c>
      <c r="S129">
        <f>ROUND((Source!CA107/100)*ROUND((Source!AF107*Source!AV107)*Source!I107, 2), 2)</f>
        <v>0</v>
      </c>
      <c r="T129">
        <f>Source!Y107</f>
        <v>0</v>
      </c>
      <c r="U129">
        <f>ROUND((175/100)*ROUND((Source!AE107*Source!AV107)*Source!I107, 2), 2)</f>
        <v>239.51</v>
      </c>
      <c r="V129">
        <f>ROUND((108/100)*ROUND(Source!CS107*Source!I107, 2), 2)</f>
        <v>147.81</v>
      </c>
    </row>
    <row r="130" spans="1:22" ht="14.25" x14ac:dyDescent="0.2">
      <c r="A130" s="19"/>
      <c r="B130" s="19"/>
      <c r="C130" s="19" t="s">
        <v>289</v>
      </c>
      <c r="D130" s="20"/>
      <c r="E130" s="9"/>
      <c r="F130" s="22">
        <f>Source!AM107</f>
        <v>117.87</v>
      </c>
      <c r="G130" s="21" t="str">
        <f>Source!DE107</f>
        <v/>
      </c>
      <c r="H130" s="9">
        <f>Source!AV107</f>
        <v>1</v>
      </c>
      <c r="I130" s="9">
        <f>IF(Source!BB107&lt;&gt; 0, Source!BB107, 1)</f>
        <v>1</v>
      </c>
      <c r="J130" s="22">
        <f>Source!Q107</f>
        <v>319.43</v>
      </c>
      <c r="K130" s="22"/>
    </row>
    <row r="131" spans="1:22" ht="14.25" x14ac:dyDescent="0.2">
      <c r="A131" s="19"/>
      <c r="B131" s="19"/>
      <c r="C131" s="19" t="s">
        <v>290</v>
      </c>
      <c r="D131" s="20"/>
      <c r="E131" s="9"/>
      <c r="F131" s="22">
        <f>Source!AN107</f>
        <v>50.5</v>
      </c>
      <c r="G131" s="21" t="str">
        <f>Source!DF107</f>
        <v/>
      </c>
      <c r="H131" s="9">
        <f>Source!AV107</f>
        <v>1</v>
      </c>
      <c r="I131" s="9">
        <f>IF(Source!BS107&lt;&gt; 0, Source!BS107, 1)</f>
        <v>1</v>
      </c>
      <c r="J131" s="23">
        <f>Source!R107</f>
        <v>136.86000000000001</v>
      </c>
      <c r="K131" s="22"/>
    </row>
    <row r="132" spans="1:22" ht="14.25" x14ac:dyDescent="0.2">
      <c r="A132" s="19"/>
      <c r="B132" s="19"/>
      <c r="C132" s="19" t="s">
        <v>295</v>
      </c>
      <c r="D132" s="20" t="s">
        <v>293</v>
      </c>
      <c r="E132" s="9">
        <f>108</f>
        <v>108</v>
      </c>
      <c r="F132" s="22"/>
      <c r="G132" s="21"/>
      <c r="H132" s="9"/>
      <c r="I132" s="9"/>
      <c r="J132" s="22">
        <f>SUM(V129:V131)</f>
        <v>147.81</v>
      </c>
      <c r="K132" s="22"/>
    </row>
    <row r="133" spans="1:22" ht="15" x14ac:dyDescent="0.25">
      <c r="A133" s="26"/>
      <c r="B133" s="26"/>
      <c r="C133" s="26"/>
      <c r="D133" s="26"/>
      <c r="E133" s="26"/>
      <c r="F133" s="26"/>
      <c r="G133" s="26"/>
      <c r="H133" s="26"/>
      <c r="I133" s="57">
        <f>J130+J132</f>
        <v>467.24</v>
      </c>
      <c r="J133" s="57"/>
      <c r="K133" s="27">
        <f>IF(Source!I107&lt;&gt;0, ROUND(I133/Source!I107, 2), 0)</f>
        <v>172.41</v>
      </c>
      <c r="P133" s="24">
        <f>I133</f>
        <v>467.24</v>
      </c>
    </row>
    <row r="134" spans="1:22" ht="57" x14ac:dyDescent="0.2">
      <c r="A134" s="19">
        <v>11</v>
      </c>
      <c r="B134" s="19" t="str">
        <f>Source!F108</f>
        <v>1.49-9201-1-2/1</v>
      </c>
      <c r="C134" s="19" t="str">
        <f>Source!G108</f>
        <v>Перевозка строительного мусора автосамосвалами грузоподъемностью до 10 т на расстояние 1 км - при механизированной погрузке</v>
      </c>
      <c r="D134" s="20" t="str">
        <f>Source!H108</f>
        <v>т</v>
      </c>
      <c r="E134" s="9">
        <f>Source!I108</f>
        <v>2.71</v>
      </c>
      <c r="F134" s="22"/>
      <c r="G134" s="21"/>
      <c r="H134" s="9"/>
      <c r="I134" s="9"/>
      <c r="J134" s="22"/>
      <c r="K134" s="22"/>
      <c r="Q134">
        <f>ROUND((Source!BZ108/100)*ROUND((Source!AF108*Source!AV108)*Source!I108, 2), 2)</f>
        <v>0</v>
      </c>
      <c r="R134">
        <f>Source!X108</f>
        <v>0</v>
      </c>
      <c r="S134">
        <f>ROUND((Source!CA108/100)*ROUND((Source!AF108*Source!AV108)*Source!I108, 2), 2)</f>
        <v>0</v>
      </c>
      <c r="T134">
        <f>Source!Y108</f>
        <v>0</v>
      </c>
      <c r="U134">
        <f>ROUND((175/100)*ROUND((Source!AE108*Source!AV108)*Source!I108, 2), 2)</f>
        <v>264.58</v>
      </c>
      <c r="V134">
        <f>ROUND((108/100)*ROUND(Source!CS108*Source!I108, 2), 2)</f>
        <v>163.29</v>
      </c>
    </row>
    <row r="135" spans="1:22" ht="14.25" x14ac:dyDescent="0.2">
      <c r="A135" s="19"/>
      <c r="B135" s="19"/>
      <c r="C135" s="19" t="s">
        <v>289</v>
      </c>
      <c r="D135" s="20"/>
      <c r="E135" s="9"/>
      <c r="F135" s="22">
        <f>Source!AM108</f>
        <v>91.5</v>
      </c>
      <c r="G135" s="21" t="str">
        <f>Source!DE108</f>
        <v/>
      </c>
      <c r="H135" s="9">
        <f>Source!AV108</f>
        <v>1</v>
      </c>
      <c r="I135" s="9">
        <f>IF(Source!BB108&lt;&gt; 0, Source!BB108, 1)</f>
        <v>1</v>
      </c>
      <c r="J135" s="22">
        <f>Source!Q108</f>
        <v>247.97</v>
      </c>
      <c r="K135" s="22"/>
    </row>
    <row r="136" spans="1:22" ht="14.25" x14ac:dyDescent="0.2">
      <c r="A136" s="19"/>
      <c r="B136" s="19"/>
      <c r="C136" s="19" t="s">
        <v>290</v>
      </c>
      <c r="D136" s="20"/>
      <c r="E136" s="9"/>
      <c r="F136" s="22">
        <f>Source!AN108</f>
        <v>55.79</v>
      </c>
      <c r="G136" s="21" t="str">
        <f>Source!DF108</f>
        <v/>
      </c>
      <c r="H136" s="9">
        <f>Source!AV108</f>
        <v>1</v>
      </c>
      <c r="I136" s="9">
        <f>IF(Source!BS108&lt;&gt; 0, Source!BS108, 1)</f>
        <v>1</v>
      </c>
      <c r="J136" s="23">
        <f>Source!R108</f>
        <v>151.19</v>
      </c>
      <c r="K136" s="22"/>
    </row>
    <row r="137" spans="1:22" ht="15" x14ac:dyDescent="0.25">
      <c r="A137" s="26"/>
      <c r="B137" s="26"/>
      <c r="C137" s="26"/>
      <c r="D137" s="26"/>
      <c r="E137" s="26"/>
      <c r="F137" s="26"/>
      <c r="G137" s="26"/>
      <c r="H137" s="26"/>
      <c r="I137" s="57">
        <f>J135</f>
        <v>247.97</v>
      </c>
      <c r="J137" s="57"/>
      <c r="K137" s="27">
        <f>IF(Source!I108&lt;&gt;0, ROUND(I137/Source!I108, 2), 0)</f>
        <v>91.5</v>
      </c>
      <c r="P137" s="24">
        <f>I137</f>
        <v>247.97</v>
      </c>
    </row>
    <row r="138" spans="1:22" ht="57" x14ac:dyDescent="0.2">
      <c r="A138" s="19">
        <v>12</v>
      </c>
      <c r="B138" s="19" t="str">
        <f>Source!F109</f>
        <v>1.49-9201-1-3/1</v>
      </c>
      <c r="C138" s="19" t="str">
        <f>Source!G109</f>
        <v>Перевозка строительного мусора автосамосвалами грузоподъемностью до 10 т - добавляется на каждый последующий 1 км до 100 км</v>
      </c>
      <c r="D138" s="20" t="str">
        <f>Source!H109</f>
        <v>т</v>
      </c>
      <c r="E138" s="9">
        <f>Source!I109</f>
        <v>2.71</v>
      </c>
      <c r="F138" s="22"/>
      <c r="G138" s="21"/>
      <c r="H138" s="9"/>
      <c r="I138" s="9"/>
      <c r="J138" s="22"/>
      <c r="K138" s="22"/>
      <c r="Q138">
        <f>ROUND((Source!BZ109/100)*ROUND((Source!AF109*Source!AV109)*Source!I109, 2), 2)</f>
        <v>0</v>
      </c>
      <c r="R138">
        <f>Source!X109</f>
        <v>0</v>
      </c>
      <c r="S138">
        <f>ROUND((Source!CA109/100)*ROUND((Source!AF109*Source!AV109)*Source!I109, 2), 2)</f>
        <v>0</v>
      </c>
      <c r="T138">
        <f>Source!Y109</f>
        <v>0</v>
      </c>
      <c r="U138">
        <f>ROUND((175/100)*ROUND((Source!AE109*Source!AV109)*Source!I109, 2), 2)</f>
        <v>6016.52</v>
      </c>
      <c r="V138">
        <f>ROUND((108/100)*ROUND(Source!CS109*Source!I109, 2), 2)</f>
        <v>3713.05</v>
      </c>
    </row>
    <row r="139" spans="1:22" ht="14.25" x14ac:dyDescent="0.2">
      <c r="A139" s="19"/>
      <c r="B139" s="19"/>
      <c r="C139" s="19" t="s">
        <v>289</v>
      </c>
      <c r="D139" s="20"/>
      <c r="E139" s="9"/>
      <c r="F139" s="22">
        <f>Source!AM109</f>
        <v>43.33</v>
      </c>
      <c r="G139" s="21" t="str">
        <f>Source!DE109</f>
        <v>*48</v>
      </c>
      <c r="H139" s="9">
        <f>Source!AV109</f>
        <v>1</v>
      </c>
      <c r="I139" s="9">
        <f>IF(Source!BB109&lt;&gt; 0, Source!BB109, 1)</f>
        <v>1</v>
      </c>
      <c r="J139" s="22">
        <f>Source!Q109</f>
        <v>5636.37</v>
      </c>
      <c r="K139" s="22"/>
    </row>
    <row r="140" spans="1:22" ht="14.25" x14ac:dyDescent="0.2">
      <c r="A140" s="19"/>
      <c r="B140" s="19"/>
      <c r="C140" s="19" t="s">
        <v>290</v>
      </c>
      <c r="D140" s="20"/>
      <c r="E140" s="9"/>
      <c r="F140" s="22">
        <f>Source!AN109</f>
        <v>26.43</v>
      </c>
      <c r="G140" s="21" t="str">
        <f>Source!DF109</f>
        <v>*48</v>
      </c>
      <c r="H140" s="9">
        <f>Source!AV109</f>
        <v>1</v>
      </c>
      <c r="I140" s="9">
        <f>IF(Source!BS109&lt;&gt; 0, Source!BS109, 1)</f>
        <v>1</v>
      </c>
      <c r="J140" s="23">
        <f>Source!R109</f>
        <v>3438.01</v>
      </c>
      <c r="K140" s="22"/>
    </row>
    <row r="141" spans="1:22" ht="15" x14ac:dyDescent="0.25">
      <c r="A141" s="26"/>
      <c r="B141" s="26"/>
      <c r="C141" s="26"/>
      <c r="D141" s="26"/>
      <c r="E141" s="26"/>
      <c r="F141" s="26"/>
      <c r="G141" s="26"/>
      <c r="H141" s="26"/>
      <c r="I141" s="57">
        <f>J139</f>
        <v>5636.37</v>
      </c>
      <c r="J141" s="57"/>
      <c r="K141" s="27">
        <f>IF(Source!I109&lt;&gt;0, ROUND(I141/Source!I109, 2), 0)</f>
        <v>2079.84</v>
      </c>
      <c r="P141" s="24">
        <f>I141</f>
        <v>5636.37</v>
      </c>
    </row>
    <row r="143" spans="1:22" ht="15" x14ac:dyDescent="0.25">
      <c r="A143" s="61" t="str">
        <f>CONCATENATE("Итого по разделу: ",IF(Source!G111&lt;&gt;"Новый раздел", Source!G111, ""))</f>
        <v>Итого по разделу: Мусор</v>
      </c>
      <c r="B143" s="61"/>
      <c r="C143" s="61"/>
      <c r="D143" s="61"/>
      <c r="E143" s="61"/>
      <c r="F143" s="61"/>
      <c r="G143" s="61"/>
      <c r="H143" s="61"/>
      <c r="I143" s="62">
        <f>SUM(P128:P142)</f>
        <v>6351.58</v>
      </c>
      <c r="J143" s="63"/>
      <c r="K143" s="29"/>
    </row>
    <row r="146" spans="1:32" ht="15" x14ac:dyDescent="0.25">
      <c r="A146" s="61" t="str">
        <f>CONCATENATE("Итого по локальной смете: ",IF(Source!G141&lt;&gt;"Новая локальная смета", Source!G141, ""))</f>
        <v xml:space="preserve">Итого по локальной смете: </v>
      </c>
      <c r="B146" s="61"/>
      <c r="C146" s="61"/>
      <c r="D146" s="61"/>
      <c r="E146" s="61"/>
      <c r="F146" s="61"/>
      <c r="G146" s="61"/>
      <c r="H146" s="61"/>
      <c r="I146" s="62">
        <f>SUM(P32:P145)</f>
        <v>224349.28</v>
      </c>
      <c r="J146" s="63"/>
      <c r="K146" s="29"/>
    </row>
    <row r="149" spans="1:32" ht="15" x14ac:dyDescent="0.25">
      <c r="A149" s="61" t="str">
        <f>CONCATENATE("Итого по смете: ",IF(Source!G171&lt;&gt;"Новый объект", Source!G171, ""))</f>
        <v>Итого по смете: ГБОУ Школа №1440. Крылатские холмы д. 17. Фасад, кровля (в ценах на 01.04.2025 г)</v>
      </c>
      <c r="B149" s="61"/>
      <c r="C149" s="61"/>
      <c r="D149" s="61"/>
      <c r="E149" s="61"/>
      <c r="F149" s="61"/>
      <c r="G149" s="61"/>
      <c r="H149" s="61"/>
      <c r="I149" s="62">
        <f>SUM(P1:P148)</f>
        <v>224349.28</v>
      </c>
      <c r="J149" s="63"/>
      <c r="K149" s="29"/>
      <c r="AF149" s="30" t="str">
        <f>CONCATENATE("Итого по смете: ",IF(Source!G171&lt;&gt;"Новый объект", Source!G171, ""))</f>
        <v>Итого по смете: ГБОУ Школа №1440. Крылатские холмы д. 17. Фасад, кровля (в ценах на 01.04.2025 г)</v>
      </c>
    </row>
    <row r="150" spans="1:32" ht="14.25" x14ac:dyDescent="0.2">
      <c r="C150" s="49" t="str">
        <f>Source!H200</f>
        <v>НДС 20%</v>
      </c>
      <c r="D150" s="49"/>
      <c r="E150" s="49"/>
      <c r="F150" s="49"/>
      <c r="G150" s="49"/>
      <c r="H150" s="49"/>
      <c r="I150" s="47">
        <f>IF(Source!F200=0, "", Source!F200)</f>
        <v>44869.86</v>
      </c>
      <c r="J150" s="47"/>
    </row>
    <row r="151" spans="1:32" ht="14.25" x14ac:dyDescent="0.2">
      <c r="C151" s="49" t="str">
        <f>Source!H201</f>
        <v>Итого с НДС</v>
      </c>
      <c r="D151" s="49"/>
      <c r="E151" s="49"/>
      <c r="F151" s="49"/>
      <c r="G151" s="49"/>
      <c r="H151" s="49"/>
      <c r="I151" s="47">
        <f>IF(Source!F201=0, "", Source!F201)</f>
        <v>269219.14</v>
      </c>
      <c r="J151" s="47"/>
    </row>
    <row r="154" spans="1:32" ht="14.25" x14ac:dyDescent="0.2">
      <c r="A154" s="65" t="s">
        <v>298</v>
      </c>
      <c r="B154" s="65"/>
      <c r="C154" s="31" t="str">
        <f>IF(Source!AC12&lt;&gt;"", Source!AC12," ")</f>
        <v xml:space="preserve"> </v>
      </c>
      <c r="D154" s="31"/>
      <c r="E154" s="31"/>
      <c r="F154" s="31"/>
      <c r="G154" s="31"/>
      <c r="H154" s="10" t="str">
        <f>IF(Source!AB12&lt;&gt;"", Source!AB12," ")</f>
        <v xml:space="preserve"> </v>
      </c>
      <c r="I154" s="10"/>
      <c r="J154" s="10"/>
      <c r="K154" s="10"/>
    </row>
    <row r="155" spans="1:32" ht="14.25" x14ac:dyDescent="0.2">
      <c r="A155" s="10"/>
      <c r="B155" s="10"/>
      <c r="C155" s="64" t="s">
        <v>299</v>
      </c>
      <c r="D155" s="64"/>
      <c r="E155" s="64"/>
      <c r="F155" s="64"/>
      <c r="G155" s="64"/>
      <c r="H155" s="10"/>
      <c r="I155" s="10"/>
      <c r="J155" s="10"/>
      <c r="K155" s="10"/>
    </row>
    <row r="156" spans="1:32" ht="14.25" x14ac:dyDescent="0.2">
      <c r="A156" s="10"/>
      <c r="B156" s="10"/>
      <c r="C156" s="10"/>
      <c r="D156" s="10"/>
      <c r="E156" s="10"/>
      <c r="F156" s="10"/>
      <c r="G156" s="10"/>
      <c r="H156" s="10"/>
      <c r="I156" s="10"/>
      <c r="J156" s="10"/>
      <c r="K156" s="10"/>
    </row>
    <row r="157" spans="1:32" ht="14.25" x14ac:dyDescent="0.2">
      <c r="A157" s="65" t="s">
        <v>300</v>
      </c>
      <c r="B157" s="65"/>
      <c r="C157" s="31" t="str">
        <f>IF(Source!AE12&lt;&gt;"", Source!AE12," ")</f>
        <v xml:space="preserve"> </v>
      </c>
      <c r="D157" s="31"/>
      <c r="E157" s="31"/>
      <c r="F157" s="31"/>
      <c r="G157" s="31"/>
      <c r="H157" s="10" t="str">
        <f>IF(Source!AD12&lt;&gt;"", Source!AD12," ")</f>
        <v xml:space="preserve"> </v>
      </c>
      <c r="I157" s="10"/>
      <c r="J157" s="10"/>
      <c r="K157" s="10"/>
    </row>
    <row r="158" spans="1:32" ht="14.25" x14ac:dyDescent="0.2">
      <c r="A158" s="10"/>
      <c r="B158" s="10"/>
      <c r="C158" s="64" t="s">
        <v>299</v>
      </c>
      <c r="D158" s="64"/>
      <c r="E158" s="64"/>
      <c r="F158" s="64"/>
      <c r="G158" s="64"/>
      <c r="H158" s="10"/>
      <c r="I158" s="10"/>
      <c r="J158" s="10"/>
      <c r="K158" s="10"/>
    </row>
  </sheetData>
  <mergeCells count="71">
    <mergeCell ref="C158:G158"/>
    <mergeCell ref="I146:J146"/>
    <mergeCell ref="A146:H146"/>
    <mergeCell ref="I149:J149"/>
    <mergeCell ref="A149:H149"/>
    <mergeCell ref="C150:H150"/>
    <mergeCell ref="I150:J150"/>
    <mergeCell ref="C151:H151"/>
    <mergeCell ref="I151:J151"/>
    <mergeCell ref="A154:B154"/>
    <mergeCell ref="C155:G155"/>
    <mergeCell ref="A157:B157"/>
    <mergeCell ref="A128:K128"/>
    <mergeCell ref="I133:J133"/>
    <mergeCell ref="I137:J137"/>
    <mergeCell ref="I141:J141"/>
    <mergeCell ref="I143:J143"/>
    <mergeCell ref="A143:H143"/>
    <mergeCell ref="A125:H125"/>
    <mergeCell ref="I60:J60"/>
    <mergeCell ref="I71:J71"/>
    <mergeCell ref="I73:J73"/>
    <mergeCell ref="A73:H73"/>
    <mergeCell ref="A76:K76"/>
    <mergeCell ref="I83:J83"/>
    <mergeCell ref="I93:J93"/>
    <mergeCell ref="I104:J104"/>
    <mergeCell ref="I112:J112"/>
    <mergeCell ref="I123:J123"/>
    <mergeCell ref="I125:J125"/>
    <mergeCell ref="A27:A29"/>
    <mergeCell ref="B27:B29"/>
    <mergeCell ref="C27:C29"/>
    <mergeCell ref="D27:D29"/>
    <mergeCell ref="E27:E29"/>
    <mergeCell ref="F23:H23"/>
    <mergeCell ref="I23:J23"/>
    <mergeCell ref="F24:H24"/>
    <mergeCell ref="I24:J24"/>
    <mergeCell ref="I52:J52"/>
    <mergeCell ref="F25:H25"/>
    <mergeCell ref="I25:J25"/>
    <mergeCell ref="F27:F29"/>
    <mergeCell ref="G27:G29"/>
    <mergeCell ref="H27:H29"/>
    <mergeCell ref="I27:I29"/>
    <mergeCell ref="J27:J29"/>
    <mergeCell ref="A32:K32"/>
    <mergeCell ref="A34:K34"/>
    <mergeCell ref="I44:J44"/>
    <mergeCell ref="A18:K18"/>
    <mergeCell ref="F20:H20"/>
    <mergeCell ref="I20:J20"/>
    <mergeCell ref="F22:H22"/>
    <mergeCell ref="I22:J22"/>
    <mergeCell ref="F21:H21"/>
    <mergeCell ref="I21:J21"/>
    <mergeCell ref="B7:E7"/>
    <mergeCell ref="G7:K7"/>
    <mergeCell ref="J2:K2"/>
    <mergeCell ref="A10:K10"/>
    <mergeCell ref="A11:K11"/>
    <mergeCell ref="A13:K13"/>
    <mergeCell ref="B3:E3"/>
    <mergeCell ref="G3:K3"/>
    <mergeCell ref="B4:E4"/>
    <mergeCell ref="G4:K4"/>
    <mergeCell ref="B6:E6"/>
    <mergeCell ref="G6:K6"/>
    <mergeCell ref="A15:K15"/>
    <mergeCell ref="A16:K16"/>
  </mergeCells>
  <pageMargins left="0.4" right="0.2" top="0.2" bottom="0.4" header="0.2" footer="0.2"/>
  <pageSetup paperSize="9" scale="63" fitToHeight="0" orientation="portrait" r:id="rId1"/>
  <headerFooter>
    <oddHeader>&amp;L&amp;8</oddHeader>
    <oddFooter>&amp;R&amp;P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Y12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03" x14ac:dyDescent="0.2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66562</v>
      </c>
      <c r="M1">
        <v>10</v>
      </c>
      <c r="N1">
        <v>11</v>
      </c>
      <c r="O1">
        <v>12</v>
      </c>
      <c r="P1">
        <v>0</v>
      </c>
      <c r="Q1">
        <v>1</v>
      </c>
    </row>
    <row r="12" spans="1:103" x14ac:dyDescent="0.2">
      <c r="F12" t="str">
        <f>Source!F12</f>
        <v>Новый объект</v>
      </c>
      <c r="G12" t="str">
        <f>Source!G12</f>
        <v>ГБОУ Школа №1440. Крылатские холмы д. 17. Фасад, кровля (в ценах на 01.04.2025 г)</v>
      </c>
      <c r="AB12" t="s">
        <v>3</v>
      </c>
      <c r="AC12" t="s">
        <v>3</v>
      </c>
      <c r="AD12" t="s">
        <v>3</v>
      </c>
      <c r="AE12" t="s">
        <v>3</v>
      </c>
      <c r="AH12" t="s">
        <v>3</v>
      </c>
      <c r="AI12" t="s">
        <v>3</v>
      </c>
      <c r="CY12">
        <f>Source!CY12</f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37"/>
  <sheetViews>
    <sheetView zoomScaleNormal="100" workbookViewId="0">
      <selection activeCell="E13" sqref="E13"/>
    </sheetView>
  </sheetViews>
  <sheetFormatPr defaultRowHeight="12.75" x14ac:dyDescent="0.2"/>
  <cols>
    <col min="1" max="1" width="6.7109375" customWidth="1"/>
    <col min="2" max="2" width="75.7109375" customWidth="1"/>
    <col min="3" max="5" width="15.7109375" customWidth="1"/>
    <col min="30" max="30" width="114.7109375" hidden="1" customWidth="1"/>
    <col min="31" max="32" width="0" hidden="1" customWidth="1"/>
  </cols>
  <sheetData>
    <row r="1" spans="1:30" x14ac:dyDescent="0.2">
      <c r="A1" s="8" t="str">
        <f>Source!B1</f>
        <v>Smeta.RU  (495) 974-1589</v>
      </c>
    </row>
    <row r="2" spans="1:30" ht="14.25" x14ac:dyDescent="0.2">
      <c r="C2" s="10"/>
      <c r="D2" s="10"/>
    </row>
    <row r="3" spans="1:30" ht="15" x14ac:dyDescent="0.25">
      <c r="C3" s="10"/>
      <c r="D3" s="25" t="s">
        <v>262</v>
      </c>
    </row>
    <row r="4" spans="1:30" ht="15" x14ac:dyDescent="0.25">
      <c r="C4" s="25"/>
      <c r="D4" s="25"/>
    </row>
    <row r="5" spans="1:30" ht="15" x14ac:dyDescent="0.25">
      <c r="C5" s="80" t="s">
        <v>365</v>
      </c>
      <c r="D5" s="80"/>
      <c r="E5" s="80"/>
    </row>
    <row r="6" spans="1:30" ht="15" x14ac:dyDescent="0.25">
      <c r="C6" s="25"/>
      <c r="D6" s="25"/>
    </row>
    <row r="7" spans="1:30" ht="15" x14ac:dyDescent="0.25">
      <c r="C7" s="80" t="s">
        <v>367</v>
      </c>
      <c r="D7" s="80"/>
      <c r="E7" s="80"/>
    </row>
    <row r="8" spans="1:30" ht="15" x14ac:dyDescent="0.25">
      <c r="C8" s="25"/>
      <c r="D8" s="25"/>
    </row>
    <row r="9" spans="1:30" ht="15" x14ac:dyDescent="0.25">
      <c r="C9" s="25" t="s">
        <v>301</v>
      </c>
      <c r="D9" s="10"/>
    </row>
    <row r="10" spans="1:30" ht="14.25" x14ac:dyDescent="0.2">
      <c r="A10" s="10"/>
      <c r="B10" s="10"/>
      <c r="C10" s="10"/>
      <c r="D10" s="10"/>
      <c r="E10" s="10"/>
    </row>
    <row r="11" spans="1:30" ht="15.75" x14ac:dyDescent="0.25">
      <c r="A11" s="67" t="str">
        <f>CONCATENATE("Дефектный акт ", IF(Source!AN15&lt;&gt;"", Source!AN15," "))</f>
        <v xml:space="preserve">Дефектный акт  </v>
      </c>
      <c r="B11" s="67"/>
      <c r="C11" s="67"/>
      <c r="D11" s="67"/>
      <c r="E11" s="10"/>
    </row>
    <row r="12" spans="1:30" ht="30" x14ac:dyDescent="0.25">
      <c r="A12" s="68" t="str">
        <f>CONCATENATE("На капитальный ремонт ", Source!G12)</f>
        <v>На капитальный ремонт ГБОУ Школа №1440. Крылатские холмы д. 17. Фасад, кровля (в ценах на 01.04.2025 г)</v>
      </c>
      <c r="B12" s="68"/>
      <c r="C12" s="68"/>
      <c r="D12" s="68"/>
      <c r="E12" s="10"/>
      <c r="AD12" s="32" t="str">
        <f>CONCATENATE("На капитальный ремонт ", Source!G12)</f>
        <v>На капитальный ремонт ГБОУ Школа №1440. Крылатские холмы д. 17. Фасад, кровля (в ценах на 01.04.2025 г)</v>
      </c>
    </row>
    <row r="13" spans="1:30" ht="14.25" x14ac:dyDescent="0.2">
      <c r="A13" s="10"/>
      <c r="B13" s="10"/>
      <c r="C13" s="10"/>
      <c r="D13" s="10"/>
      <c r="E13" s="10"/>
    </row>
    <row r="14" spans="1:30" ht="15" x14ac:dyDescent="0.2">
      <c r="A14" s="10"/>
      <c r="B14" s="33" t="s">
        <v>302</v>
      </c>
      <c r="C14" s="10"/>
      <c r="D14" s="10"/>
      <c r="E14" s="10"/>
    </row>
    <row r="15" spans="1:30" ht="15" x14ac:dyDescent="0.2">
      <c r="A15" s="10"/>
      <c r="B15" s="33" t="s">
        <v>303</v>
      </c>
      <c r="C15" s="10"/>
      <c r="D15" s="10"/>
      <c r="E15" s="10"/>
    </row>
    <row r="16" spans="1:30" ht="15" x14ac:dyDescent="0.2">
      <c r="A16" s="10"/>
      <c r="B16" s="33" t="s">
        <v>304</v>
      </c>
      <c r="C16" s="10"/>
      <c r="D16" s="10"/>
      <c r="E16" s="10"/>
    </row>
    <row r="17" spans="1:5" ht="28.5" x14ac:dyDescent="0.2">
      <c r="A17" s="18" t="s">
        <v>305</v>
      </c>
      <c r="B17" s="18" t="s">
        <v>276</v>
      </c>
      <c r="C17" s="18" t="s">
        <v>277</v>
      </c>
      <c r="D17" s="18" t="s">
        <v>306</v>
      </c>
      <c r="E17" s="16" t="s">
        <v>307</v>
      </c>
    </row>
    <row r="18" spans="1:5" ht="14.25" x14ac:dyDescent="0.2">
      <c r="A18" s="34">
        <v>1</v>
      </c>
      <c r="B18" s="34">
        <v>2</v>
      </c>
      <c r="C18" s="34">
        <v>3</v>
      </c>
      <c r="D18" s="34">
        <v>4</v>
      </c>
      <c r="E18" s="34">
        <v>5</v>
      </c>
    </row>
    <row r="19" spans="1:5" ht="16.5" x14ac:dyDescent="0.25">
      <c r="A19" s="66" t="str">
        <f>CONCATENATE("Локальная смета: ", Source!G20)</f>
        <v>Локальная смета: Новая локальная смета</v>
      </c>
      <c r="B19" s="66"/>
      <c r="C19" s="66"/>
      <c r="D19" s="66"/>
      <c r="E19" s="66"/>
    </row>
    <row r="20" spans="1:5" ht="16.5" x14ac:dyDescent="0.25">
      <c r="A20" s="66" t="str">
        <f>CONCATENATE("Раздел: ", Source!G24)</f>
        <v>Раздел: Фасад</v>
      </c>
      <c r="B20" s="66"/>
      <c r="C20" s="66"/>
      <c r="D20" s="66"/>
      <c r="E20" s="66"/>
    </row>
    <row r="21" spans="1:5" ht="42.75" x14ac:dyDescent="0.2">
      <c r="A21" s="39">
        <v>1</v>
      </c>
      <c r="B21" s="40" t="str">
        <f>Source!G28</f>
        <v>Усиление существующих железобетонных балок монолитными железобетонными обоймами набрызгом (восстановление утраченных участков)</v>
      </c>
      <c r="C21" s="41" t="str">
        <f>Source!H28</f>
        <v>м3</v>
      </c>
      <c r="D21" s="42">
        <f>Source!I28</f>
        <v>0.08</v>
      </c>
      <c r="E21" s="40"/>
    </row>
    <row r="22" spans="1:5" ht="42.75" x14ac:dyDescent="0.2">
      <c r="A22" s="39">
        <v>2</v>
      </c>
      <c r="B22" s="40" t="str">
        <f>Source!G29</f>
        <v>Ремонт штукатурки гладких фасадов по камню и бетону с лестниц цементно-известковым раствором при площади до 5 м2 толщиной слоя до 20 мм</v>
      </c>
      <c r="C22" s="41" t="str">
        <f>Source!H29</f>
        <v>100 м2</v>
      </c>
      <c r="D22" s="42">
        <f>Source!I29</f>
        <v>0.25</v>
      </c>
      <c r="E22" s="40"/>
    </row>
    <row r="23" spans="1:5" ht="28.5" x14ac:dyDescent="0.2">
      <c r="A23" s="39">
        <v>3</v>
      </c>
      <c r="B23" s="40" t="str">
        <f>Source!G30</f>
        <v>Окраска фасадов с лесов акриловой краской с подготовкой поверхности (с лестниц)</v>
      </c>
      <c r="C23" s="41" t="str">
        <f>Source!H30</f>
        <v>100 м2</v>
      </c>
      <c r="D23" s="42">
        <f>Source!I30</f>
        <v>0.25</v>
      </c>
      <c r="E23" s="40"/>
    </row>
    <row r="24" spans="1:5" ht="28.5" x14ac:dyDescent="0.2">
      <c r="A24" s="39">
        <v>4</v>
      </c>
      <c r="B24" s="40" t="str">
        <f>Source!G31</f>
        <v>Окраска фасадов акриловой краской с подготовкой поверхности, расчисткой старой краски до 35% с лестниц</v>
      </c>
      <c r="C24" s="41" t="str">
        <f>Source!H31</f>
        <v>100 м2</v>
      </c>
      <c r="D24" s="42">
        <f>Source!I31</f>
        <v>1.05</v>
      </c>
      <c r="E24" s="40"/>
    </row>
    <row r="25" spans="1:5" ht="16.5" x14ac:dyDescent="0.25">
      <c r="A25" s="66" t="str">
        <f>CONCATENATE("Раздел: ", Source!G63)</f>
        <v>Раздел: Кровля (козырек)</v>
      </c>
      <c r="B25" s="66"/>
      <c r="C25" s="66"/>
      <c r="D25" s="66"/>
      <c r="E25" s="66"/>
    </row>
    <row r="26" spans="1:5" ht="14.25" x14ac:dyDescent="0.2">
      <c r="A26" s="39">
        <v>5</v>
      </c>
      <c r="B26" s="40" t="str">
        <f>Source!G67</f>
        <v>Разборка покрытий кровли из рулонных материалов в 1-3 слоя</v>
      </c>
      <c r="C26" s="41" t="str">
        <f>Source!H67</f>
        <v>100 м2</v>
      </c>
      <c r="D26" s="42">
        <f>Source!I67</f>
        <v>0.5</v>
      </c>
      <c r="E26" s="40"/>
    </row>
    <row r="27" spans="1:5" ht="14.25" x14ac:dyDescent="0.2">
      <c r="A27" s="39">
        <v>6</v>
      </c>
      <c r="B27" s="40" t="str">
        <f>Source!G68</f>
        <v>Разборка цементных покрытий, толщина 30 мм</v>
      </c>
      <c r="C27" s="41" t="str">
        <f>Source!H68</f>
        <v>100 м2</v>
      </c>
      <c r="D27" s="42">
        <f>Source!I68</f>
        <v>0.15</v>
      </c>
      <c r="E27" s="40"/>
    </row>
    <row r="28" spans="1:5" ht="14.25" x14ac:dyDescent="0.2">
      <c r="A28" s="39">
        <v>7</v>
      </c>
      <c r="B28" s="40" t="str">
        <f>Source!G69</f>
        <v>Устройство выравнивающих стяжек цементно-песчаных толщиной 15 мм</v>
      </c>
      <c r="C28" s="41" t="str">
        <f>Source!H69</f>
        <v>100 м2</v>
      </c>
      <c r="D28" s="42">
        <f>Source!I69</f>
        <v>0.15</v>
      </c>
      <c r="E28" s="40"/>
    </row>
    <row r="29" spans="1:5" ht="28.5" x14ac:dyDescent="0.2">
      <c r="A29" s="39">
        <v>8</v>
      </c>
      <c r="B29" s="40" t="str">
        <f>Source!G70</f>
        <v>Добавлять или исключать на каждый 1 мм изменения толщины для поз. 7-3303-4-1 (до 30 мм)</v>
      </c>
      <c r="C29" s="41" t="str">
        <f>Source!H70</f>
        <v>100 м2</v>
      </c>
      <c r="D29" s="42">
        <f>Source!I70</f>
        <v>0.15</v>
      </c>
      <c r="E29" s="40"/>
    </row>
    <row r="30" spans="1:5" ht="28.5" x14ac:dyDescent="0.2">
      <c r="A30" s="39">
        <v>9</v>
      </c>
      <c r="B30" s="40" t="str">
        <f>Source!G71</f>
        <v>Устройство рулонного покрытия в два слоя из наплавляемого материала типа "Филизол", "Изопласт"</v>
      </c>
      <c r="C30" s="41" t="str">
        <f>Source!H71</f>
        <v>100 м2</v>
      </c>
      <c r="D30" s="42">
        <f>Source!I71</f>
        <v>0.5</v>
      </c>
      <c r="E30" s="40"/>
    </row>
    <row r="31" spans="1:5" ht="16.5" x14ac:dyDescent="0.25">
      <c r="A31" s="66" t="str">
        <f>CONCATENATE("Раздел: ", Source!G103)</f>
        <v>Раздел: Мусор</v>
      </c>
      <c r="B31" s="66"/>
      <c r="C31" s="66"/>
      <c r="D31" s="66"/>
      <c r="E31" s="66"/>
    </row>
    <row r="32" spans="1:5" ht="28.5" x14ac:dyDescent="0.2">
      <c r="A32" s="39">
        <v>10</v>
      </c>
      <c r="B32" s="40" t="str">
        <f>Source!G107</f>
        <v>Механизированная погрузка строительного мусора в автомобили-самосвалы</v>
      </c>
      <c r="C32" s="41" t="str">
        <f>Source!H107</f>
        <v>т</v>
      </c>
      <c r="D32" s="42">
        <f>Source!I107</f>
        <v>2.71</v>
      </c>
      <c r="E32" s="40"/>
    </row>
    <row r="33" spans="1:5" ht="28.5" x14ac:dyDescent="0.2">
      <c r="A33" s="39">
        <v>11</v>
      </c>
      <c r="B33" s="40" t="str">
        <f>Source!G108</f>
        <v>Перевозка строительного мусора автосамосвалами грузоподъемностью до 10 т на расстояние 1 км - при механизированной погрузке</v>
      </c>
      <c r="C33" s="41" t="str">
        <f>Source!H108</f>
        <v>т</v>
      </c>
      <c r="D33" s="42">
        <f>Source!I108</f>
        <v>2.71</v>
      </c>
      <c r="E33" s="40"/>
    </row>
    <row r="34" spans="1:5" ht="28.5" x14ac:dyDescent="0.2">
      <c r="A34" s="35">
        <v>12</v>
      </c>
      <c r="B34" s="36" t="str">
        <f>Source!G109</f>
        <v>Перевозка строительного мусора автосамосвалами грузоподъемностью до 10 т - добавляется на каждый последующий 1 км до 100 км</v>
      </c>
      <c r="C34" s="37" t="str">
        <f>Source!H109</f>
        <v>т</v>
      </c>
      <c r="D34" s="38">
        <f>Source!I109</f>
        <v>2.71</v>
      </c>
      <c r="E34" s="36"/>
    </row>
    <row r="37" spans="1:5" ht="15" x14ac:dyDescent="0.25">
      <c r="A37" s="29" t="s">
        <v>308</v>
      </c>
      <c r="B37" s="29"/>
      <c r="C37" s="29" t="s">
        <v>309</v>
      </c>
      <c r="D37" s="29"/>
      <c r="E37" s="29"/>
    </row>
  </sheetData>
  <mergeCells count="8">
    <mergeCell ref="A25:E25"/>
    <mergeCell ref="A31:E31"/>
    <mergeCell ref="A11:D11"/>
    <mergeCell ref="A12:D12"/>
    <mergeCell ref="A19:E19"/>
    <mergeCell ref="A20:E20"/>
    <mergeCell ref="C5:E5"/>
    <mergeCell ref="C7:E7"/>
  </mergeCells>
  <pageMargins left="0.4" right="0.2" top="0.2" bottom="0.4" header="0.2" footer="0.2"/>
  <pageSetup paperSize="9" scale="77" fitToHeight="0" orientation="portrait" r:id="rId1"/>
  <headerFooter>
    <oddHeader>&amp;L&amp;8</oddHead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5"/>
  <sheetViews>
    <sheetView workbookViewId="0"/>
  </sheetViews>
  <sheetFormatPr defaultRowHeight="12.75" x14ac:dyDescent="0.2"/>
  <sheetData>
    <row r="1" spans="1:28" x14ac:dyDescent="0.2">
      <c r="A1" t="s">
        <v>338</v>
      </c>
      <c r="B1" t="s">
        <v>340</v>
      </c>
      <c r="C1" t="s">
        <v>341</v>
      </c>
      <c r="D1" t="s">
        <v>342</v>
      </c>
      <c r="E1" t="s">
        <v>343</v>
      </c>
      <c r="F1" t="s">
        <v>344</v>
      </c>
      <c r="G1" t="s">
        <v>345</v>
      </c>
      <c r="H1" t="s">
        <v>346</v>
      </c>
      <c r="I1" t="s">
        <v>347</v>
      </c>
      <c r="J1" t="s">
        <v>348</v>
      </c>
      <c r="K1" t="s">
        <v>349</v>
      </c>
      <c r="L1" t="s">
        <v>350</v>
      </c>
      <c r="M1" t="s">
        <v>351</v>
      </c>
      <c r="N1" t="s">
        <v>352</v>
      </c>
      <c r="O1" t="s">
        <v>339</v>
      </c>
    </row>
    <row r="2" spans="1:28" x14ac:dyDescent="0.2">
      <c r="A2">
        <v>1</v>
      </c>
      <c r="B2">
        <v>1</v>
      </c>
      <c r="C2">
        <v>1</v>
      </c>
      <c r="D2">
        <v>1</v>
      </c>
      <c r="E2">
        <v>1</v>
      </c>
      <c r="F2">
        <v>1</v>
      </c>
      <c r="G2">
        <v>1</v>
      </c>
      <c r="H2">
        <v>0</v>
      </c>
      <c r="I2">
        <v>1</v>
      </c>
      <c r="J2">
        <v>0</v>
      </c>
      <c r="K2">
        <v>1</v>
      </c>
      <c r="L2">
        <v>75703152</v>
      </c>
      <c r="M2">
        <v>0</v>
      </c>
      <c r="N2">
        <v>0</v>
      </c>
      <c r="O2">
        <v>0</v>
      </c>
    </row>
    <row r="4" spans="1:28" x14ac:dyDescent="0.2">
      <c r="A4" t="s">
        <v>310</v>
      </c>
      <c r="B4" t="s">
        <v>311</v>
      </c>
      <c r="C4" t="s">
        <v>312</v>
      </c>
      <c r="D4" t="s">
        <v>313</v>
      </c>
      <c r="E4" t="s">
        <v>314</v>
      </c>
      <c r="F4" t="s">
        <v>315</v>
      </c>
      <c r="G4" t="s">
        <v>316</v>
      </c>
      <c r="H4" t="s">
        <v>317</v>
      </c>
      <c r="I4" t="s">
        <v>318</v>
      </c>
      <c r="J4" t="s">
        <v>319</v>
      </c>
      <c r="K4" t="s">
        <v>320</v>
      </c>
      <c r="L4" t="s">
        <v>321</v>
      </c>
      <c r="M4" t="s">
        <v>322</v>
      </c>
      <c r="N4" t="s">
        <v>323</v>
      </c>
      <c r="O4" t="s">
        <v>324</v>
      </c>
      <c r="P4" t="s">
        <v>325</v>
      </c>
      <c r="Q4" t="s">
        <v>326</v>
      </c>
      <c r="R4" t="s">
        <v>327</v>
      </c>
      <c r="S4" t="s">
        <v>328</v>
      </c>
      <c r="T4" t="s">
        <v>329</v>
      </c>
      <c r="U4" t="s">
        <v>333</v>
      </c>
      <c r="V4" t="s">
        <v>334</v>
      </c>
      <c r="W4" t="s">
        <v>335</v>
      </c>
      <c r="X4" t="s">
        <v>336</v>
      </c>
      <c r="Y4" t="s">
        <v>337</v>
      </c>
      <c r="Z4" t="s">
        <v>330</v>
      </c>
      <c r="AA4" t="s">
        <v>331</v>
      </c>
      <c r="AB4" t="s">
        <v>332</v>
      </c>
    </row>
    <row r="6" spans="1:28" x14ac:dyDescent="0.2">
      <c r="A6">
        <f>Source!A20</f>
        <v>3</v>
      </c>
      <c r="B6">
        <v>20</v>
      </c>
      <c r="G6" t="str">
        <f>Source!G20</f>
        <v>Новая локальная смета</v>
      </c>
    </row>
    <row r="7" spans="1:28" x14ac:dyDescent="0.2">
      <c r="A7">
        <f>Source!A24</f>
        <v>4</v>
      </c>
      <c r="B7">
        <v>24</v>
      </c>
      <c r="G7" t="str">
        <f>Source!G24</f>
        <v>Фасад</v>
      </c>
    </row>
    <row r="8" spans="1:28" x14ac:dyDescent="0.2">
      <c r="A8">
        <v>20</v>
      </c>
      <c r="B8">
        <v>11</v>
      </c>
      <c r="C8">
        <v>3</v>
      </c>
      <c r="D8">
        <v>0</v>
      </c>
      <c r="E8">
        <f>SmtRes!AV11</f>
        <v>0</v>
      </c>
      <c r="F8" t="str">
        <f>SmtRes!I11</f>
        <v>21.9-11-3</v>
      </c>
      <c r="G8" t="str">
        <f>SmtRes!K11</f>
        <v>Щиты деревянные для фундаментов, колонн, балок, перекрытий, стен, перегородок и других конструкций из досок, толщина 40мм</v>
      </c>
      <c r="H8" t="str">
        <f>SmtRes!O11</f>
        <v>м2</v>
      </c>
      <c r="I8">
        <f>SmtRes!Y11*Source!I28</f>
        <v>0.42240000000000005</v>
      </c>
      <c r="J8">
        <f>SmtRes!AO11</f>
        <v>1</v>
      </c>
      <c r="K8">
        <f>SmtRes!AE11</f>
        <v>629.53</v>
      </c>
      <c r="L8">
        <f>SmtRes!DB11</f>
        <v>3323.92</v>
      </c>
      <c r="M8">
        <f>ROUND(ROUND(L8*Source!I28, 6)*1, 2)</f>
        <v>265.91000000000003</v>
      </c>
      <c r="N8">
        <f>SmtRes!AA11</f>
        <v>629.53</v>
      </c>
      <c r="O8">
        <f>ROUND(ROUND(L8*Source!I28, 6)*SmtRes!DA11, 2)</f>
        <v>265.91000000000003</v>
      </c>
      <c r="P8">
        <f>SmtRes!AG11</f>
        <v>0</v>
      </c>
      <c r="Q8">
        <f>SmtRes!DC11</f>
        <v>0</v>
      </c>
      <c r="R8">
        <f>ROUND(ROUND(Q8*Source!I28, 6)*1, 2)</f>
        <v>0</v>
      </c>
      <c r="S8">
        <f>SmtRes!AC11</f>
        <v>0</v>
      </c>
      <c r="T8">
        <f>ROUND(ROUND(Q8*Source!I28, 6)*SmtRes!AK11, 2)</f>
        <v>0</v>
      </c>
      <c r="U8">
        <v>3</v>
      </c>
      <c r="Z8">
        <f>SmtRes!X11</f>
        <v>55596891</v>
      </c>
      <c r="AA8">
        <v>-633675722</v>
      </c>
      <c r="AB8">
        <v>-633675722</v>
      </c>
    </row>
    <row r="9" spans="1:28" x14ac:dyDescent="0.2">
      <c r="A9">
        <v>20</v>
      </c>
      <c r="B9">
        <v>10</v>
      </c>
      <c r="C9">
        <v>3</v>
      </c>
      <c r="D9">
        <v>0</v>
      </c>
      <c r="E9">
        <f>SmtRes!AV10</f>
        <v>0</v>
      </c>
      <c r="F9" t="str">
        <f>SmtRes!I10</f>
        <v>21.6-1-40</v>
      </c>
      <c r="G9" t="str">
        <f>SmtRes!K10</f>
        <v>Отдельные конструктивные элементы с преобладанием толстолистовой стали, средняя масса сборочной единицы от 0,11 до 0,5 т</v>
      </c>
      <c r="H9" t="str">
        <f>SmtRes!O10</f>
        <v>т</v>
      </c>
      <c r="I9">
        <f>SmtRes!Y10*Source!I28</f>
        <v>1.2E-2</v>
      </c>
      <c r="J9">
        <f>SmtRes!AO10</f>
        <v>1</v>
      </c>
      <c r="K9">
        <f>SmtRes!AE10</f>
        <v>151355.1</v>
      </c>
      <c r="L9">
        <f>SmtRes!DB10</f>
        <v>22703.27</v>
      </c>
      <c r="M9">
        <f>ROUND(ROUND(L9*Source!I28, 6)*1, 2)</f>
        <v>1816.26</v>
      </c>
      <c r="N9">
        <f>SmtRes!AA10</f>
        <v>151355.1</v>
      </c>
      <c r="O9">
        <f>ROUND(ROUND(L9*Source!I28, 6)*SmtRes!DA10, 2)</f>
        <v>1816.26</v>
      </c>
      <c r="P9">
        <f>SmtRes!AG10</f>
        <v>0</v>
      </c>
      <c r="Q9">
        <f>SmtRes!DC10</f>
        <v>0</v>
      </c>
      <c r="R9">
        <f>ROUND(ROUND(Q9*Source!I28, 6)*1, 2)</f>
        <v>0</v>
      </c>
      <c r="S9">
        <f>SmtRes!AC10</f>
        <v>0</v>
      </c>
      <c r="T9">
        <f>ROUND(ROUND(Q9*Source!I28, 6)*SmtRes!AK10, 2)</f>
        <v>0</v>
      </c>
      <c r="U9">
        <v>3</v>
      </c>
      <c r="Z9">
        <f>SmtRes!X10</f>
        <v>-857624629</v>
      </c>
      <c r="AA9">
        <v>451768835</v>
      </c>
      <c r="AB9">
        <v>451768835</v>
      </c>
    </row>
    <row r="10" spans="1:28" x14ac:dyDescent="0.2">
      <c r="A10">
        <v>20</v>
      </c>
      <c r="B10">
        <v>9</v>
      </c>
      <c r="C10">
        <v>3</v>
      </c>
      <c r="D10">
        <v>0</v>
      </c>
      <c r="E10">
        <f>SmtRes!AV9</f>
        <v>0</v>
      </c>
      <c r="F10" t="str">
        <f>SmtRes!I9</f>
        <v>21.3-4-6</v>
      </c>
      <c r="G10" t="str">
        <f>SmtRes!K9</f>
        <v>Арматурная сталь для изготовления арматурных изделий на строительной площадке, класс А-Ш, марка 35ГС, 25Г2С, диаметр 14 мм</v>
      </c>
      <c r="H10" t="str">
        <f>SmtRes!O9</f>
        <v>т</v>
      </c>
      <c r="I10">
        <f>SmtRes!Y9*Source!I28</f>
        <v>7.0959999999999999E-3</v>
      </c>
      <c r="J10">
        <f>SmtRes!AO9</f>
        <v>1</v>
      </c>
      <c r="K10">
        <f>SmtRes!AE9</f>
        <v>52981.64</v>
      </c>
      <c r="L10">
        <f>SmtRes!DB9</f>
        <v>4699.47</v>
      </c>
      <c r="M10">
        <f>ROUND(ROUND(L10*Source!I28, 6)*1, 2)</f>
        <v>375.96</v>
      </c>
      <c r="N10">
        <f>SmtRes!AA9</f>
        <v>52981.64</v>
      </c>
      <c r="O10">
        <f>ROUND(ROUND(L10*Source!I28, 6)*SmtRes!DA9, 2)</f>
        <v>375.96</v>
      </c>
      <c r="P10">
        <f>SmtRes!AG9</f>
        <v>0</v>
      </c>
      <c r="Q10">
        <f>SmtRes!DC9</f>
        <v>0</v>
      </c>
      <c r="R10">
        <f>ROUND(ROUND(Q10*Source!I28, 6)*1, 2)</f>
        <v>0</v>
      </c>
      <c r="S10">
        <f>SmtRes!AC9</f>
        <v>0</v>
      </c>
      <c r="T10">
        <f>ROUND(ROUND(Q10*Source!I28, 6)*SmtRes!AK9, 2)</f>
        <v>0</v>
      </c>
      <c r="U10">
        <v>3</v>
      </c>
      <c r="Z10">
        <f>SmtRes!X9</f>
        <v>637821740</v>
      </c>
      <c r="AA10">
        <v>-924284454</v>
      </c>
      <c r="AB10">
        <v>-924284454</v>
      </c>
    </row>
    <row r="11" spans="1:28" x14ac:dyDescent="0.2">
      <c r="A11">
        <v>20</v>
      </c>
      <c r="B11">
        <v>8</v>
      </c>
      <c r="C11">
        <v>3</v>
      </c>
      <c r="D11">
        <v>0</v>
      </c>
      <c r="E11">
        <f>SmtRes!AV8</f>
        <v>0</v>
      </c>
      <c r="F11" t="str">
        <f>SmtRes!I8</f>
        <v>21.3-2-17</v>
      </c>
      <c r="G11" t="str">
        <f>SmtRes!K8</f>
        <v>Растворы цементные, марка 200</v>
      </c>
      <c r="H11" t="str">
        <f>SmtRes!O8</f>
        <v>м3</v>
      </c>
      <c r="I11">
        <f>SmtRes!Y8*Source!I28</f>
        <v>1.6000000000000001E-3</v>
      </c>
      <c r="J11">
        <f>SmtRes!AO8</f>
        <v>1</v>
      </c>
      <c r="K11">
        <f>SmtRes!AE8</f>
        <v>5951.59</v>
      </c>
      <c r="L11">
        <f>SmtRes!DB8</f>
        <v>119.03</v>
      </c>
      <c r="M11">
        <f>ROUND(ROUND(L11*Source!I28, 6)*1, 2)</f>
        <v>9.52</v>
      </c>
      <c r="N11">
        <f>SmtRes!AA8</f>
        <v>5951.59</v>
      </c>
      <c r="O11">
        <f>ROUND(ROUND(L11*Source!I28, 6)*SmtRes!DA8, 2)</f>
        <v>9.52</v>
      </c>
      <c r="P11">
        <f>SmtRes!AG8</f>
        <v>0</v>
      </c>
      <c r="Q11">
        <f>SmtRes!DC8</f>
        <v>0</v>
      </c>
      <c r="R11">
        <f>ROUND(ROUND(Q11*Source!I28, 6)*1, 2)</f>
        <v>0</v>
      </c>
      <c r="S11">
        <f>SmtRes!AC8</f>
        <v>0</v>
      </c>
      <c r="T11">
        <f>ROUND(ROUND(Q11*Source!I28, 6)*SmtRes!AK8, 2)</f>
        <v>0</v>
      </c>
      <c r="U11">
        <v>3</v>
      </c>
      <c r="Z11">
        <f>SmtRes!X8</f>
        <v>-510322495</v>
      </c>
      <c r="AA11">
        <v>-716593270</v>
      </c>
      <c r="AB11">
        <v>-716593270</v>
      </c>
    </row>
    <row r="12" spans="1:28" x14ac:dyDescent="0.2">
      <c r="A12">
        <v>20</v>
      </c>
      <c r="B12">
        <v>7</v>
      </c>
      <c r="C12">
        <v>3</v>
      </c>
      <c r="D12">
        <v>0</v>
      </c>
      <c r="E12">
        <f>SmtRes!AV7</f>
        <v>0</v>
      </c>
      <c r="F12" t="str">
        <f>SmtRes!I7</f>
        <v>21.12-6-128</v>
      </c>
      <c r="G12" t="str">
        <f>SmtRes!K7</f>
        <v>Трубы стальные электросварные прямошовные, ГОСТ 10705-80, ГОСТ 10704-91, наружный диаметр 57 мм, толщина стенки 4 мм</v>
      </c>
      <c r="H12" t="str">
        <f>SmtRes!O7</f>
        <v>м</v>
      </c>
      <c r="I12">
        <f>SmtRes!Y7*Source!I28</f>
        <v>0.73920000000000008</v>
      </c>
      <c r="J12">
        <f>SmtRes!AO7</f>
        <v>1</v>
      </c>
      <c r="K12">
        <f>SmtRes!AE7</f>
        <v>255.44</v>
      </c>
      <c r="L12">
        <f>SmtRes!DB7</f>
        <v>2360.27</v>
      </c>
      <c r="M12">
        <f>ROUND(ROUND(L12*Source!I28, 6)*1, 2)</f>
        <v>188.82</v>
      </c>
      <c r="N12">
        <f>SmtRes!AA7</f>
        <v>255.44</v>
      </c>
      <c r="O12">
        <f>ROUND(ROUND(L12*Source!I28, 6)*SmtRes!DA7, 2)</f>
        <v>188.82</v>
      </c>
      <c r="P12">
        <f>SmtRes!AG7</f>
        <v>0</v>
      </c>
      <c r="Q12">
        <f>SmtRes!DC7</f>
        <v>0</v>
      </c>
      <c r="R12">
        <f>ROUND(ROUND(Q12*Source!I28, 6)*1, 2)</f>
        <v>0</v>
      </c>
      <c r="S12">
        <f>SmtRes!AC7</f>
        <v>0</v>
      </c>
      <c r="T12">
        <f>ROUND(ROUND(Q12*Source!I28, 6)*SmtRes!AK7, 2)</f>
        <v>0</v>
      </c>
      <c r="U12">
        <v>3</v>
      </c>
      <c r="Z12">
        <f>SmtRes!X7</f>
        <v>-1885624722</v>
      </c>
      <c r="AA12">
        <v>-598140060</v>
      </c>
      <c r="AB12">
        <v>-598140060</v>
      </c>
    </row>
    <row r="13" spans="1:28" x14ac:dyDescent="0.2">
      <c r="A13">
        <v>20</v>
      </c>
      <c r="B13">
        <v>6</v>
      </c>
      <c r="C13">
        <v>3</v>
      </c>
      <c r="D13">
        <v>0</v>
      </c>
      <c r="E13">
        <f>SmtRes!AV6</f>
        <v>0</v>
      </c>
      <c r="F13" t="str">
        <f>SmtRes!I6</f>
        <v>21.1-2-14</v>
      </c>
      <c r="G13" t="str">
        <f>SmtRes!K6</f>
        <v>Цемент общестроительный, портландцемент общего назначения, марка 500</v>
      </c>
      <c r="H13" t="str">
        <f>SmtRes!O6</f>
        <v>т</v>
      </c>
      <c r="I13">
        <f>SmtRes!Y6*Source!I28</f>
        <v>4.1600000000000005E-2</v>
      </c>
      <c r="J13">
        <f>SmtRes!AO6</f>
        <v>1</v>
      </c>
      <c r="K13">
        <f>SmtRes!AE6</f>
        <v>8877.58</v>
      </c>
      <c r="L13">
        <f>SmtRes!DB6</f>
        <v>4616.34</v>
      </c>
      <c r="M13">
        <f>ROUND(ROUND(L13*Source!I28, 6)*1, 2)</f>
        <v>369.31</v>
      </c>
      <c r="N13">
        <f>SmtRes!AA6</f>
        <v>8877.58</v>
      </c>
      <c r="O13">
        <f>ROUND(ROUND(L13*Source!I28, 6)*SmtRes!DA6, 2)</f>
        <v>369.31</v>
      </c>
      <c r="P13">
        <f>SmtRes!AG6</f>
        <v>0</v>
      </c>
      <c r="Q13">
        <f>SmtRes!DC6</f>
        <v>0</v>
      </c>
      <c r="R13">
        <f>ROUND(ROUND(Q13*Source!I28, 6)*1, 2)</f>
        <v>0</v>
      </c>
      <c r="S13">
        <f>SmtRes!AC6</f>
        <v>0</v>
      </c>
      <c r="T13">
        <f>ROUND(ROUND(Q13*Source!I28, 6)*SmtRes!AK6, 2)</f>
        <v>0</v>
      </c>
      <c r="U13">
        <v>3</v>
      </c>
      <c r="Z13">
        <f>SmtRes!X6</f>
        <v>1291445380</v>
      </c>
      <c r="AA13">
        <v>-1699217342</v>
      </c>
      <c r="AB13">
        <v>-1699217342</v>
      </c>
    </row>
    <row r="14" spans="1:28" x14ac:dyDescent="0.2">
      <c r="A14">
        <v>20</v>
      </c>
      <c r="B14">
        <v>5</v>
      </c>
      <c r="C14">
        <v>3</v>
      </c>
      <c r="D14">
        <v>0</v>
      </c>
      <c r="E14">
        <f>SmtRes!AV5</f>
        <v>0</v>
      </c>
      <c r="F14" t="str">
        <f>SmtRes!I5</f>
        <v>21.1-12-11</v>
      </c>
      <c r="G14" t="str">
        <f>SmtRes!K5</f>
        <v>Песок для строительных работ, рядовой</v>
      </c>
      <c r="H14" t="str">
        <f>SmtRes!O5</f>
        <v>м3</v>
      </c>
      <c r="I14">
        <f>SmtRes!Y5*Source!I28</f>
        <v>7.6799999999999993E-2</v>
      </c>
      <c r="J14">
        <f>SmtRes!AO5</f>
        <v>1</v>
      </c>
      <c r="K14">
        <f>SmtRes!AE5</f>
        <v>903.53</v>
      </c>
      <c r="L14">
        <f>SmtRes!DB5</f>
        <v>867.39</v>
      </c>
      <c r="M14">
        <f>ROUND(ROUND(L14*Source!I28, 6)*1, 2)</f>
        <v>69.39</v>
      </c>
      <c r="N14">
        <f>SmtRes!AA5</f>
        <v>903.53</v>
      </c>
      <c r="O14">
        <f>ROUND(ROUND(L14*Source!I28, 6)*SmtRes!DA5, 2)</f>
        <v>69.39</v>
      </c>
      <c r="P14">
        <f>SmtRes!AG5</f>
        <v>0</v>
      </c>
      <c r="Q14">
        <f>SmtRes!DC5</f>
        <v>0</v>
      </c>
      <c r="R14">
        <f>ROUND(ROUND(Q14*Source!I28, 6)*1, 2)</f>
        <v>0</v>
      </c>
      <c r="S14">
        <f>SmtRes!AC5</f>
        <v>0</v>
      </c>
      <c r="T14">
        <f>ROUND(ROUND(Q14*Source!I28, 6)*SmtRes!AK5, 2)</f>
        <v>0</v>
      </c>
      <c r="U14">
        <v>3</v>
      </c>
      <c r="Z14">
        <f>SmtRes!X5</f>
        <v>1462540051</v>
      </c>
      <c r="AA14">
        <v>-1434924289</v>
      </c>
      <c r="AB14">
        <v>-1434924289</v>
      </c>
    </row>
    <row r="15" spans="1:28" x14ac:dyDescent="0.2">
      <c r="A15">
        <v>20</v>
      </c>
      <c r="B15">
        <v>4</v>
      </c>
      <c r="C15">
        <v>2</v>
      </c>
      <c r="D15">
        <v>0</v>
      </c>
      <c r="E15">
        <f>SmtRes!AV4</f>
        <v>0</v>
      </c>
      <c r="F15" t="str">
        <f>SmtRes!I4</f>
        <v>22.1-6-55</v>
      </c>
      <c r="G15" t="str">
        <f>SmtRes!K4</f>
        <v>Цемент-пушки</v>
      </c>
      <c r="H15" t="str">
        <f>SmtRes!O4</f>
        <v>маш.-ч</v>
      </c>
      <c r="I15">
        <f>SmtRes!Y4*Source!I28</f>
        <v>0.57999999999999996</v>
      </c>
      <c r="J15">
        <f>SmtRes!AO4</f>
        <v>1</v>
      </c>
      <c r="K15">
        <f>SmtRes!AF4</f>
        <v>83.16</v>
      </c>
      <c r="L15">
        <f>SmtRes!DB4</f>
        <v>602.91</v>
      </c>
      <c r="M15">
        <f>ROUND(ROUND(L15*Source!I28, 6)*1, 2)</f>
        <v>48.23</v>
      </c>
      <c r="N15">
        <f>SmtRes!AB4</f>
        <v>83.16</v>
      </c>
      <c r="O15">
        <f>ROUND(ROUND(L15*Source!I28, 6)*SmtRes!DA4, 2)</f>
        <v>48.23</v>
      </c>
      <c r="P15">
        <f>SmtRes!AG4</f>
        <v>40.22</v>
      </c>
      <c r="Q15">
        <f>SmtRes!DC4</f>
        <v>291.60000000000002</v>
      </c>
      <c r="R15">
        <f>ROUND(ROUND(Q15*Source!I28, 6)*1, 2)</f>
        <v>23.33</v>
      </c>
      <c r="S15">
        <f>SmtRes!AC4</f>
        <v>40.22</v>
      </c>
      <c r="T15">
        <f>ROUND(ROUND(Q15*Source!I28, 6)*SmtRes!AK4, 2)</f>
        <v>23.33</v>
      </c>
      <c r="U15">
        <v>2</v>
      </c>
      <c r="Z15">
        <f>SmtRes!X4</f>
        <v>-1792138906</v>
      </c>
      <c r="AA15">
        <v>-2098475858</v>
      </c>
      <c r="AB15">
        <v>-2098475858</v>
      </c>
    </row>
    <row r="16" spans="1:28" x14ac:dyDescent="0.2">
      <c r="A16">
        <v>20</v>
      </c>
      <c r="B16">
        <v>3</v>
      </c>
      <c r="C16">
        <v>2</v>
      </c>
      <c r="D16">
        <v>0</v>
      </c>
      <c r="E16">
        <f>SmtRes!AV3</f>
        <v>0</v>
      </c>
      <c r="F16" t="str">
        <f>SmtRes!I3</f>
        <v>22.1-4-31</v>
      </c>
      <c r="G16" t="str">
        <f>SmtRes!K3</f>
        <v>Лебедки электрические, грузоподъемность до 1,5 т</v>
      </c>
      <c r="H16" t="str">
        <f>SmtRes!O3</f>
        <v>маш.-ч</v>
      </c>
      <c r="I16">
        <f>SmtRes!Y3*Source!I28</f>
        <v>0.28639999999999999</v>
      </c>
      <c r="J16">
        <f>SmtRes!AO3</f>
        <v>1</v>
      </c>
      <c r="K16">
        <f>SmtRes!AF3</f>
        <v>37.39</v>
      </c>
      <c r="L16">
        <f>SmtRes!DB3</f>
        <v>133.86000000000001</v>
      </c>
      <c r="M16">
        <f>ROUND(ROUND(L16*Source!I28, 6)*1, 2)</f>
        <v>10.71</v>
      </c>
      <c r="N16">
        <f>SmtRes!AB3</f>
        <v>37.39</v>
      </c>
      <c r="O16">
        <f>ROUND(ROUND(L16*Source!I28, 6)*SmtRes!DA3, 2)</f>
        <v>10.71</v>
      </c>
      <c r="P16">
        <f>SmtRes!AG3</f>
        <v>2.64</v>
      </c>
      <c r="Q16">
        <f>SmtRes!DC3</f>
        <v>9.4499999999999993</v>
      </c>
      <c r="R16">
        <f>ROUND(ROUND(Q16*Source!I28, 6)*1, 2)</f>
        <v>0.76</v>
      </c>
      <c r="S16">
        <f>SmtRes!AC3</f>
        <v>2.64</v>
      </c>
      <c r="T16">
        <f>ROUND(ROUND(Q16*Source!I28, 6)*SmtRes!AK3, 2)</f>
        <v>0.76</v>
      </c>
      <c r="U16">
        <v>2</v>
      </c>
      <c r="Z16">
        <f>SmtRes!X3</f>
        <v>325649303</v>
      </c>
      <c r="AA16">
        <v>-1134700862</v>
      </c>
      <c r="AB16">
        <v>-1134700862</v>
      </c>
    </row>
    <row r="17" spans="1:28" x14ac:dyDescent="0.2">
      <c r="A17">
        <v>20</v>
      </c>
      <c r="B17">
        <v>2</v>
      </c>
      <c r="C17">
        <v>2</v>
      </c>
      <c r="D17">
        <v>0</v>
      </c>
      <c r="E17">
        <f>SmtRes!AV2</f>
        <v>0</v>
      </c>
      <c r="F17" t="str">
        <f>SmtRes!I2</f>
        <v>22.1-10-2</v>
      </c>
      <c r="G17" t="str">
        <f>SmtRes!K2</f>
        <v>Компрессоры автомобильные, производительность 5-10 м3/мин</v>
      </c>
      <c r="H17" t="str">
        <f>SmtRes!O2</f>
        <v>маш.-ч</v>
      </c>
      <c r="I17">
        <f>SmtRes!Y2*Source!I28</f>
        <v>0.57999999999999996</v>
      </c>
      <c r="J17">
        <f>SmtRes!AO2</f>
        <v>1</v>
      </c>
      <c r="K17">
        <f>SmtRes!AF2</f>
        <v>2430.38</v>
      </c>
      <c r="L17">
        <f>SmtRes!DB2</f>
        <v>17620.259999999998</v>
      </c>
      <c r="M17">
        <f>ROUND(ROUND(L17*Source!I28, 6)*1, 2)</f>
        <v>1409.62</v>
      </c>
      <c r="N17">
        <f>SmtRes!AB2</f>
        <v>2430.38</v>
      </c>
      <c r="O17">
        <f>ROUND(ROUND(L17*Source!I28, 6)*SmtRes!DA2, 2)</f>
        <v>1409.62</v>
      </c>
      <c r="P17">
        <f>SmtRes!AG2</f>
        <v>901.93</v>
      </c>
      <c r="Q17">
        <f>SmtRes!DC2</f>
        <v>6538.99</v>
      </c>
      <c r="R17">
        <f>ROUND(ROUND(Q17*Source!I28, 6)*1, 2)</f>
        <v>523.12</v>
      </c>
      <c r="S17">
        <f>SmtRes!AC2</f>
        <v>901.93</v>
      </c>
      <c r="T17">
        <f>ROUND(ROUND(Q17*Source!I28, 6)*SmtRes!AK2, 2)</f>
        <v>523.12</v>
      </c>
      <c r="U17">
        <v>2</v>
      </c>
      <c r="Z17">
        <f>SmtRes!X2</f>
        <v>608462102</v>
      </c>
      <c r="AA17">
        <v>-803001130</v>
      </c>
      <c r="AB17">
        <v>-803001130</v>
      </c>
    </row>
    <row r="18" spans="1:28" x14ac:dyDescent="0.2">
      <c r="A18">
        <v>20</v>
      </c>
      <c r="B18">
        <v>13</v>
      </c>
      <c r="C18">
        <v>3</v>
      </c>
      <c r="D18">
        <v>0</v>
      </c>
      <c r="E18">
        <f>SmtRes!AV13</f>
        <v>0</v>
      </c>
      <c r="F18" t="str">
        <f>SmtRes!I13</f>
        <v>21.3-2-10</v>
      </c>
      <c r="G18" t="str">
        <f>SmtRes!K13</f>
        <v>Растворы цементно-известковые, марка 75</v>
      </c>
      <c r="H18" t="str">
        <f>SmtRes!O13</f>
        <v>м3</v>
      </c>
      <c r="I18">
        <f>SmtRes!Y13*Source!I29</f>
        <v>0.55000000000000004</v>
      </c>
      <c r="J18">
        <f>SmtRes!AO13</f>
        <v>1</v>
      </c>
      <c r="K18">
        <f>SmtRes!AE13</f>
        <v>5335.62</v>
      </c>
      <c r="L18">
        <f>SmtRes!DB13</f>
        <v>11738.36</v>
      </c>
      <c r="M18">
        <f>ROUND(ROUND(L18*Source!I29, 6)*1, 2)</f>
        <v>2934.59</v>
      </c>
      <c r="N18">
        <f>SmtRes!AA13</f>
        <v>5335.62</v>
      </c>
      <c r="O18">
        <f>ROUND(ROUND(L18*Source!I29, 6)*SmtRes!DA13, 2)</f>
        <v>2934.59</v>
      </c>
      <c r="P18">
        <f>SmtRes!AG13</f>
        <v>0</v>
      </c>
      <c r="Q18">
        <f>SmtRes!DC13</f>
        <v>0</v>
      </c>
      <c r="R18">
        <f>ROUND(ROUND(Q18*Source!I29, 6)*1, 2)</f>
        <v>0</v>
      </c>
      <c r="S18">
        <f>SmtRes!AC13</f>
        <v>0</v>
      </c>
      <c r="T18">
        <f>ROUND(ROUND(Q18*Source!I29, 6)*SmtRes!AK13, 2)</f>
        <v>0</v>
      </c>
      <c r="U18">
        <v>3</v>
      </c>
      <c r="Z18">
        <f>SmtRes!X13</f>
        <v>914073203</v>
      </c>
      <c r="AA18">
        <v>-952924916</v>
      </c>
      <c r="AB18">
        <v>-952924916</v>
      </c>
    </row>
    <row r="19" spans="1:28" x14ac:dyDescent="0.2">
      <c r="A19">
        <v>20</v>
      </c>
      <c r="B19">
        <v>20</v>
      </c>
      <c r="C19">
        <v>3</v>
      </c>
      <c r="D19">
        <v>0</v>
      </c>
      <c r="E19">
        <f>SmtRes!AV20</f>
        <v>0</v>
      </c>
      <c r="F19" t="str">
        <f>SmtRes!I20</f>
        <v>21.3-2-99</v>
      </c>
      <c r="G19" t="str">
        <f>SmtRes!K20</f>
        <v>Смеси сухие штукатурные цементно-песчаные для внутренних и наружных работ, бездобавочные: В12,5 (М150), F50, крупность заполнителя не более 0,5 мм</v>
      </c>
      <c r="H19" t="str">
        <f>SmtRes!O20</f>
        <v>т</v>
      </c>
      <c r="I19">
        <f>SmtRes!Y20*Source!I30</f>
        <v>1.3125E-2</v>
      </c>
      <c r="J19">
        <f>SmtRes!AO20</f>
        <v>1</v>
      </c>
      <c r="K19">
        <f>SmtRes!AE20</f>
        <v>6315.46</v>
      </c>
      <c r="L19">
        <f>SmtRes!DB20</f>
        <v>331.56</v>
      </c>
      <c r="M19">
        <f>ROUND(ROUND(L19*Source!I30, 6)*1, 2)</f>
        <v>82.89</v>
      </c>
      <c r="N19">
        <f>SmtRes!AA20</f>
        <v>6315.46</v>
      </c>
      <c r="O19">
        <f>ROUND(ROUND(L19*Source!I30, 6)*SmtRes!DA20, 2)</f>
        <v>82.89</v>
      </c>
      <c r="P19">
        <f>SmtRes!AG20</f>
        <v>0</v>
      </c>
      <c r="Q19">
        <f>SmtRes!DC20</f>
        <v>0</v>
      </c>
      <c r="R19">
        <f>ROUND(ROUND(Q19*Source!I30, 6)*1, 2)</f>
        <v>0</v>
      </c>
      <c r="S19">
        <f>SmtRes!AC20</f>
        <v>0</v>
      </c>
      <c r="T19">
        <f>ROUND(ROUND(Q19*Source!I30, 6)*SmtRes!AK20, 2)</f>
        <v>0</v>
      </c>
      <c r="U19">
        <v>3</v>
      </c>
      <c r="Z19">
        <f>SmtRes!X20</f>
        <v>2029308454</v>
      </c>
      <c r="AA19">
        <v>800474513</v>
      </c>
      <c r="AB19">
        <v>800474513</v>
      </c>
    </row>
    <row r="20" spans="1:28" x14ac:dyDescent="0.2">
      <c r="A20">
        <v>20</v>
      </c>
      <c r="B20">
        <v>19</v>
      </c>
      <c r="C20">
        <v>3</v>
      </c>
      <c r="D20">
        <v>0</v>
      </c>
      <c r="E20">
        <f>SmtRes!AV19</f>
        <v>0</v>
      </c>
      <c r="F20" t="str">
        <f>SmtRes!I19</f>
        <v>21.1-6-8</v>
      </c>
      <c r="G20" t="str">
        <f>SmtRes!K19</f>
        <v>Грунтовка "Акриал"</v>
      </c>
      <c r="H20" t="str">
        <f>SmtRes!O19</f>
        <v>т</v>
      </c>
      <c r="I20">
        <f>SmtRes!Y19*Source!I30</f>
        <v>6.0499999999999998E-3</v>
      </c>
      <c r="J20">
        <f>SmtRes!AO19</f>
        <v>1</v>
      </c>
      <c r="K20">
        <f>SmtRes!AE19</f>
        <v>196706.48</v>
      </c>
      <c r="L20">
        <f>SmtRes!DB19</f>
        <v>4760.3</v>
      </c>
      <c r="M20">
        <f>ROUND(ROUND(L20*Source!I30, 6)*1, 2)</f>
        <v>1190.08</v>
      </c>
      <c r="N20">
        <f>SmtRes!AA19</f>
        <v>196706.48</v>
      </c>
      <c r="O20">
        <f>ROUND(ROUND(L20*Source!I30, 6)*SmtRes!DA19, 2)</f>
        <v>1190.08</v>
      </c>
      <c r="P20">
        <f>SmtRes!AG19</f>
        <v>0</v>
      </c>
      <c r="Q20">
        <f>SmtRes!DC19</f>
        <v>0</v>
      </c>
      <c r="R20">
        <f>ROUND(ROUND(Q20*Source!I30, 6)*1, 2)</f>
        <v>0</v>
      </c>
      <c r="S20">
        <f>SmtRes!AC19</f>
        <v>0</v>
      </c>
      <c r="T20">
        <f>ROUND(ROUND(Q20*Source!I30, 6)*SmtRes!AK19, 2)</f>
        <v>0</v>
      </c>
      <c r="U20">
        <v>3</v>
      </c>
      <c r="Z20">
        <f>SmtRes!X19</f>
        <v>371116997</v>
      </c>
      <c r="AA20">
        <v>1770440016</v>
      </c>
      <c r="AB20">
        <v>1770440016</v>
      </c>
    </row>
    <row r="21" spans="1:28" x14ac:dyDescent="0.2">
      <c r="A21">
        <v>20</v>
      </c>
      <c r="B21">
        <v>18</v>
      </c>
      <c r="C21">
        <v>3</v>
      </c>
      <c r="D21">
        <v>0</v>
      </c>
      <c r="E21">
        <f>SmtRes!AV18</f>
        <v>0</v>
      </c>
      <c r="F21" t="str">
        <f>SmtRes!I18</f>
        <v>21.1-6-60</v>
      </c>
      <c r="G21" t="str">
        <f>SmtRes!K18</f>
        <v>Краски фасадные, марка "Акриал"</v>
      </c>
      <c r="H21" t="str">
        <f>SmtRes!O18</f>
        <v>т</v>
      </c>
      <c r="I21">
        <f>SmtRes!Y18*Source!I30</f>
        <v>1.2775E-2</v>
      </c>
      <c r="J21">
        <f>SmtRes!AO18</f>
        <v>1</v>
      </c>
      <c r="K21">
        <f>SmtRes!AE18</f>
        <v>147321.03</v>
      </c>
      <c r="L21">
        <f>SmtRes!DB18</f>
        <v>7528.1</v>
      </c>
      <c r="M21">
        <f>ROUND(ROUND(L21*Source!I30, 6)*1, 2)</f>
        <v>1882.03</v>
      </c>
      <c r="N21">
        <f>SmtRes!AA18</f>
        <v>147321.03</v>
      </c>
      <c r="O21">
        <f>ROUND(ROUND(L21*Source!I30, 6)*SmtRes!DA18, 2)</f>
        <v>1882.03</v>
      </c>
      <c r="P21">
        <f>SmtRes!AG18</f>
        <v>0</v>
      </c>
      <c r="Q21">
        <f>SmtRes!DC18</f>
        <v>0</v>
      </c>
      <c r="R21">
        <f>ROUND(ROUND(Q21*Source!I30, 6)*1, 2)</f>
        <v>0</v>
      </c>
      <c r="S21">
        <f>SmtRes!AC18</f>
        <v>0</v>
      </c>
      <c r="T21">
        <f>ROUND(ROUND(Q21*Source!I30, 6)*SmtRes!AK18, 2)</f>
        <v>0</v>
      </c>
      <c r="U21">
        <v>3</v>
      </c>
      <c r="Z21">
        <f>SmtRes!X18</f>
        <v>43045499</v>
      </c>
      <c r="AA21">
        <v>-1083439911</v>
      </c>
      <c r="AB21">
        <v>-1083439911</v>
      </c>
    </row>
    <row r="22" spans="1:28" x14ac:dyDescent="0.2">
      <c r="A22">
        <v>20</v>
      </c>
      <c r="B22">
        <v>17</v>
      </c>
      <c r="C22">
        <v>3</v>
      </c>
      <c r="D22">
        <v>0</v>
      </c>
      <c r="E22">
        <f>SmtRes!AV17</f>
        <v>0</v>
      </c>
      <c r="F22" t="str">
        <f>SmtRes!I17</f>
        <v>21.1-6-21</v>
      </c>
      <c r="G22" t="str">
        <f>SmtRes!K17</f>
        <v>Дисперсия поливинилацетатная гомополимерная грубодисперсная непластифицированная марка Д50Н</v>
      </c>
      <c r="H22" t="str">
        <f>SmtRes!O17</f>
        <v>т</v>
      </c>
      <c r="I22">
        <f>SmtRes!Y17*Source!I30</f>
        <v>4.6999999999999999E-4</v>
      </c>
      <c r="J22">
        <f>SmtRes!AO17</f>
        <v>1</v>
      </c>
      <c r="K22">
        <f>SmtRes!AE17</f>
        <v>71612.87</v>
      </c>
      <c r="L22">
        <f>SmtRes!DB17</f>
        <v>134.63</v>
      </c>
      <c r="M22">
        <f>ROUND(ROUND(L22*Source!I30, 6)*1, 2)</f>
        <v>33.659999999999997</v>
      </c>
      <c r="N22">
        <f>SmtRes!AA17</f>
        <v>71612.87</v>
      </c>
      <c r="O22">
        <f>ROUND(ROUND(L22*Source!I30, 6)*SmtRes!DA17, 2)</f>
        <v>33.659999999999997</v>
      </c>
      <c r="P22">
        <f>SmtRes!AG17</f>
        <v>0</v>
      </c>
      <c r="Q22">
        <f>SmtRes!DC17</f>
        <v>0</v>
      </c>
      <c r="R22">
        <f>ROUND(ROUND(Q22*Source!I30, 6)*1, 2)</f>
        <v>0</v>
      </c>
      <c r="S22">
        <f>SmtRes!AC17</f>
        <v>0</v>
      </c>
      <c r="T22">
        <f>ROUND(ROUND(Q22*Source!I30, 6)*SmtRes!AK17, 2)</f>
        <v>0</v>
      </c>
      <c r="U22">
        <v>3</v>
      </c>
      <c r="Z22">
        <f>SmtRes!X17</f>
        <v>-823233842</v>
      </c>
      <c r="AA22">
        <v>-1523488838</v>
      </c>
      <c r="AB22">
        <v>-1523488838</v>
      </c>
    </row>
    <row r="23" spans="1:28" x14ac:dyDescent="0.2">
      <c r="A23">
        <v>20</v>
      </c>
      <c r="B23">
        <v>16</v>
      </c>
      <c r="C23">
        <v>3</v>
      </c>
      <c r="D23">
        <v>0</v>
      </c>
      <c r="E23">
        <f>SmtRes!AV16</f>
        <v>0</v>
      </c>
      <c r="F23" t="str">
        <f>SmtRes!I16</f>
        <v>21.1-25-407</v>
      </c>
      <c r="G23" t="str">
        <f>SmtRes!K16</f>
        <v>Шпатлевка масляно-клеевая универсальная</v>
      </c>
      <c r="H23" t="str">
        <f>SmtRes!O16</f>
        <v>т</v>
      </c>
      <c r="I23">
        <f>SmtRes!Y16*Source!I30</f>
        <v>2.5000000000000001E-4</v>
      </c>
      <c r="J23">
        <f>SmtRes!AO16</f>
        <v>1</v>
      </c>
      <c r="K23">
        <f>SmtRes!AE16</f>
        <v>57401.29</v>
      </c>
      <c r="L23">
        <f>SmtRes!DB16</f>
        <v>57.4</v>
      </c>
      <c r="M23">
        <f>ROUND(ROUND(L23*Source!I30, 6)*1, 2)</f>
        <v>14.35</v>
      </c>
      <c r="N23">
        <f>SmtRes!AA16</f>
        <v>57401.29</v>
      </c>
      <c r="O23">
        <f>ROUND(ROUND(L23*Source!I30, 6)*SmtRes!DA16, 2)</f>
        <v>14.35</v>
      </c>
      <c r="P23">
        <f>SmtRes!AG16</f>
        <v>0</v>
      </c>
      <c r="Q23">
        <f>SmtRes!DC16</f>
        <v>0</v>
      </c>
      <c r="R23">
        <f>ROUND(ROUND(Q23*Source!I30, 6)*1, 2)</f>
        <v>0</v>
      </c>
      <c r="S23">
        <f>SmtRes!AC16</f>
        <v>0</v>
      </c>
      <c r="T23">
        <f>ROUND(ROUND(Q23*Source!I30, 6)*SmtRes!AK16, 2)</f>
        <v>0</v>
      </c>
      <c r="U23">
        <v>3</v>
      </c>
      <c r="Z23">
        <f>SmtRes!X16</f>
        <v>1269824106</v>
      </c>
      <c r="AA23">
        <v>1642881765</v>
      </c>
      <c r="AB23">
        <v>1642881765</v>
      </c>
    </row>
    <row r="24" spans="1:28" x14ac:dyDescent="0.2">
      <c r="A24">
        <v>20</v>
      </c>
      <c r="B24">
        <v>31</v>
      </c>
      <c r="C24">
        <v>3</v>
      </c>
      <c r="D24">
        <v>0</v>
      </c>
      <c r="E24">
        <f>SmtRes!AV31</f>
        <v>0</v>
      </c>
      <c r="F24" t="str">
        <f>SmtRes!I31</f>
        <v>21.3-2-69</v>
      </c>
      <c r="G24" t="str">
        <f>SmtRes!K31</f>
        <v>Смеси сухие цементные ремонтные для оштукатуривания и ремонта бетонных поверхностей: В15 (М200), F100, крупность заполнителя 0,5 - 1,2 мм</v>
      </c>
      <c r="H24" t="str">
        <f>SmtRes!O31</f>
        <v>т</v>
      </c>
      <c r="I24">
        <f>SmtRes!Y31*Source!I31</f>
        <v>5.5125E-2</v>
      </c>
      <c r="J24">
        <f>SmtRes!AO31</f>
        <v>1</v>
      </c>
      <c r="K24">
        <f>SmtRes!AE31</f>
        <v>17372.259999999998</v>
      </c>
      <c r="L24">
        <f>SmtRes!DB31</f>
        <v>912.04</v>
      </c>
      <c r="M24">
        <f>ROUND(ROUND(L24*Source!I31, 6)*1, 2)</f>
        <v>957.64</v>
      </c>
      <c r="N24">
        <f>SmtRes!AA31</f>
        <v>17372.259999999998</v>
      </c>
      <c r="O24">
        <f>ROUND(ROUND(L24*Source!I31, 6)*SmtRes!DA31, 2)</f>
        <v>957.64</v>
      </c>
      <c r="P24">
        <f>SmtRes!AG31</f>
        <v>0</v>
      </c>
      <c r="Q24">
        <f>SmtRes!DC31</f>
        <v>0</v>
      </c>
      <c r="R24">
        <f>ROUND(ROUND(Q24*Source!I31, 6)*1, 2)</f>
        <v>0</v>
      </c>
      <c r="S24">
        <f>SmtRes!AC31</f>
        <v>0</v>
      </c>
      <c r="T24">
        <f>ROUND(ROUND(Q24*Source!I31, 6)*SmtRes!AK31, 2)</f>
        <v>0</v>
      </c>
      <c r="U24">
        <v>3</v>
      </c>
      <c r="Z24">
        <f>SmtRes!X31</f>
        <v>-692374849</v>
      </c>
      <c r="AA24">
        <v>1633121601</v>
      </c>
      <c r="AB24">
        <v>1633121601</v>
      </c>
    </row>
    <row r="25" spans="1:28" x14ac:dyDescent="0.2">
      <c r="A25">
        <v>20</v>
      </c>
      <c r="B25">
        <v>30</v>
      </c>
      <c r="C25">
        <v>3</v>
      </c>
      <c r="D25">
        <v>0</v>
      </c>
      <c r="E25">
        <f>SmtRes!AV30</f>
        <v>0</v>
      </c>
      <c r="F25" t="str">
        <f>SmtRes!I30</f>
        <v>21.1-6-8</v>
      </c>
      <c r="G25" t="str">
        <f>SmtRes!K30</f>
        <v>Грунтовка "Акриал"</v>
      </c>
      <c r="H25" t="str">
        <f>SmtRes!O30</f>
        <v>т</v>
      </c>
      <c r="I25">
        <f>SmtRes!Y30*Source!I31</f>
        <v>3.6750000000000003E-3</v>
      </c>
      <c r="J25">
        <f>SmtRes!AO30</f>
        <v>1</v>
      </c>
      <c r="K25">
        <f>SmtRes!AE30</f>
        <v>196706.48</v>
      </c>
      <c r="L25">
        <f>SmtRes!DB30</f>
        <v>688.47</v>
      </c>
      <c r="M25">
        <f>ROUND(ROUND(L25*Source!I31, 6)*1, 2)</f>
        <v>722.89</v>
      </c>
      <c r="N25">
        <f>SmtRes!AA30</f>
        <v>196706.48</v>
      </c>
      <c r="O25">
        <f>ROUND(ROUND(L25*Source!I31, 6)*SmtRes!DA30, 2)</f>
        <v>722.89</v>
      </c>
      <c r="P25">
        <f>SmtRes!AG30</f>
        <v>0</v>
      </c>
      <c r="Q25">
        <f>SmtRes!DC30</f>
        <v>0</v>
      </c>
      <c r="R25">
        <f>ROUND(ROUND(Q25*Source!I31, 6)*1, 2)</f>
        <v>0</v>
      </c>
      <c r="S25">
        <f>SmtRes!AC30</f>
        <v>0</v>
      </c>
      <c r="T25">
        <f>ROUND(ROUND(Q25*Source!I31, 6)*SmtRes!AK30, 2)</f>
        <v>0</v>
      </c>
      <c r="U25">
        <v>3</v>
      </c>
      <c r="Z25">
        <f>SmtRes!X30</f>
        <v>371116997</v>
      </c>
      <c r="AA25">
        <v>1770440016</v>
      </c>
      <c r="AB25">
        <v>1770440016</v>
      </c>
    </row>
    <row r="26" spans="1:28" x14ac:dyDescent="0.2">
      <c r="A26">
        <v>20</v>
      </c>
      <c r="B26">
        <v>29</v>
      </c>
      <c r="C26">
        <v>3</v>
      </c>
      <c r="D26">
        <v>0</v>
      </c>
      <c r="E26">
        <f>SmtRes!AV29</f>
        <v>0</v>
      </c>
      <c r="F26" t="str">
        <f>SmtRes!I29</f>
        <v>21.1-6-60</v>
      </c>
      <c r="G26" t="str">
        <f>SmtRes!K29</f>
        <v>Краски фасадные, марка "Акриал"</v>
      </c>
      <c r="H26" t="str">
        <f>SmtRes!O29</f>
        <v>т</v>
      </c>
      <c r="I26">
        <f>SmtRes!Y29*Source!I31</f>
        <v>5.3655000000000001E-2</v>
      </c>
      <c r="J26">
        <f>SmtRes!AO29</f>
        <v>1</v>
      </c>
      <c r="K26">
        <f>SmtRes!AE29</f>
        <v>147321.03</v>
      </c>
      <c r="L26">
        <f>SmtRes!DB29</f>
        <v>7528.1</v>
      </c>
      <c r="M26">
        <f>ROUND(ROUND(L26*Source!I31, 6)*1, 2)</f>
        <v>7904.51</v>
      </c>
      <c r="N26">
        <f>SmtRes!AA29</f>
        <v>147321.03</v>
      </c>
      <c r="O26">
        <f>ROUND(ROUND(L26*Source!I31, 6)*SmtRes!DA29, 2)</f>
        <v>7904.51</v>
      </c>
      <c r="P26">
        <f>SmtRes!AG29</f>
        <v>0</v>
      </c>
      <c r="Q26">
        <f>SmtRes!DC29</f>
        <v>0</v>
      </c>
      <c r="R26">
        <f>ROUND(ROUND(Q26*Source!I31, 6)*1, 2)</f>
        <v>0</v>
      </c>
      <c r="S26">
        <f>SmtRes!AC29</f>
        <v>0</v>
      </c>
      <c r="T26">
        <f>ROUND(ROUND(Q26*Source!I31, 6)*SmtRes!AK29, 2)</f>
        <v>0</v>
      </c>
      <c r="U26">
        <v>3</v>
      </c>
      <c r="Z26">
        <f>SmtRes!X29</f>
        <v>43045499</v>
      </c>
      <c r="AA26">
        <v>-1083439911</v>
      </c>
      <c r="AB26">
        <v>-1083439911</v>
      </c>
    </row>
    <row r="27" spans="1:28" x14ac:dyDescent="0.2">
      <c r="A27">
        <v>20</v>
      </c>
      <c r="B27">
        <v>28</v>
      </c>
      <c r="C27">
        <v>3</v>
      </c>
      <c r="D27">
        <v>0</v>
      </c>
      <c r="E27">
        <f>SmtRes!AV28</f>
        <v>0</v>
      </c>
      <c r="F27" t="str">
        <f>SmtRes!I28</f>
        <v>21.1-6-114</v>
      </c>
      <c r="G27" t="str">
        <f>SmtRes!K28</f>
        <v>Растворитель уайт-спирит (нефрас-С4 - 155/200)</v>
      </c>
      <c r="H27" t="str">
        <f>SmtRes!O28</f>
        <v>т</v>
      </c>
      <c r="I27">
        <f>SmtRes!Y28*Source!I31</f>
        <v>1.6800000000000001E-3</v>
      </c>
      <c r="J27">
        <f>SmtRes!AO28</f>
        <v>1</v>
      </c>
      <c r="K27">
        <f>SmtRes!AE28</f>
        <v>116802.33</v>
      </c>
      <c r="L27">
        <f>SmtRes!DB28</f>
        <v>186.88</v>
      </c>
      <c r="M27">
        <f>ROUND(ROUND(L27*Source!I31, 6)*1, 2)</f>
        <v>196.22</v>
      </c>
      <c r="N27">
        <f>SmtRes!AA28</f>
        <v>116802.33</v>
      </c>
      <c r="O27">
        <f>ROUND(ROUND(L27*Source!I31, 6)*SmtRes!DA28, 2)</f>
        <v>196.22</v>
      </c>
      <c r="P27">
        <f>SmtRes!AG28</f>
        <v>0</v>
      </c>
      <c r="Q27">
        <f>SmtRes!DC28</f>
        <v>0</v>
      </c>
      <c r="R27">
        <f>ROUND(ROUND(Q27*Source!I31, 6)*1, 2)</f>
        <v>0</v>
      </c>
      <c r="S27">
        <f>SmtRes!AC28</f>
        <v>0</v>
      </c>
      <c r="T27">
        <f>ROUND(ROUND(Q27*Source!I31, 6)*SmtRes!AK28, 2)</f>
        <v>0</v>
      </c>
      <c r="U27">
        <v>3</v>
      </c>
      <c r="Z27">
        <f>SmtRes!X28</f>
        <v>-1442459766</v>
      </c>
      <c r="AA27">
        <v>-481593916</v>
      </c>
      <c r="AB27">
        <v>-481593916</v>
      </c>
    </row>
    <row r="28" spans="1:28" x14ac:dyDescent="0.2">
      <c r="A28">
        <v>20</v>
      </c>
      <c r="B28">
        <v>27</v>
      </c>
      <c r="C28">
        <v>3</v>
      </c>
      <c r="D28">
        <v>0</v>
      </c>
      <c r="E28">
        <f>SmtRes!AV27</f>
        <v>0</v>
      </c>
      <c r="F28" t="str">
        <f>SmtRes!I27</f>
        <v>21.1-6-10</v>
      </c>
      <c r="G28" t="str">
        <f>SmtRes!K27</f>
        <v>Грунтовка акриловая концентрированная универсальная с высокой клеевой и проникающей способностью</v>
      </c>
      <c r="H28" t="str">
        <f>SmtRes!O27</f>
        <v>л</v>
      </c>
      <c r="I28">
        <f>SmtRes!Y27*Source!I31</f>
        <v>10.5</v>
      </c>
      <c r="J28">
        <f>SmtRes!AO27</f>
        <v>1</v>
      </c>
      <c r="K28">
        <f>SmtRes!AE27</f>
        <v>128.71</v>
      </c>
      <c r="L28">
        <f>SmtRes!DB27</f>
        <v>1287.0999999999999</v>
      </c>
      <c r="M28">
        <f>ROUND(ROUND(L28*Source!I31, 6)*1, 2)</f>
        <v>1351.46</v>
      </c>
      <c r="N28">
        <f>SmtRes!AA27</f>
        <v>128.71</v>
      </c>
      <c r="O28">
        <f>ROUND(ROUND(L28*Source!I31, 6)*SmtRes!DA27, 2)</f>
        <v>1351.46</v>
      </c>
      <c r="P28">
        <f>SmtRes!AG27</f>
        <v>0</v>
      </c>
      <c r="Q28">
        <f>SmtRes!DC27</f>
        <v>0</v>
      </c>
      <c r="R28">
        <f>ROUND(ROUND(Q28*Source!I31, 6)*1, 2)</f>
        <v>0</v>
      </c>
      <c r="S28">
        <f>SmtRes!AC27</f>
        <v>0</v>
      </c>
      <c r="T28">
        <f>ROUND(ROUND(Q28*Source!I31, 6)*SmtRes!AK27, 2)</f>
        <v>0</v>
      </c>
      <c r="U28">
        <v>3</v>
      </c>
      <c r="Z28">
        <f>SmtRes!X27</f>
        <v>1726395108</v>
      </c>
      <c r="AA28">
        <v>1064418236</v>
      </c>
      <c r="AB28">
        <v>1064418236</v>
      </c>
    </row>
    <row r="29" spans="1:28" x14ac:dyDescent="0.2">
      <c r="A29">
        <v>20</v>
      </c>
      <c r="B29">
        <v>26</v>
      </c>
      <c r="C29">
        <v>3</v>
      </c>
      <c r="D29">
        <v>0</v>
      </c>
      <c r="E29">
        <f>SmtRes!AV26</f>
        <v>0</v>
      </c>
      <c r="F29" t="str">
        <f>SmtRes!I26</f>
        <v>21.1-25-404</v>
      </c>
      <c r="G29" t="str">
        <f>SmtRes!K26</f>
        <v>Шпатлевка водно-дисперсионная акриловая</v>
      </c>
      <c r="H29" t="str">
        <f>SmtRes!O26</f>
        <v>т</v>
      </c>
      <c r="I29">
        <f>SmtRes!Y26*Source!I31</f>
        <v>1.9425000000000001E-2</v>
      </c>
      <c r="J29">
        <f>SmtRes!AO26</f>
        <v>1</v>
      </c>
      <c r="K29">
        <f>SmtRes!AE26</f>
        <v>76204.789999999994</v>
      </c>
      <c r="L29">
        <f>SmtRes!DB26</f>
        <v>1409.79</v>
      </c>
      <c r="M29">
        <f>ROUND(ROUND(L29*Source!I31, 6)*1, 2)</f>
        <v>1480.28</v>
      </c>
      <c r="N29">
        <f>SmtRes!AA26</f>
        <v>76204.789999999994</v>
      </c>
      <c r="O29">
        <f>ROUND(ROUND(L29*Source!I31, 6)*SmtRes!DA26, 2)</f>
        <v>1480.28</v>
      </c>
      <c r="P29">
        <f>SmtRes!AG26</f>
        <v>0</v>
      </c>
      <c r="Q29">
        <f>SmtRes!DC26</f>
        <v>0</v>
      </c>
      <c r="R29">
        <f>ROUND(ROUND(Q29*Source!I31, 6)*1, 2)</f>
        <v>0</v>
      </c>
      <c r="S29">
        <f>SmtRes!AC26</f>
        <v>0</v>
      </c>
      <c r="T29">
        <f>ROUND(ROUND(Q29*Source!I31, 6)*SmtRes!AK26, 2)</f>
        <v>0</v>
      </c>
      <c r="U29">
        <v>3</v>
      </c>
      <c r="Z29">
        <f>SmtRes!X26</f>
        <v>1133369200</v>
      </c>
      <c r="AA29">
        <v>358603207</v>
      </c>
      <c r="AB29">
        <v>358603207</v>
      </c>
    </row>
    <row r="30" spans="1:28" x14ac:dyDescent="0.2">
      <c r="A30">
        <v>20</v>
      </c>
      <c r="B30">
        <v>25</v>
      </c>
      <c r="C30">
        <v>3</v>
      </c>
      <c r="D30">
        <v>0</v>
      </c>
      <c r="E30">
        <f>SmtRes!AV25</f>
        <v>0</v>
      </c>
      <c r="F30" t="str">
        <f>SmtRes!I25</f>
        <v>21.1-25-388</v>
      </c>
      <c r="G30" t="str">
        <f>SmtRes!K25</f>
        <v>Шкурка шлифовальная на бумажной основе</v>
      </c>
      <c r="H30" t="str">
        <f>SmtRes!O25</f>
        <v>м2</v>
      </c>
      <c r="I30">
        <f>SmtRes!Y25*Source!I31</f>
        <v>0.84000000000000008</v>
      </c>
      <c r="J30">
        <f>SmtRes!AO25</f>
        <v>1</v>
      </c>
      <c r="K30">
        <f>SmtRes!AE25</f>
        <v>338.51</v>
      </c>
      <c r="L30">
        <f>SmtRes!DB25</f>
        <v>270.81</v>
      </c>
      <c r="M30">
        <f>ROUND(ROUND(L30*Source!I31, 6)*1, 2)</f>
        <v>284.35000000000002</v>
      </c>
      <c r="N30">
        <f>SmtRes!AA25</f>
        <v>338.51</v>
      </c>
      <c r="O30">
        <f>ROUND(ROUND(L30*Source!I31, 6)*SmtRes!DA25, 2)</f>
        <v>284.35000000000002</v>
      </c>
      <c r="P30">
        <f>SmtRes!AG25</f>
        <v>0</v>
      </c>
      <c r="Q30">
        <f>SmtRes!DC25</f>
        <v>0</v>
      </c>
      <c r="R30">
        <f>ROUND(ROUND(Q30*Source!I31, 6)*1, 2)</f>
        <v>0</v>
      </c>
      <c r="S30">
        <f>SmtRes!AC25</f>
        <v>0</v>
      </c>
      <c r="T30">
        <f>ROUND(ROUND(Q30*Source!I31, 6)*SmtRes!AK25, 2)</f>
        <v>0</v>
      </c>
      <c r="U30">
        <v>3</v>
      </c>
      <c r="Z30">
        <f>SmtRes!X25</f>
        <v>-668698448</v>
      </c>
      <c r="AA30">
        <v>1781192509</v>
      </c>
      <c r="AB30">
        <v>1781192509</v>
      </c>
    </row>
    <row r="31" spans="1:28" x14ac:dyDescent="0.2">
      <c r="A31">
        <v>20</v>
      </c>
      <c r="B31">
        <v>24</v>
      </c>
      <c r="C31">
        <v>3</v>
      </c>
      <c r="D31">
        <v>0</v>
      </c>
      <c r="E31">
        <f>SmtRes!AV24</f>
        <v>0</v>
      </c>
      <c r="F31" t="str">
        <f>SmtRes!I24</f>
        <v>21.1-25-13</v>
      </c>
      <c r="G31" t="str">
        <f>SmtRes!K24</f>
        <v>Вода</v>
      </c>
      <c r="H31" t="str">
        <f>SmtRes!O24</f>
        <v>м3</v>
      </c>
      <c r="I31">
        <f>SmtRes!Y24*Source!I31</f>
        <v>2.1000000000000001E-2</v>
      </c>
      <c r="J31">
        <f>SmtRes!AO24</f>
        <v>1</v>
      </c>
      <c r="K31">
        <f>SmtRes!AE24</f>
        <v>49.83</v>
      </c>
      <c r="L31">
        <f>SmtRes!DB24</f>
        <v>1</v>
      </c>
      <c r="M31">
        <f>ROUND(ROUND(L31*Source!I31, 6)*1, 2)</f>
        <v>1.05</v>
      </c>
      <c r="N31">
        <f>SmtRes!AA24</f>
        <v>49.83</v>
      </c>
      <c r="O31">
        <f>ROUND(ROUND(L31*Source!I31, 6)*SmtRes!DA24, 2)</f>
        <v>1.05</v>
      </c>
      <c r="P31">
        <f>SmtRes!AG24</f>
        <v>0</v>
      </c>
      <c r="Q31">
        <f>SmtRes!DC24</f>
        <v>0</v>
      </c>
      <c r="R31">
        <f>ROUND(ROUND(Q31*Source!I31, 6)*1, 2)</f>
        <v>0</v>
      </c>
      <c r="S31">
        <f>SmtRes!AC24</f>
        <v>0</v>
      </c>
      <c r="T31">
        <f>ROUND(ROUND(Q31*Source!I31, 6)*SmtRes!AK24, 2)</f>
        <v>0</v>
      </c>
      <c r="U31">
        <v>3</v>
      </c>
      <c r="Z31">
        <f>SmtRes!X24</f>
        <v>973433911</v>
      </c>
      <c r="AA31">
        <v>1405492101</v>
      </c>
      <c r="AB31">
        <v>1405492101</v>
      </c>
    </row>
    <row r="32" spans="1:28" x14ac:dyDescent="0.2">
      <c r="A32">
        <v>20</v>
      </c>
      <c r="B32">
        <v>23</v>
      </c>
      <c r="C32">
        <v>3</v>
      </c>
      <c r="D32">
        <v>0</v>
      </c>
      <c r="E32">
        <f>SmtRes!AV23</f>
        <v>0</v>
      </c>
      <c r="F32" t="str">
        <f>SmtRes!I23</f>
        <v>21.1-20-7</v>
      </c>
      <c r="G32" t="str">
        <f>SmtRes!K23</f>
        <v>Ветошь</v>
      </c>
      <c r="H32" t="str">
        <f>SmtRes!O23</f>
        <v>кг</v>
      </c>
      <c r="I32">
        <f>SmtRes!Y23*Source!I31</f>
        <v>0.43049999999999999</v>
      </c>
      <c r="J32">
        <f>SmtRes!AO23</f>
        <v>1</v>
      </c>
      <c r="K32">
        <f>SmtRes!AE23</f>
        <v>26.09</v>
      </c>
      <c r="L32">
        <f>SmtRes!DB23</f>
        <v>10.7</v>
      </c>
      <c r="M32">
        <f>ROUND(ROUND(L32*Source!I31, 6)*1, 2)</f>
        <v>11.24</v>
      </c>
      <c r="N32">
        <f>SmtRes!AA23</f>
        <v>26.09</v>
      </c>
      <c r="O32">
        <f>ROUND(ROUND(L32*Source!I31, 6)*SmtRes!DA23, 2)</f>
        <v>11.24</v>
      </c>
      <c r="P32">
        <f>SmtRes!AG23</f>
        <v>0</v>
      </c>
      <c r="Q32">
        <f>SmtRes!DC23</f>
        <v>0</v>
      </c>
      <c r="R32">
        <f>ROUND(ROUND(Q32*Source!I31, 6)*1, 2)</f>
        <v>0</v>
      </c>
      <c r="S32">
        <f>SmtRes!AC23</f>
        <v>0</v>
      </c>
      <c r="T32">
        <f>ROUND(ROUND(Q32*Source!I31, 6)*SmtRes!AK23, 2)</f>
        <v>0</v>
      </c>
      <c r="U32">
        <v>3</v>
      </c>
      <c r="Z32">
        <f>SmtRes!X23</f>
        <v>1118017035</v>
      </c>
      <c r="AA32">
        <v>777677002</v>
      </c>
      <c r="AB32">
        <v>777677002</v>
      </c>
    </row>
    <row r="33" spans="1:28" x14ac:dyDescent="0.2">
      <c r="A33">
        <v>20</v>
      </c>
      <c r="B33">
        <v>22</v>
      </c>
      <c r="C33">
        <v>2</v>
      </c>
      <c r="D33">
        <v>0</v>
      </c>
      <c r="E33">
        <f>SmtRes!AV22</f>
        <v>0</v>
      </c>
      <c r="F33" t="str">
        <f>SmtRes!I22</f>
        <v>22.1-6-61</v>
      </c>
      <c r="G33" t="str">
        <f>SmtRes!K22</f>
        <v>Мешалки тихоходные (дрель с насадкой)</v>
      </c>
      <c r="H33" t="str">
        <f>SmtRes!O22</f>
        <v>маш.-ч</v>
      </c>
      <c r="I33">
        <f>SmtRes!Y22*Source!I31</f>
        <v>0.16800000000000001</v>
      </c>
      <c r="J33">
        <f>SmtRes!AO22</f>
        <v>1</v>
      </c>
      <c r="K33">
        <f>SmtRes!AF22</f>
        <v>9.1</v>
      </c>
      <c r="L33">
        <f>SmtRes!DB22</f>
        <v>1.46</v>
      </c>
      <c r="M33">
        <f>ROUND(ROUND(L33*Source!I31, 6)*1, 2)</f>
        <v>1.53</v>
      </c>
      <c r="N33">
        <f>SmtRes!AB22</f>
        <v>9.1</v>
      </c>
      <c r="O33">
        <f>ROUND(ROUND(L33*Source!I31, 6)*SmtRes!DA22, 2)</f>
        <v>1.53</v>
      </c>
      <c r="P33">
        <f>SmtRes!AG22</f>
        <v>0.13</v>
      </c>
      <c r="Q33">
        <f>SmtRes!DC22</f>
        <v>0.02</v>
      </c>
      <c r="R33">
        <f>ROUND(ROUND(Q33*Source!I31, 6)*1, 2)</f>
        <v>0.02</v>
      </c>
      <c r="S33">
        <f>SmtRes!AC22</f>
        <v>0.13</v>
      </c>
      <c r="T33">
        <f>ROUND(ROUND(Q33*Source!I31, 6)*SmtRes!AK22, 2)</f>
        <v>0.02</v>
      </c>
      <c r="U33">
        <v>2</v>
      </c>
      <c r="Z33">
        <f>SmtRes!X22</f>
        <v>-1299851871</v>
      </c>
      <c r="AA33">
        <v>-1634268727</v>
      </c>
      <c r="AB33">
        <v>-1634268727</v>
      </c>
    </row>
    <row r="34" spans="1:28" x14ac:dyDescent="0.2">
      <c r="A34">
        <f>Source!A63</f>
        <v>4</v>
      </c>
      <c r="B34">
        <v>63</v>
      </c>
      <c r="G34" t="str">
        <f>Source!G63</f>
        <v>Кровля (козырек)</v>
      </c>
    </row>
    <row r="35" spans="1:28" x14ac:dyDescent="0.2">
      <c r="A35">
        <v>20</v>
      </c>
      <c r="B35">
        <v>36</v>
      </c>
      <c r="C35">
        <v>2</v>
      </c>
      <c r="D35">
        <v>0</v>
      </c>
      <c r="E35">
        <f>SmtRes!AV36</f>
        <v>0</v>
      </c>
      <c r="F35" t="str">
        <f>SmtRes!I36</f>
        <v>22.1-30-54</v>
      </c>
      <c r="G35" t="str">
        <f>SmtRes!K36</f>
        <v>Молотки отбойные</v>
      </c>
      <c r="H35" t="str">
        <f>SmtRes!O36</f>
        <v>маш.-ч</v>
      </c>
      <c r="I35">
        <f>SmtRes!Y36*Source!I68</f>
        <v>1.56</v>
      </c>
      <c r="J35">
        <f>SmtRes!AO36</f>
        <v>1</v>
      </c>
      <c r="K35">
        <f>SmtRes!AF36</f>
        <v>6.09</v>
      </c>
      <c r="L35">
        <f>SmtRes!DB36</f>
        <v>63.34</v>
      </c>
      <c r="M35">
        <f>ROUND(ROUND(L35*Source!I68, 6)*1, 2)</f>
        <v>9.5</v>
      </c>
      <c r="N35">
        <f>SmtRes!AB36</f>
        <v>6.09</v>
      </c>
      <c r="O35">
        <f>ROUND(ROUND(L35*Source!I68, 6)*SmtRes!DA36, 2)</f>
        <v>9.5</v>
      </c>
      <c r="P35">
        <f>SmtRes!AG36</f>
        <v>0.02</v>
      </c>
      <c r="Q35">
        <f>SmtRes!DC36</f>
        <v>0.21</v>
      </c>
      <c r="R35">
        <f>ROUND(ROUND(Q35*Source!I68, 6)*1, 2)</f>
        <v>0.03</v>
      </c>
      <c r="S35">
        <f>SmtRes!AC36</f>
        <v>0.02</v>
      </c>
      <c r="T35">
        <f>ROUND(ROUND(Q35*Source!I68, 6)*SmtRes!AK36, 2)</f>
        <v>0.03</v>
      </c>
      <c r="U35">
        <v>2</v>
      </c>
      <c r="Z35">
        <f>SmtRes!X36</f>
        <v>-1540904251</v>
      </c>
      <c r="AA35">
        <v>-1168705288</v>
      </c>
      <c r="AB35">
        <v>-1168705288</v>
      </c>
    </row>
    <row r="36" spans="1:28" x14ac:dyDescent="0.2">
      <c r="A36">
        <v>20</v>
      </c>
      <c r="B36">
        <v>35</v>
      </c>
      <c r="C36">
        <v>2</v>
      </c>
      <c r="D36">
        <v>0</v>
      </c>
      <c r="E36">
        <f>SmtRes!AV35</f>
        <v>0</v>
      </c>
      <c r="F36" t="str">
        <f>SmtRes!I35</f>
        <v>22.1-10-19</v>
      </c>
      <c r="G36" t="str">
        <f>SmtRes!K35</f>
        <v>Компрессоры поршневые, объем ресивера 24 л</v>
      </c>
      <c r="H36" t="str">
        <f>SmtRes!O35</f>
        <v>маш.-ч</v>
      </c>
      <c r="I36">
        <f>SmtRes!Y35*Source!I68</f>
        <v>1.56</v>
      </c>
      <c r="J36">
        <f>SmtRes!AO35</f>
        <v>1</v>
      </c>
      <c r="K36">
        <f>SmtRes!AF35</f>
        <v>12.14</v>
      </c>
      <c r="L36">
        <f>SmtRes!DB35</f>
        <v>126.26</v>
      </c>
      <c r="M36">
        <f>ROUND(ROUND(L36*Source!I68, 6)*1, 2)</f>
        <v>18.940000000000001</v>
      </c>
      <c r="N36">
        <f>SmtRes!AB35</f>
        <v>12.14</v>
      </c>
      <c r="O36">
        <f>ROUND(ROUND(L36*Source!I68, 6)*SmtRes!DA35, 2)</f>
        <v>18.940000000000001</v>
      </c>
      <c r="P36">
        <f>SmtRes!AG35</f>
        <v>7.0000000000000007E-2</v>
      </c>
      <c r="Q36">
        <f>SmtRes!DC35</f>
        <v>0.73</v>
      </c>
      <c r="R36">
        <f>ROUND(ROUND(Q36*Source!I68, 6)*1, 2)</f>
        <v>0.11</v>
      </c>
      <c r="S36">
        <f>SmtRes!AC35</f>
        <v>7.0000000000000007E-2</v>
      </c>
      <c r="T36">
        <f>ROUND(ROUND(Q36*Source!I68, 6)*SmtRes!AK35, 2)</f>
        <v>0.11</v>
      </c>
      <c r="U36">
        <v>2</v>
      </c>
      <c r="Z36">
        <f>SmtRes!X35</f>
        <v>-1581238339</v>
      </c>
      <c r="AA36">
        <v>-74732272</v>
      </c>
      <c r="AB36">
        <v>-74732272</v>
      </c>
    </row>
    <row r="37" spans="1:28" x14ac:dyDescent="0.2">
      <c r="A37">
        <v>20</v>
      </c>
      <c r="B37">
        <v>41</v>
      </c>
      <c r="C37">
        <v>3</v>
      </c>
      <c r="D37">
        <v>0</v>
      </c>
      <c r="E37">
        <f>SmtRes!AV41</f>
        <v>0</v>
      </c>
      <c r="F37" t="str">
        <f>SmtRes!I41</f>
        <v>21.3-2-13</v>
      </c>
      <c r="G37" t="str">
        <f>SmtRes!K41</f>
        <v>Растворы цементные, марка 50</v>
      </c>
      <c r="H37" t="str">
        <f>SmtRes!O41</f>
        <v>м3</v>
      </c>
      <c r="I37">
        <f>SmtRes!Y41*Source!I69</f>
        <v>0.22949999999999998</v>
      </c>
      <c r="J37">
        <f>SmtRes!AO41</f>
        <v>1</v>
      </c>
      <c r="K37">
        <f>SmtRes!AE41</f>
        <v>5192.1099999999997</v>
      </c>
      <c r="L37">
        <f>SmtRes!DB41</f>
        <v>7943.93</v>
      </c>
      <c r="M37">
        <f>ROUND(ROUND(L37*Source!I69, 6)*1, 2)</f>
        <v>1191.5899999999999</v>
      </c>
      <c r="N37">
        <f>SmtRes!AA41</f>
        <v>5192.1099999999997</v>
      </c>
      <c r="O37">
        <f>ROUND(ROUND(L37*Source!I69, 6)*SmtRes!DA41, 2)</f>
        <v>1191.5899999999999</v>
      </c>
      <c r="P37">
        <f>SmtRes!AG41</f>
        <v>0</v>
      </c>
      <c r="Q37">
        <f>SmtRes!DC41</f>
        <v>0</v>
      </c>
      <c r="R37">
        <f>ROUND(ROUND(Q37*Source!I69, 6)*1, 2)</f>
        <v>0</v>
      </c>
      <c r="S37">
        <f>SmtRes!AC41</f>
        <v>0</v>
      </c>
      <c r="T37">
        <f>ROUND(ROUND(Q37*Source!I69, 6)*SmtRes!AK41, 2)</f>
        <v>0</v>
      </c>
      <c r="U37">
        <v>3</v>
      </c>
      <c r="Z37">
        <f>SmtRes!X41</f>
        <v>2035258603</v>
      </c>
      <c r="AA37">
        <v>846629835</v>
      </c>
      <c r="AB37">
        <v>846629835</v>
      </c>
    </row>
    <row r="38" spans="1:28" x14ac:dyDescent="0.2">
      <c r="A38">
        <v>20</v>
      </c>
      <c r="B38">
        <v>40</v>
      </c>
      <c r="C38">
        <v>3</v>
      </c>
      <c r="D38">
        <v>0</v>
      </c>
      <c r="E38">
        <f>SmtRes!AV40</f>
        <v>0</v>
      </c>
      <c r="F38" t="str">
        <f>SmtRes!I40</f>
        <v>21.1-25-13</v>
      </c>
      <c r="G38" t="str">
        <f>SmtRes!K40</f>
        <v>Вода</v>
      </c>
      <c r="H38" t="str">
        <f>SmtRes!O40</f>
        <v>м3</v>
      </c>
      <c r="I38">
        <f>SmtRes!Y40*Source!I69</f>
        <v>0.57750000000000001</v>
      </c>
      <c r="J38">
        <f>SmtRes!AO40</f>
        <v>1</v>
      </c>
      <c r="K38">
        <f>SmtRes!AE40</f>
        <v>49.83</v>
      </c>
      <c r="L38">
        <f>SmtRes!DB40</f>
        <v>191.85</v>
      </c>
      <c r="M38">
        <f>ROUND(ROUND(L38*Source!I69, 6)*1, 2)</f>
        <v>28.78</v>
      </c>
      <c r="N38">
        <f>SmtRes!AA40</f>
        <v>49.83</v>
      </c>
      <c r="O38">
        <f>ROUND(ROUND(L38*Source!I69, 6)*SmtRes!DA40, 2)</f>
        <v>28.78</v>
      </c>
      <c r="P38">
        <f>SmtRes!AG40</f>
        <v>0</v>
      </c>
      <c r="Q38">
        <f>SmtRes!DC40</f>
        <v>0</v>
      </c>
      <c r="R38">
        <f>ROUND(ROUND(Q38*Source!I69, 6)*1, 2)</f>
        <v>0</v>
      </c>
      <c r="S38">
        <f>SmtRes!AC40</f>
        <v>0</v>
      </c>
      <c r="T38">
        <f>ROUND(ROUND(Q38*Source!I69, 6)*SmtRes!AK40, 2)</f>
        <v>0</v>
      </c>
      <c r="U38">
        <v>3</v>
      </c>
      <c r="Z38">
        <f>SmtRes!X40</f>
        <v>973433911</v>
      </c>
      <c r="AA38">
        <v>1405492101</v>
      </c>
      <c r="AB38">
        <v>1405492101</v>
      </c>
    </row>
    <row r="39" spans="1:28" x14ac:dyDescent="0.2">
      <c r="A39">
        <v>20</v>
      </c>
      <c r="B39">
        <v>39</v>
      </c>
      <c r="C39">
        <v>2</v>
      </c>
      <c r="D39">
        <v>0</v>
      </c>
      <c r="E39">
        <f>SmtRes!AV39</f>
        <v>0</v>
      </c>
      <c r="F39" t="str">
        <f>SmtRes!I39</f>
        <v>22.1-11-27</v>
      </c>
      <c r="G39" t="str">
        <f>SmtRes!K39</f>
        <v>Агрегаты электронасосные, производительность до 7,2 м3/ч</v>
      </c>
      <c r="H39" t="str">
        <f>SmtRes!O39</f>
        <v>маш.-ч</v>
      </c>
      <c r="I39">
        <f>SmtRes!Y39*Source!I69</f>
        <v>0.42899999999999999</v>
      </c>
      <c r="J39">
        <f>SmtRes!AO39</f>
        <v>1</v>
      </c>
      <c r="K39">
        <f>SmtRes!AF39</f>
        <v>135.65</v>
      </c>
      <c r="L39">
        <f>SmtRes!DB39</f>
        <v>387.96</v>
      </c>
      <c r="M39">
        <f>ROUND(ROUND(L39*Source!I69, 6)*1, 2)</f>
        <v>58.19</v>
      </c>
      <c r="N39">
        <f>SmtRes!AB39</f>
        <v>135.65</v>
      </c>
      <c r="O39">
        <f>ROUND(ROUND(L39*Source!I69, 6)*SmtRes!DA39, 2)</f>
        <v>58.19</v>
      </c>
      <c r="P39">
        <f>SmtRes!AG39</f>
        <v>33.54</v>
      </c>
      <c r="Q39">
        <f>SmtRes!DC39</f>
        <v>95.92</v>
      </c>
      <c r="R39">
        <f>ROUND(ROUND(Q39*Source!I69, 6)*1, 2)</f>
        <v>14.39</v>
      </c>
      <c r="S39">
        <f>SmtRes!AC39</f>
        <v>33.54</v>
      </c>
      <c r="T39">
        <f>ROUND(ROUND(Q39*Source!I69, 6)*SmtRes!AK39, 2)</f>
        <v>14.39</v>
      </c>
      <c r="U39">
        <v>2</v>
      </c>
      <c r="Z39">
        <f>SmtRes!X39</f>
        <v>630374746</v>
      </c>
      <c r="AA39">
        <v>-3874260</v>
      </c>
      <c r="AB39">
        <v>-3874260</v>
      </c>
    </row>
    <row r="40" spans="1:28" x14ac:dyDescent="0.2">
      <c r="A40">
        <v>20</v>
      </c>
      <c r="B40">
        <v>43</v>
      </c>
      <c r="C40">
        <v>3</v>
      </c>
      <c r="D40">
        <v>0</v>
      </c>
      <c r="E40">
        <f>SmtRes!AV43</f>
        <v>0</v>
      </c>
      <c r="F40" t="str">
        <f>SmtRes!I43</f>
        <v>21.3-2-13</v>
      </c>
      <c r="G40" t="str">
        <f>SmtRes!K43</f>
        <v>Растворы цементные, марка 50</v>
      </c>
      <c r="H40" t="str">
        <f>SmtRes!O43</f>
        <v>м3</v>
      </c>
      <c r="I40">
        <f>SmtRes!Y43*Source!I70</f>
        <v>0.22949999999999995</v>
      </c>
      <c r="J40">
        <f>SmtRes!AO43</f>
        <v>1</v>
      </c>
      <c r="K40">
        <f>SmtRes!AE43</f>
        <v>5192.1099999999997</v>
      </c>
      <c r="L40">
        <f>SmtRes!DB43</f>
        <v>7944</v>
      </c>
      <c r="M40">
        <f>ROUND(ROUND(L40*Source!I70, 6)*1, 2)</f>
        <v>1191.5999999999999</v>
      </c>
      <c r="N40">
        <f>SmtRes!AA43</f>
        <v>5192.1099999999997</v>
      </c>
      <c r="O40">
        <f>ROUND(ROUND(L40*Source!I70, 6)*SmtRes!DA43, 2)</f>
        <v>1191.5999999999999</v>
      </c>
      <c r="P40">
        <f>SmtRes!AG43</f>
        <v>0</v>
      </c>
      <c r="Q40">
        <f>SmtRes!DC43</f>
        <v>0</v>
      </c>
      <c r="R40">
        <f>ROUND(ROUND(Q40*Source!I70, 6)*1, 2)</f>
        <v>0</v>
      </c>
      <c r="S40">
        <f>SmtRes!AC43</f>
        <v>0</v>
      </c>
      <c r="T40">
        <f>ROUND(ROUND(Q40*Source!I70, 6)*SmtRes!AK43, 2)</f>
        <v>0</v>
      </c>
      <c r="U40">
        <v>3</v>
      </c>
      <c r="Z40">
        <f>SmtRes!X43</f>
        <v>2035258603</v>
      </c>
      <c r="AA40">
        <v>846629835</v>
      </c>
      <c r="AB40">
        <v>846629835</v>
      </c>
    </row>
    <row r="41" spans="1:28" x14ac:dyDescent="0.2">
      <c r="A41">
        <v>20</v>
      </c>
      <c r="B41">
        <v>52</v>
      </c>
      <c r="C41">
        <v>3</v>
      </c>
      <c r="D41">
        <v>0</v>
      </c>
      <c r="E41">
        <f>SmtRes!AV52</f>
        <v>0</v>
      </c>
      <c r="F41" t="str">
        <f>SmtRes!I52</f>
        <v>21.1-4-32</v>
      </c>
      <c r="G41" t="str">
        <f>SmtRes!K52</f>
        <v>Пропан-бутан, сжиженный газ</v>
      </c>
      <c r="H41" t="str">
        <f>SmtRes!O52</f>
        <v>кг</v>
      </c>
      <c r="I41">
        <f>SmtRes!Y52*Source!I71</f>
        <v>3.45</v>
      </c>
      <c r="J41">
        <f>SmtRes!AO52</f>
        <v>1</v>
      </c>
      <c r="K41">
        <f>SmtRes!AE52</f>
        <v>68.540000000000006</v>
      </c>
      <c r="L41">
        <f>SmtRes!DB52</f>
        <v>472.93</v>
      </c>
      <c r="M41">
        <f>ROUND(ROUND(L41*Source!I71, 6)*1, 2)</f>
        <v>236.47</v>
      </c>
      <c r="N41">
        <f>SmtRes!AA52</f>
        <v>68.540000000000006</v>
      </c>
      <c r="O41">
        <f>ROUND(ROUND(L41*Source!I71, 6)*SmtRes!DA52, 2)</f>
        <v>236.47</v>
      </c>
      <c r="P41">
        <f>SmtRes!AG52</f>
        <v>0</v>
      </c>
      <c r="Q41">
        <f>SmtRes!DC52</f>
        <v>0</v>
      </c>
      <c r="R41">
        <f>ROUND(ROUND(Q41*Source!I71, 6)*1, 2)</f>
        <v>0</v>
      </c>
      <c r="S41">
        <f>SmtRes!AC52</f>
        <v>0</v>
      </c>
      <c r="T41">
        <f>ROUND(ROUND(Q41*Source!I71, 6)*SmtRes!AK52, 2)</f>
        <v>0</v>
      </c>
      <c r="U41">
        <v>3</v>
      </c>
      <c r="Z41">
        <f>SmtRes!X52</f>
        <v>-1105174393</v>
      </c>
      <c r="AA41">
        <v>-1642556842</v>
      </c>
      <c r="AB41">
        <v>-1642556842</v>
      </c>
    </row>
    <row r="42" spans="1:28" x14ac:dyDescent="0.2">
      <c r="A42">
        <v>20</v>
      </c>
      <c r="B42">
        <v>51</v>
      </c>
      <c r="C42">
        <v>3</v>
      </c>
      <c r="D42">
        <v>0</v>
      </c>
      <c r="E42">
        <f>SmtRes!AV51</f>
        <v>0</v>
      </c>
      <c r="F42" t="str">
        <f>SmtRes!I51</f>
        <v>21.1-3-50</v>
      </c>
      <c r="G42" t="str">
        <f>SmtRes!K51</f>
        <v>Материал рулонный кровельный, Филизол, марка "Н"</v>
      </c>
      <c r="H42" t="str">
        <f>SmtRes!O51</f>
        <v>м2</v>
      </c>
      <c r="I42">
        <f>SmtRes!Y51*Source!I71</f>
        <v>66.150000000000006</v>
      </c>
      <c r="J42">
        <f>SmtRes!AO51</f>
        <v>1</v>
      </c>
      <c r="K42">
        <f>SmtRes!AE51</f>
        <v>302.27999999999997</v>
      </c>
      <c r="L42">
        <f>SmtRes!DB51</f>
        <v>39991.64</v>
      </c>
      <c r="M42">
        <f>ROUND(ROUND(L42*Source!I71, 6)*1, 2)</f>
        <v>19995.82</v>
      </c>
      <c r="N42">
        <f>SmtRes!AA51</f>
        <v>302.27999999999997</v>
      </c>
      <c r="O42">
        <f>ROUND(ROUND(L42*Source!I71, 6)*SmtRes!DA51, 2)</f>
        <v>19995.82</v>
      </c>
      <c r="P42">
        <f>SmtRes!AG51</f>
        <v>0</v>
      </c>
      <c r="Q42">
        <f>SmtRes!DC51</f>
        <v>0</v>
      </c>
      <c r="R42">
        <f>ROUND(ROUND(Q42*Source!I71, 6)*1, 2)</f>
        <v>0</v>
      </c>
      <c r="S42">
        <f>SmtRes!AC51</f>
        <v>0</v>
      </c>
      <c r="T42">
        <f>ROUND(ROUND(Q42*Source!I71, 6)*SmtRes!AK51, 2)</f>
        <v>0</v>
      </c>
      <c r="U42">
        <v>3</v>
      </c>
      <c r="Z42">
        <f>SmtRes!X51</f>
        <v>-616504056</v>
      </c>
      <c r="AA42">
        <v>-1285852207</v>
      </c>
      <c r="AB42">
        <v>-1285852207</v>
      </c>
    </row>
    <row r="43" spans="1:28" x14ac:dyDescent="0.2">
      <c r="A43">
        <v>20</v>
      </c>
      <c r="B43">
        <v>50</v>
      </c>
      <c r="C43">
        <v>3</v>
      </c>
      <c r="D43">
        <v>0</v>
      </c>
      <c r="E43">
        <f>SmtRes!AV50</f>
        <v>0</v>
      </c>
      <c r="F43" t="str">
        <f>SmtRes!I50</f>
        <v>21.1-3-49</v>
      </c>
      <c r="G43" t="str">
        <f>SmtRes!K50</f>
        <v>Материал рулонный кровельный, Филизол, марка "В"</v>
      </c>
      <c r="H43" t="str">
        <f>SmtRes!O50</f>
        <v>м2</v>
      </c>
      <c r="I43">
        <f>SmtRes!Y50*Source!I71</f>
        <v>67.5</v>
      </c>
      <c r="J43">
        <f>SmtRes!AO50</f>
        <v>1</v>
      </c>
      <c r="K43">
        <f>SmtRes!AE50</f>
        <v>315.89</v>
      </c>
      <c r="L43">
        <f>SmtRes!DB50</f>
        <v>42645.15</v>
      </c>
      <c r="M43">
        <f>ROUND(ROUND(L43*Source!I71, 6)*1, 2)</f>
        <v>21322.58</v>
      </c>
      <c r="N43">
        <f>SmtRes!AA50</f>
        <v>315.89</v>
      </c>
      <c r="O43">
        <f>ROUND(ROUND(L43*Source!I71, 6)*SmtRes!DA50, 2)</f>
        <v>21322.58</v>
      </c>
      <c r="P43">
        <f>SmtRes!AG50</f>
        <v>0</v>
      </c>
      <c r="Q43">
        <f>SmtRes!DC50</f>
        <v>0</v>
      </c>
      <c r="R43">
        <f>ROUND(ROUND(Q43*Source!I71, 6)*1, 2)</f>
        <v>0</v>
      </c>
      <c r="S43">
        <f>SmtRes!AC50</f>
        <v>0</v>
      </c>
      <c r="T43">
        <f>ROUND(ROUND(Q43*Source!I71, 6)*SmtRes!AK50, 2)</f>
        <v>0</v>
      </c>
      <c r="U43">
        <v>3</v>
      </c>
      <c r="Z43">
        <f>SmtRes!X50</f>
        <v>1660649221</v>
      </c>
      <c r="AA43">
        <v>-2028944508</v>
      </c>
      <c r="AB43">
        <v>-2028944508</v>
      </c>
    </row>
    <row r="44" spans="1:28" x14ac:dyDescent="0.2">
      <c r="A44">
        <v>20</v>
      </c>
      <c r="B44">
        <v>49</v>
      </c>
      <c r="C44">
        <v>3</v>
      </c>
      <c r="D44">
        <v>0</v>
      </c>
      <c r="E44">
        <f>SmtRes!AV49</f>
        <v>0</v>
      </c>
      <c r="F44" t="str">
        <f>SmtRes!I49</f>
        <v>21.1-1-18</v>
      </c>
      <c r="G44" t="str">
        <f>SmtRes!K49</f>
        <v>Мастика герметизирующая нетвердеющая, строительная, битумно-атактическая, антикоррозийная</v>
      </c>
      <c r="H44" t="str">
        <f>SmtRes!O49</f>
        <v>т</v>
      </c>
      <c r="I44">
        <f>SmtRes!Y49*Source!I71</f>
        <v>1.7500000000000002E-2</v>
      </c>
      <c r="J44">
        <f>SmtRes!AO49</f>
        <v>1</v>
      </c>
      <c r="K44">
        <f>SmtRes!AE49</f>
        <v>129600.01</v>
      </c>
      <c r="L44">
        <f>SmtRes!DB49</f>
        <v>4536</v>
      </c>
      <c r="M44">
        <f>ROUND(ROUND(L44*Source!I71, 6)*1, 2)</f>
        <v>2268</v>
      </c>
      <c r="N44">
        <f>SmtRes!AA49</f>
        <v>129600.01</v>
      </c>
      <c r="O44">
        <f>ROUND(ROUND(L44*Source!I71, 6)*SmtRes!DA49, 2)</f>
        <v>2268</v>
      </c>
      <c r="P44">
        <f>SmtRes!AG49</f>
        <v>0</v>
      </c>
      <c r="Q44">
        <f>SmtRes!DC49</f>
        <v>0</v>
      </c>
      <c r="R44">
        <f>ROUND(ROUND(Q44*Source!I71, 6)*1, 2)</f>
        <v>0</v>
      </c>
      <c r="S44">
        <f>SmtRes!AC49</f>
        <v>0</v>
      </c>
      <c r="T44">
        <f>ROUND(ROUND(Q44*Source!I71, 6)*SmtRes!AK49, 2)</f>
        <v>0</v>
      </c>
      <c r="U44">
        <v>3</v>
      </c>
      <c r="Z44">
        <f>SmtRes!X49</f>
        <v>445982593</v>
      </c>
      <c r="AA44">
        <v>1562852853</v>
      </c>
      <c r="AB44">
        <v>1562852853</v>
      </c>
    </row>
    <row r="45" spans="1:28" x14ac:dyDescent="0.2">
      <c r="A45">
        <v>20</v>
      </c>
      <c r="B45">
        <v>48</v>
      </c>
      <c r="C45">
        <v>2</v>
      </c>
      <c r="D45">
        <v>0</v>
      </c>
      <c r="E45">
        <f>SmtRes!AV48</f>
        <v>0</v>
      </c>
      <c r="F45" t="str">
        <f>SmtRes!I48</f>
        <v>22.1-17-23</v>
      </c>
      <c r="G45" t="str">
        <f>SmtRes!K48</f>
        <v>Газовые горелки</v>
      </c>
      <c r="H45" t="str">
        <f>SmtRes!O48</f>
        <v>маш.-ч</v>
      </c>
      <c r="I45">
        <f>SmtRes!Y48*Source!I71</f>
        <v>7.49</v>
      </c>
      <c r="J45">
        <f>SmtRes!AO48</f>
        <v>1</v>
      </c>
      <c r="K45">
        <f>SmtRes!AF48</f>
        <v>9.56</v>
      </c>
      <c r="L45">
        <f>SmtRes!DB48</f>
        <v>143.21</v>
      </c>
      <c r="M45">
        <f>ROUND(ROUND(L45*Source!I71, 6)*1, 2)</f>
        <v>71.61</v>
      </c>
      <c r="N45">
        <f>SmtRes!AB48</f>
        <v>9.56</v>
      </c>
      <c r="O45">
        <f>ROUND(ROUND(L45*Source!I71, 6)*SmtRes!DA48, 2)</f>
        <v>71.61</v>
      </c>
      <c r="P45">
        <f>SmtRes!AG48</f>
        <v>5.82</v>
      </c>
      <c r="Q45">
        <f>SmtRes!DC48</f>
        <v>87.18</v>
      </c>
      <c r="R45">
        <f>ROUND(ROUND(Q45*Source!I71, 6)*1, 2)</f>
        <v>43.59</v>
      </c>
      <c r="S45">
        <f>SmtRes!AC48</f>
        <v>5.82</v>
      </c>
      <c r="T45">
        <f>ROUND(ROUND(Q45*Source!I71, 6)*SmtRes!AK48, 2)</f>
        <v>43.59</v>
      </c>
      <c r="U45">
        <v>2</v>
      </c>
      <c r="Z45">
        <f>SmtRes!X48</f>
        <v>-983302307</v>
      </c>
      <c r="AA45">
        <v>932182157</v>
      </c>
      <c r="AB45">
        <v>932182157</v>
      </c>
    </row>
    <row r="46" spans="1:28" x14ac:dyDescent="0.2">
      <c r="A46">
        <v>20</v>
      </c>
      <c r="B46">
        <v>47</v>
      </c>
      <c r="C46">
        <v>2</v>
      </c>
      <c r="D46">
        <v>0</v>
      </c>
      <c r="E46">
        <f>SmtRes!AV47</f>
        <v>0</v>
      </c>
      <c r="F46" t="str">
        <f>SmtRes!I47</f>
        <v>22.1-17-22</v>
      </c>
      <c r="G46" t="str">
        <f>SmtRes!K47</f>
        <v>Агрегаты "Пламя"</v>
      </c>
      <c r="H46" t="str">
        <f>SmtRes!O47</f>
        <v>маш.-ч</v>
      </c>
      <c r="I46">
        <f>SmtRes!Y47*Source!I71</f>
        <v>1.81</v>
      </c>
      <c r="J46">
        <f>SmtRes!AO47</f>
        <v>1</v>
      </c>
      <c r="K46">
        <f>SmtRes!AF47</f>
        <v>76.53</v>
      </c>
      <c r="L46">
        <f>SmtRes!DB47</f>
        <v>277.04000000000002</v>
      </c>
      <c r="M46">
        <f>ROUND(ROUND(L46*Source!I71, 6)*1, 2)</f>
        <v>138.52000000000001</v>
      </c>
      <c r="N46">
        <f>SmtRes!AB47</f>
        <v>76.53</v>
      </c>
      <c r="O46">
        <f>ROUND(ROUND(L46*Source!I71, 6)*SmtRes!DA47, 2)</f>
        <v>138.52000000000001</v>
      </c>
      <c r="P46">
        <f>SmtRes!AG47</f>
        <v>0.12</v>
      </c>
      <c r="Q46">
        <f>SmtRes!DC47</f>
        <v>0.43</v>
      </c>
      <c r="R46">
        <f>ROUND(ROUND(Q46*Source!I71, 6)*1, 2)</f>
        <v>0.22</v>
      </c>
      <c r="S46">
        <f>SmtRes!AC47</f>
        <v>0.12</v>
      </c>
      <c r="T46">
        <f>ROUND(ROUND(Q46*Source!I71, 6)*SmtRes!AK47, 2)</f>
        <v>0.22</v>
      </c>
      <c r="U46">
        <v>2</v>
      </c>
      <c r="Z46">
        <f>SmtRes!X47</f>
        <v>1548580198</v>
      </c>
      <c r="AA46">
        <v>-299720598</v>
      </c>
      <c r="AB46">
        <v>-299720598</v>
      </c>
    </row>
    <row r="47" spans="1:28" x14ac:dyDescent="0.2">
      <c r="A47">
        <v>20</v>
      </c>
      <c r="B47">
        <v>46</v>
      </c>
      <c r="C47">
        <v>2</v>
      </c>
      <c r="D47">
        <v>0</v>
      </c>
      <c r="E47">
        <f>SmtRes!AV46</f>
        <v>0</v>
      </c>
      <c r="F47" t="str">
        <f>SmtRes!I46</f>
        <v>22.1-14-13</v>
      </c>
      <c r="G47" t="str">
        <f>SmtRes!K46</f>
        <v>Пылесосы, потребляемая мощность 350-1200 Вт</v>
      </c>
      <c r="H47" t="str">
        <f>SmtRes!O46</f>
        <v>маш.-ч</v>
      </c>
      <c r="I47">
        <f>SmtRes!Y46*Source!I71</f>
        <v>2.2599999999999998</v>
      </c>
      <c r="J47">
        <f>SmtRes!AO46</f>
        <v>1</v>
      </c>
      <c r="K47">
        <f>SmtRes!AF46</f>
        <v>56.19</v>
      </c>
      <c r="L47">
        <f>SmtRes!DB46</f>
        <v>253.98</v>
      </c>
      <c r="M47">
        <f>ROUND(ROUND(L47*Source!I71, 6)*1, 2)</f>
        <v>126.99</v>
      </c>
      <c r="N47">
        <f>SmtRes!AB46</f>
        <v>56.19</v>
      </c>
      <c r="O47">
        <f>ROUND(ROUND(L47*Source!I71, 6)*SmtRes!DA46, 2)</f>
        <v>126.99</v>
      </c>
      <c r="P47">
        <f>SmtRes!AG46</f>
        <v>0.31</v>
      </c>
      <c r="Q47">
        <f>SmtRes!DC46</f>
        <v>1.4</v>
      </c>
      <c r="R47">
        <f>ROUND(ROUND(Q47*Source!I71, 6)*1, 2)</f>
        <v>0.7</v>
      </c>
      <c r="S47">
        <f>SmtRes!AC46</f>
        <v>0.31</v>
      </c>
      <c r="T47">
        <f>ROUND(ROUND(Q47*Source!I71, 6)*SmtRes!AK46, 2)</f>
        <v>0.7</v>
      </c>
      <c r="U47">
        <v>2</v>
      </c>
      <c r="Z47">
        <f>SmtRes!X46</f>
        <v>64700738</v>
      </c>
      <c r="AA47">
        <v>1115396703</v>
      </c>
      <c r="AB47">
        <v>1115396703</v>
      </c>
    </row>
    <row r="48" spans="1:28" x14ac:dyDescent="0.2">
      <c r="A48">
        <v>20</v>
      </c>
      <c r="B48">
        <v>45</v>
      </c>
      <c r="C48">
        <v>2</v>
      </c>
      <c r="D48">
        <v>0</v>
      </c>
      <c r="E48">
        <f>SmtRes!AV45</f>
        <v>0</v>
      </c>
      <c r="F48" t="str">
        <f>SmtRes!I45</f>
        <v>22.1-10-5</v>
      </c>
      <c r="G48" t="str">
        <f>SmtRes!K45</f>
        <v>Компрессоры с дизельным двигателем прицепные до 5 м3/мин</v>
      </c>
      <c r="H48" t="str">
        <f>SmtRes!O45</f>
        <v>маш.-ч</v>
      </c>
      <c r="I48">
        <f>SmtRes!Y45*Source!I71</f>
        <v>2.2599999999999998</v>
      </c>
      <c r="J48">
        <f>SmtRes!AO45</f>
        <v>1</v>
      </c>
      <c r="K48">
        <f>SmtRes!AF45</f>
        <v>1465.49</v>
      </c>
      <c r="L48">
        <f>SmtRes!DB45</f>
        <v>6624.01</v>
      </c>
      <c r="M48">
        <f>ROUND(ROUND(L48*Source!I71, 6)*1, 2)</f>
        <v>3312.01</v>
      </c>
      <c r="N48">
        <f>SmtRes!AB45</f>
        <v>1465.49</v>
      </c>
      <c r="O48">
        <f>ROUND(ROUND(L48*Source!I71, 6)*SmtRes!DA45, 2)</f>
        <v>3312.01</v>
      </c>
      <c r="P48">
        <f>SmtRes!AG45</f>
        <v>827.04</v>
      </c>
      <c r="Q48">
        <f>SmtRes!DC45</f>
        <v>3738.22</v>
      </c>
      <c r="R48">
        <f>ROUND(ROUND(Q48*Source!I71, 6)*1, 2)</f>
        <v>1869.11</v>
      </c>
      <c r="S48">
        <f>SmtRes!AC45</f>
        <v>827.04</v>
      </c>
      <c r="T48">
        <f>ROUND(ROUND(Q48*Source!I71, 6)*SmtRes!AK45, 2)</f>
        <v>1869.11</v>
      </c>
      <c r="U48">
        <v>2</v>
      </c>
      <c r="Z48">
        <f>SmtRes!X45</f>
        <v>-829216341</v>
      </c>
      <c r="AA48">
        <v>1126194205</v>
      </c>
      <c r="AB48">
        <v>1126194205</v>
      </c>
    </row>
    <row r="49" spans="1:28" x14ac:dyDescent="0.2">
      <c r="A49">
        <f>Source!A103</f>
        <v>4</v>
      </c>
      <c r="B49">
        <v>103</v>
      </c>
      <c r="G49" t="str">
        <f>Source!G103</f>
        <v>Мусор</v>
      </c>
    </row>
    <row r="50" spans="1:28" x14ac:dyDescent="0.2">
      <c r="A50">
        <v>20</v>
      </c>
      <c r="B50">
        <v>53</v>
      </c>
      <c r="C50">
        <v>2</v>
      </c>
      <c r="D50">
        <v>0</v>
      </c>
      <c r="E50">
        <f>SmtRes!AV53</f>
        <v>0</v>
      </c>
      <c r="F50" t="str">
        <f>SmtRes!I53</f>
        <v>22.1-1-5</v>
      </c>
      <c r="G50" t="str">
        <f>SmtRes!K53</f>
        <v>Экскаваторы на гусеничном ходу гидравлические, объем ковша до 0,65 м3</v>
      </c>
      <c r="H50" t="str">
        <f>SmtRes!O53</f>
        <v>маш.-ч</v>
      </c>
      <c r="I50">
        <f>SmtRes!Y53*Source!I107</f>
        <v>0.14552699999999999</v>
      </c>
      <c r="J50">
        <f>SmtRes!AO53</f>
        <v>1</v>
      </c>
      <c r="K50">
        <f>SmtRes!AF53</f>
        <v>2195.02</v>
      </c>
      <c r="L50">
        <f>SmtRes!DB53</f>
        <v>117.87</v>
      </c>
      <c r="M50">
        <f>ROUND(ROUND(L50*Source!I107, 6)*1, 2)</f>
        <v>319.43</v>
      </c>
      <c r="N50">
        <f>SmtRes!AB53</f>
        <v>2195.02</v>
      </c>
      <c r="O50">
        <f>ROUND(ROUND(L50*Source!I107, 6)*SmtRes!DA53, 2)</f>
        <v>319.43</v>
      </c>
      <c r="P50">
        <f>SmtRes!AG53</f>
        <v>940.44</v>
      </c>
      <c r="Q50">
        <f>SmtRes!DC53</f>
        <v>50.5</v>
      </c>
      <c r="R50">
        <f>ROUND(ROUND(Q50*Source!I107, 6)*1, 2)</f>
        <v>136.86000000000001</v>
      </c>
      <c r="S50">
        <f>SmtRes!AC53</f>
        <v>940.44</v>
      </c>
      <c r="T50">
        <f>ROUND(ROUND(Q50*Source!I107, 6)*SmtRes!AK53, 2)</f>
        <v>136.86000000000001</v>
      </c>
      <c r="U50">
        <v>2</v>
      </c>
      <c r="Z50">
        <f>SmtRes!X53</f>
        <v>-1415669716</v>
      </c>
      <c r="AA50">
        <v>-355280745</v>
      </c>
      <c r="AB50">
        <v>-355280745</v>
      </c>
    </row>
    <row r="51" spans="1:28" x14ac:dyDescent="0.2">
      <c r="A51">
        <v>20</v>
      </c>
      <c r="B51">
        <v>55</v>
      </c>
      <c r="C51">
        <v>2</v>
      </c>
      <c r="D51">
        <v>0</v>
      </c>
      <c r="E51">
        <f>SmtRes!AV55</f>
        <v>0</v>
      </c>
      <c r="F51" t="str">
        <f>SmtRes!I55</f>
        <v>22.1-18-13</v>
      </c>
      <c r="G51" t="str">
        <f>SmtRes!K55</f>
        <v>Автомобили-самосвалы, грузоподъемность до 10 т</v>
      </c>
      <c r="H51" t="str">
        <f>SmtRes!O55</f>
        <v>маш.-ч</v>
      </c>
      <c r="I51">
        <f>SmtRes!Y55*Source!I108</f>
        <v>4.8779999999999997E-2</v>
      </c>
      <c r="J51">
        <f>SmtRes!AO55</f>
        <v>1</v>
      </c>
      <c r="K51">
        <f>SmtRes!AF55</f>
        <v>1566.41</v>
      </c>
      <c r="L51">
        <f>SmtRes!DB55</f>
        <v>28.2</v>
      </c>
      <c r="M51">
        <f>ROUND(ROUND(L51*Source!I108, 6)*1, 2)</f>
        <v>76.42</v>
      </c>
      <c r="N51">
        <f>SmtRes!AB55</f>
        <v>1566.41</v>
      </c>
      <c r="O51">
        <f>ROUND(ROUND(L51*Source!I108, 6)*SmtRes!DA55, 2)</f>
        <v>76.42</v>
      </c>
      <c r="P51">
        <f>SmtRes!AG55</f>
        <v>619.79</v>
      </c>
      <c r="Q51">
        <f>SmtRes!DC55</f>
        <v>11.16</v>
      </c>
      <c r="R51">
        <f>ROUND(ROUND(Q51*Source!I108, 6)*1, 2)</f>
        <v>30.24</v>
      </c>
      <c r="S51">
        <f>SmtRes!AC55</f>
        <v>619.79</v>
      </c>
      <c r="T51">
        <f>ROUND(ROUND(Q51*Source!I108, 6)*SmtRes!AK55, 2)</f>
        <v>30.24</v>
      </c>
      <c r="U51">
        <v>2</v>
      </c>
      <c r="Z51">
        <f>SmtRes!X55</f>
        <v>822486257</v>
      </c>
      <c r="AA51">
        <v>1779266029</v>
      </c>
      <c r="AB51">
        <v>1779266029</v>
      </c>
    </row>
    <row r="52" spans="1:28" x14ac:dyDescent="0.2">
      <c r="A52">
        <v>20</v>
      </c>
      <c r="B52">
        <v>54</v>
      </c>
      <c r="C52">
        <v>2</v>
      </c>
      <c r="D52">
        <v>0</v>
      </c>
      <c r="E52">
        <f>SmtRes!AV54</f>
        <v>0</v>
      </c>
      <c r="F52" t="str">
        <f>SmtRes!I54</f>
        <v>22.1-18-12</v>
      </c>
      <c r="G52" t="str">
        <f>SmtRes!K54</f>
        <v>Автомобили-самосвалы, грузоподъемность до 7 т</v>
      </c>
      <c r="H52" t="str">
        <f>SmtRes!O54</f>
        <v>маш.-ч</v>
      </c>
      <c r="I52">
        <f>SmtRes!Y54*Source!I108</f>
        <v>5.4199999999999998E-2</v>
      </c>
      <c r="J52">
        <f>SmtRes!AO54</f>
        <v>1</v>
      </c>
      <c r="K52">
        <f>SmtRes!AF54</f>
        <v>1552.57</v>
      </c>
      <c r="L52">
        <f>SmtRes!DB54</f>
        <v>31.05</v>
      </c>
      <c r="M52">
        <f>ROUND(ROUND(L52*Source!I108, 6)*1, 2)</f>
        <v>84.15</v>
      </c>
      <c r="N52">
        <f>SmtRes!AB54</f>
        <v>1552.57</v>
      </c>
      <c r="O52">
        <f>ROUND(ROUND(L52*Source!I108, 6)*SmtRes!DA54, 2)</f>
        <v>84.15</v>
      </c>
      <c r="P52">
        <f>SmtRes!AG54</f>
        <v>619.16</v>
      </c>
      <c r="Q52">
        <f>SmtRes!DC54</f>
        <v>12.38</v>
      </c>
      <c r="R52">
        <f>ROUND(ROUND(Q52*Source!I108, 6)*1, 2)</f>
        <v>33.549999999999997</v>
      </c>
      <c r="S52">
        <f>SmtRes!AC54</f>
        <v>619.16</v>
      </c>
      <c r="T52">
        <f>ROUND(ROUND(Q52*Source!I108, 6)*SmtRes!AK54, 2)</f>
        <v>33.549999999999997</v>
      </c>
      <c r="U52">
        <v>2</v>
      </c>
      <c r="Z52">
        <f>SmtRes!X54</f>
        <v>9060937</v>
      </c>
      <c r="AA52">
        <v>406812087</v>
      </c>
      <c r="AB52">
        <v>406812087</v>
      </c>
    </row>
    <row r="53" spans="1:28" x14ac:dyDescent="0.2">
      <c r="A53">
        <v>20</v>
      </c>
      <c r="B53">
        <v>57</v>
      </c>
      <c r="C53">
        <v>2</v>
      </c>
      <c r="D53">
        <v>0</v>
      </c>
      <c r="E53">
        <f>SmtRes!AV57</f>
        <v>0</v>
      </c>
      <c r="F53" t="str">
        <f>SmtRes!I57</f>
        <v>22.1-18-13</v>
      </c>
      <c r="G53" t="str">
        <f>SmtRes!K57</f>
        <v>Автомобили-самосвалы, грузоподъемность до 10 т</v>
      </c>
      <c r="H53" t="str">
        <f>SmtRes!O57</f>
        <v>маш.-ч</v>
      </c>
      <c r="I53">
        <f>SmtRes!Y57*Source!I109</f>
        <v>1.04064</v>
      </c>
      <c r="J53">
        <f>SmtRes!AO57</f>
        <v>1</v>
      </c>
      <c r="K53">
        <f>SmtRes!AF57</f>
        <v>1566.41</v>
      </c>
      <c r="L53">
        <f>SmtRes!DB57</f>
        <v>601.44000000000005</v>
      </c>
      <c r="M53">
        <f>ROUND(ROUND(L53*Source!I109, 6)*1, 2)</f>
        <v>1629.9</v>
      </c>
      <c r="N53">
        <f>SmtRes!AB57</f>
        <v>1566.41</v>
      </c>
      <c r="O53">
        <f>ROUND(ROUND(L53*Source!I109, 6)*SmtRes!DA57, 2)</f>
        <v>1629.9</v>
      </c>
      <c r="P53">
        <f>SmtRes!AG57</f>
        <v>619.79</v>
      </c>
      <c r="Q53">
        <f>SmtRes!DC57</f>
        <v>238.08</v>
      </c>
      <c r="R53">
        <f>ROUND(ROUND(Q53*Source!I109, 6)*1, 2)</f>
        <v>645.20000000000005</v>
      </c>
      <c r="S53">
        <f>SmtRes!AC57</f>
        <v>619.79</v>
      </c>
      <c r="T53">
        <f>ROUND(ROUND(Q53*Source!I109, 6)*SmtRes!AK57, 2)</f>
        <v>645.20000000000005</v>
      </c>
      <c r="U53">
        <v>2</v>
      </c>
      <c r="Z53">
        <f>SmtRes!X57</f>
        <v>822486257</v>
      </c>
      <c r="AA53">
        <v>1779266029</v>
      </c>
      <c r="AB53">
        <v>1779266029</v>
      </c>
    </row>
    <row r="54" spans="1:28" x14ac:dyDescent="0.2">
      <c r="A54">
        <v>20</v>
      </c>
      <c r="B54">
        <v>56</v>
      </c>
      <c r="C54">
        <v>2</v>
      </c>
      <c r="D54">
        <v>0</v>
      </c>
      <c r="E54">
        <f>SmtRes!AV56</f>
        <v>0</v>
      </c>
      <c r="F54" t="str">
        <f>SmtRes!I56</f>
        <v>22.1-18-12</v>
      </c>
      <c r="G54" t="str">
        <f>SmtRes!K56</f>
        <v>Автомобили-самосвалы, грузоподъемность до 7 т</v>
      </c>
      <c r="H54" t="str">
        <f>SmtRes!O56</f>
        <v>маш.-ч</v>
      </c>
      <c r="I54">
        <f>SmtRes!Y56*Source!I109</f>
        <v>1.3008</v>
      </c>
      <c r="J54">
        <f>SmtRes!AO56</f>
        <v>1</v>
      </c>
      <c r="K54">
        <f>SmtRes!AF56</f>
        <v>1552.57</v>
      </c>
      <c r="L54">
        <f>SmtRes!DB56</f>
        <v>745.44</v>
      </c>
      <c r="M54">
        <f>ROUND(ROUND(L54*Source!I109, 6)*1, 2)</f>
        <v>2020.14</v>
      </c>
      <c r="N54">
        <f>SmtRes!AB56</f>
        <v>1552.57</v>
      </c>
      <c r="O54">
        <f>ROUND(ROUND(L54*Source!I109, 6)*SmtRes!DA56, 2)</f>
        <v>2020.14</v>
      </c>
      <c r="P54">
        <f>SmtRes!AG56</f>
        <v>619.16</v>
      </c>
      <c r="Q54">
        <f>SmtRes!DC56</f>
        <v>297.12</v>
      </c>
      <c r="R54">
        <f>ROUND(ROUND(Q54*Source!I109, 6)*1, 2)</f>
        <v>805.2</v>
      </c>
      <c r="S54">
        <f>SmtRes!AC56</f>
        <v>619.16</v>
      </c>
      <c r="T54">
        <f>ROUND(ROUND(Q54*Source!I109, 6)*SmtRes!AK56, 2)</f>
        <v>805.2</v>
      </c>
      <c r="U54">
        <v>2</v>
      </c>
      <c r="Z54">
        <f>SmtRes!X56</f>
        <v>9060937</v>
      </c>
      <c r="AA54">
        <v>406812087</v>
      </c>
      <c r="AB54">
        <v>406812087</v>
      </c>
    </row>
    <row r="55" spans="1:28" x14ac:dyDescent="0.2">
      <c r="A55">
        <v>999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Q61"/>
  <sheetViews>
    <sheetView workbookViewId="0"/>
  </sheetViews>
  <sheetFormatPr defaultRowHeight="12.75" x14ac:dyDescent="0.2"/>
  <cols>
    <col min="1" max="1" width="18.7109375" customWidth="1"/>
    <col min="2" max="2" width="40.7109375" customWidth="1"/>
    <col min="3" max="6" width="12.7109375" customWidth="1"/>
    <col min="15" max="15" width="54.28515625" hidden="1" customWidth="1"/>
    <col min="16" max="18" width="0" hidden="1" customWidth="1"/>
  </cols>
  <sheetData>
    <row r="2" spans="1:17" ht="16.5" x14ac:dyDescent="0.2">
      <c r="A2" s="71" t="s">
        <v>353</v>
      </c>
      <c r="B2" s="72"/>
      <c r="C2" s="72"/>
      <c r="D2" s="72"/>
      <c r="E2" s="72"/>
      <c r="F2" s="72"/>
    </row>
    <row r="3" spans="1:17" ht="49.5" x14ac:dyDescent="0.2">
      <c r="A3" s="71" t="str">
        <f>CONCATENATE("Объект: ",IF(Source!G171&lt;&gt;"Новый объект", Source!G171, ""))</f>
        <v>Объект: ГБОУ Школа №1440. Крылатские холмы д. 17. Фасад, кровля (в ценах на 01.04.2025 г)</v>
      </c>
      <c r="B3" s="72"/>
      <c r="C3" s="72"/>
      <c r="D3" s="72"/>
      <c r="E3" s="72"/>
      <c r="F3" s="72"/>
      <c r="O3" s="43" t="s">
        <v>354</v>
      </c>
    </row>
    <row r="4" spans="1:17" x14ac:dyDescent="0.2">
      <c r="A4" s="58" t="s">
        <v>355</v>
      </c>
      <c r="B4" s="58" t="s">
        <v>356</v>
      </c>
      <c r="C4" s="58" t="s">
        <v>277</v>
      </c>
      <c r="D4" s="58" t="s">
        <v>357</v>
      </c>
      <c r="E4" s="74" t="s">
        <v>358</v>
      </c>
      <c r="F4" s="75"/>
    </row>
    <row r="5" spans="1:17" x14ac:dyDescent="0.2">
      <c r="A5" s="59"/>
      <c r="B5" s="59"/>
      <c r="C5" s="59"/>
      <c r="D5" s="59"/>
      <c r="E5" s="76"/>
      <c r="F5" s="77"/>
    </row>
    <row r="6" spans="1:17" ht="14.25" x14ac:dyDescent="0.2">
      <c r="A6" s="73"/>
      <c r="B6" s="73"/>
      <c r="C6" s="73"/>
      <c r="D6" s="73"/>
      <c r="E6" s="18" t="s">
        <v>359</v>
      </c>
      <c r="F6" s="18" t="s">
        <v>360</v>
      </c>
    </row>
    <row r="7" spans="1:17" ht="14.25" x14ac:dyDescent="0.2">
      <c r="A7" s="18">
        <v>1</v>
      </c>
      <c r="B7" s="18">
        <v>2</v>
      </c>
      <c r="C7" s="18">
        <v>3</v>
      </c>
      <c r="D7" s="18">
        <v>4</v>
      </c>
      <c r="E7" s="18">
        <v>5</v>
      </c>
      <c r="F7" s="18">
        <v>6</v>
      </c>
    </row>
    <row r="8" spans="1:17" ht="16.5" x14ac:dyDescent="0.2">
      <c r="A8" s="71" t="str">
        <f>CONCATENATE("Локальная смета: ",IF(Source!G22&lt;&gt;"Новая локальная смета", Source!G22, ""))</f>
        <v xml:space="preserve">Локальная смета: </v>
      </c>
      <c r="B8" s="72"/>
      <c r="C8" s="72"/>
      <c r="D8" s="72"/>
      <c r="E8" s="72"/>
      <c r="F8" s="72"/>
    </row>
    <row r="9" spans="1:17" ht="16.5" x14ac:dyDescent="0.2">
      <c r="A9" s="71" t="str">
        <f>CONCATENATE("Раздел: ",IF(Source!G26&lt;&gt;"Новый раздел", Source!G26, ""))</f>
        <v>Раздел: Фасад</v>
      </c>
      <c r="B9" s="72"/>
      <c r="C9" s="72"/>
      <c r="D9" s="72"/>
      <c r="E9" s="72"/>
      <c r="F9" s="72"/>
    </row>
    <row r="10" spans="1:17" ht="14.25" x14ac:dyDescent="0.2">
      <c r="A10" s="69" t="s">
        <v>361</v>
      </c>
      <c r="B10" s="70"/>
      <c r="C10" s="70"/>
      <c r="D10" s="70"/>
      <c r="E10" s="70"/>
      <c r="F10" s="70"/>
    </row>
    <row r="11" spans="1:17" ht="28.5" x14ac:dyDescent="0.2">
      <c r="A11" s="44" t="s">
        <v>137</v>
      </c>
      <c r="B11" s="36" t="s">
        <v>139</v>
      </c>
      <c r="C11" s="36" t="s">
        <v>140</v>
      </c>
      <c r="D11" s="37">
        <f>ROUND(SUMIF(RV_DATA!AA8:AA33, -803001130, RV_DATA!I8:I33), 6)</f>
        <v>0.57999999999999996</v>
      </c>
      <c r="E11" s="45">
        <f>ROUND(RV_DATA!K17, 6)</f>
        <v>2430.38</v>
      </c>
      <c r="F11" s="45">
        <f>ROUND(SUMIF(RV_DATA!AA8:AA33, -803001130, RV_DATA!M8:M33), 6)</f>
        <v>1409.62</v>
      </c>
      <c r="Q11">
        <v>2</v>
      </c>
    </row>
    <row r="12" spans="1:17" ht="28.5" x14ac:dyDescent="0.2">
      <c r="A12" s="44" t="s">
        <v>141</v>
      </c>
      <c r="B12" s="36" t="s">
        <v>143</v>
      </c>
      <c r="C12" s="36" t="s">
        <v>140</v>
      </c>
      <c r="D12" s="37">
        <f>ROUND(SUMIF(RV_DATA!AA8:AA33, -1134700862, RV_DATA!I8:I33), 6)</f>
        <v>0.28639999999999999</v>
      </c>
      <c r="E12" s="45">
        <f>ROUND(RV_DATA!K16, 6)</f>
        <v>37.39</v>
      </c>
      <c r="F12" s="45">
        <f>ROUND(SUMIF(RV_DATA!AA8:AA33, -1134700862, RV_DATA!M8:M33), 6)</f>
        <v>10.71</v>
      </c>
      <c r="Q12">
        <v>2</v>
      </c>
    </row>
    <row r="13" spans="1:17" ht="14.25" x14ac:dyDescent="0.2">
      <c r="A13" s="44" t="s">
        <v>144</v>
      </c>
      <c r="B13" s="36" t="s">
        <v>146</v>
      </c>
      <c r="C13" s="36" t="s">
        <v>140</v>
      </c>
      <c r="D13" s="37">
        <f>ROUND(SUMIF(RV_DATA!AA8:AA33, -2098475858, RV_DATA!I8:I33), 6)</f>
        <v>0.57999999999999996</v>
      </c>
      <c r="E13" s="45">
        <f>ROUND(RV_DATA!K15, 6)</f>
        <v>83.16</v>
      </c>
      <c r="F13" s="45">
        <f>ROUND(SUMIF(RV_DATA!AA8:AA33, -2098475858, RV_DATA!M8:M33), 6)</f>
        <v>48.23</v>
      </c>
      <c r="Q13">
        <v>2</v>
      </c>
    </row>
    <row r="14" spans="1:17" ht="28.5" x14ac:dyDescent="0.2">
      <c r="A14" s="44" t="s">
        <v>190</v>
      </c>
      <c r="B14" s="36" t="s">
        <v>192</v>
      </c>
      <c r="C14" s="36" t="s">
        <v>140</v>
      </c>
      <c r="D14" s="37">
        <f>ROUND(SUMIF(RV_DATA!AA8:AA33, -1634268727, RV_DATA!I8:I33), 6)</f>
        <v>0.16800000000000001</v>
      </c>
      <c r="E14" s="45">
        <f>ROUND(RV_DATA!K33, 6)</f>
        <v>9.1</v>
      </c>
      <c r="F14" s="45">
        <f>ROUND(SUMIF(RV_DATA!AA8:AA33, -1634268727, RV_DATA!M8:M33), 6)</f>
        <v>1.53</v>
      </c>
      <c r="Q14">
        <v>2</v>
      </c>
    </row>
    <row r="15" spans="1:17" ht="15" x14ac:dyDescent="0.25">
      <c r="A15" s="78" t="s">
        <v>362</v>
      </c>
      <c r="B15" s="78"/>
      <c r="C15" s="78"/>
      <c r="D15" s="78"/>
      <c r="E15" s="79">
        <f>SUMIF(Q11:Q14, 2, F11:F14)</f>
        <v>1470.09</v>
      </c>
      <c r="F15" s="79"/>
    </row>
    <row r="16" spans="1:17" ht="14.25" x14ac:dyDescent="0.2">
      <c r="A16" s="69" t="s">
        <v>363</v>
      </c>
      <c r="B16" s="70"/>
      <c r="C16" s="70"/>
      <c r="D16" s="70"/>
      <c r="E16" s="70"/>
      <c r="F16" s="70"/>
    </row>
    <row r="17" spans="1:17" ht="28.5" x14ac:dyDescent="0.2">
      <c r="A17" s="44" t="s">
        <v>147</v>
      </c>
      <c r="B17" s="36" t="s">
        <v>149</v>
      </c>
      <c r="C17" s="36" t="s">
        <v>18</v>
      </c>
      <c r="D17" s="37">
        <f>ROUND(SUMIF(RV_DATA!AA8:AA33, -1434924289, RV_DATA!I8:I33), 6)</f>
        <v>7.6799999999999993E-2</v>
      </c>
      <c r="E17" s="45">
        <f>ROUND(RV_DATA!K14, 6)</f>
        <v>903.53</v>
      </c>
      <c r="F17" s="45">
        <f>ROUND(SUMIF(RV_DATA!AA8:AA33, -1434924289, RV_DATA!M8:M33), 6)</f>
        <v>69.39</v>
      </c>
      <c r="Q17">
        <v>3</v>
      </c>
    </row>
    <row r="18" spans="1:17" ht="14.25" x14ac:dyDescent="0.2">
      <c r="A18" s="44" t="s">
        <v>193</v>
      </c>
      <c r="B18" s="36" t="s">
        <v>195</v>
      </c>
      <c r="C18" s="36" t="s">
        <v>196</v>
      </c>
      <c r="D18" s="37">
        <f>ROUND(SUMIF(RV_DATA!AA8:AA33, 777677002, RV_DATA!I8:I33), 6)</f>
        <v>0.43049999999999999</v>
      </c>
      <c r="E18" s="45">
        <f>ROUND(RV_DATA!K32, 6)</f>
        <v>26.09</v>
      </c>
      <c r="F18" s="45">
        <f>ROUND(SUMIF(RV_DATA!AA8:AA33, 777677002, RV_DATA!M8:M33), 6)</f>
        <v>11.24</v>
      </c>
      <c r="Q18">
        <v>3</v>
      </c>
    </row>
    <row r="19" spans="1:17" ht="42.75" x14ac:dyDescent="0.2">
      <c r="A19" s="44" t="s">
        <v>150</v>
      </c>
      <c r="B19" s="36" t="s">
        <v>152</v>
      </c>
      <c r="C19" s="36" t="s">
        <v>116</v>
      </c>
      <c r="D19" s="37">
        <f>ROUND(SUMIF(RV_DATA!AA8:AA33, -1699217342, RV_DATA!I8:I33), 6)</f>
        <v>4.1599999999999998E-2</v>
      </c>
      <c r="E19" s="45">
        <f>ROUND(RV_DATA!K13, 6)</f>
        <v>8877.58</v>
      </c>
      <c r="F19" s="45">
        <f>ROUND(SUMIF(RV_DATA!AA8:AA33, -1699217342, RV_DATA!M8:M33), 6)</f>
        <v>369.31</v>
      </c>
      <c r="Q19">
        <v>3</v>
      </c>
    </row>
    <row r="20" spans="1:17" ht="14.25" x14ac:dyDescent="0.2">
      <c r="A20" s="44" t="s">
        <v>197</v>
      </c>
      <c r="B20" s="36" t="s">
        <v>199</v>
      </c>
      <c r="C20" s="36" t="s">
        <v>18</v>
      </c>
      <c r="D20" s="37">
        <f>ROUND(SUMIF(RV_DATA!AA8:AA33, 1405492101, RV_DATA!I8:I33), 6)</f>
        <v>2.1000000000000001E-2</v>
      </c>
      <c r="E20" s="45">
        <f>ROUND(RV_DATA!K31, 6)</f>
        <v>49.83</v>
      </c>
      <c r="F20" s="45">
        <f>ROUND(SUMIF(RV_DATA!AA8:AA33, 1405492101, RV_DATA!M8:M33), 6)</f>
        <v>1.05</v>
      </c>
      <c r="Q20">
        <v>3</v>
      </c>
    </row>
    <row r="21" spans="1:17" ht="28.5" x14ac:dyDescent="0.2">
      <c r="A21" s="44" t="s">
        <v>200</v>
      </c>
      <c r="B21" s="36" t="s">
        <v>202</v>
      </c>
      <c r="C21" s="36" t="s">
        <v>169</v>
      </c>
      <c r="D21" s="37">
        <f>ROUND(SUMIF(RV_DATA!AA8:AA33, 1781192509, RV_DATA!I8:I33), 6)</f>
        <v>0.84</v>
      </c>
      <c r="E21" s="45">
        <f>ROUND(RV_DATA!K30, 6)</f>
        <v>338.51</v>
      </c>
      <c r="F21" s="45">
        <f>ROUND(SUMIF(RV_DATA!AA8:AA33, 1781192509, RV_DATA!M8:M33), 6)</f>
        <v>284.35000000000002</v>
      </c>
      <c r="Q21">
        <v>3</v>
      </c>
    </row>
    <row r="22" spans="1:17" ht="28.5" x14ac:dyDescent="0.2">
      <c r="A22" s="44" t="s">
        <v>203</v>
      </c>
      <c r="B22" s="36" t="s">
        <v>205</v>
      </c>
      <c r="C22" s="36" t="s">
        <v>116</v>
      </c>
      <c r="D22" s="37">
        <f>ROUND(SUMIF(RV_DATA!AA8:AA33, 358603207, RV_DATA!I8:I33), 6)</f>
        <v>1.9425000000000001E-2</v>
      </c>
      <c r="E22" s="45">
        <f>ROUND(RV_DATA!K29, 6)</f>
        <v>76204.789999999994</v>
      </c>
      <c r="F22" s="45">
        <f>ROUND(SUMIF(RV_DATA!AA8:AA33, 358603207, RV_DATA!M8:M33), 6)</f>
        <v>1480.28</v>
      </c>
      <c r="Q22">
        <v>3</v>
      </c>
    </row>
    <row r="23" spans="1:17" ht="28.5" x14ac:dyDescent="0.2">
      <c r="A23" s="44" t="s">
        <v>175</v>
      </c>
      <c r="B23" s="36" t="s">
        <v>177</v>
      </c>
      <c r="C23" s="36" t="s">
        <v>116</v>
      </c>
      <c r="D23" s="37">
        <f>ROUND(SUMIF(RV_DATA!AA8:AA33, 1642881765, RV_DATA!I8:I33), 6)</f>
        <v>2.5000000000000001E-4</v>
      </c>
      <c r="E23" s="45">
        <f>ROUND(RV_DATA!K23, 6)</f>
        <v>57401.29</v>
      </c>
      <c r="F23" s="45">
        <f>ROUND(SUMIF(RV_DATA!AA8:AA33, 1642881765, RV_DATA!M8:M33), 6)</f>
        <v>14.35</v>
      </c>
      <c r="Q23">
        <v>3</v>
      </c>
    </row>
    <row r="24" spans="1:17" ht="57" x14ac:dyDescent="0.2">
      <c r="A24" s="44" t="s">
        <v>153</v>
      </c>
      <c r="B24" s="36" t="s">
        <v>155</v>
      </c>
      <c r="C24" s="36" t="s">
        <v>156</v>
      </c>
      <c r="D24" s="37">
        <f>ROUND(SUMIF(RV_DATA!AA8:AA33, -598140060, RV_DATA!I8:I33), 6)</f>
        <v>0.73919999999999997</v>
      </c>
      <c r="E24" s="45">
        <f>ROUND(RV_DATA!K12, 6)</f>
        <v>255.44</v>
      </c>
      <c r="F24" s="45">
        <f>ROUND(SUMIF(RV_DATA!AA8:AA33, -598140060, RV_DATA!M8:M33), 6)</f>
        <v>188.82</v>
      </c>
      <c r="Q24">
        <v>3</v>
      </c>
    </row>
    <row r="25" spans="1:17" ht="57" x14ac:dyDescent="0.2">
      <c r="A25" s="44" t="s">
        <v>206</v>
      </c>
      <c r="B25" s="36" t="s">
        <v>208</v>
      </c>
      <c r="C25" s="36" t="s">
        <v>209</v>
      </c>
      <c r="D25" s="37">
        <f>ROUND(SUMIF(RV_DATA!AA8:AA33, 1064418236, RV_DATA!I8:I33), 6)</f>
        <v>10.5</v>
      </c>
      <c r="E25" s="45">
        <f>ROUND(RV_DATA!K28, 6)</f>
        <v>128.71</v>
      </c>
      <c r="F25" s="45">
        <f>ROUND(SUMIF(RV_DATA!AA8:AA33, 1064418236, RV_DATA!M8:M33), 6)</f>
        <v>1351.46</v>
      </c>
      <c r="Q25">
        <v>3</v>
      </c>
    </row>
    <row r="26" spans="1:17" ht="28.5" x14ac:dyDescent="0.2">
      <c r="A26" s="44" t="s">
        <v>210</v>
      </c>
      <c r="B26" s="36" t="s">
        <v>212</v>
      </c>
      <c r="C26" s="36" t="s">
        <v>116</v>
      </c>
      <c r="D26" s="37">
        <f>ROUND(SUMIF(RV_DATA!AA8:AA33, -481593916, RV_DATA!I8:I33), 6)</f>
        <v>1.6800000000000001E-3</v>
      </c>
      <c r="E26" s="45">
        <f>ROUND(RV_DATA!K27, 6)</f>
        <v>116802.33</v>
      </c>
      <c r="F26" s="45">
        <f>ROUND(SUMIF(RV_DATA!AA8:AA33, -481593916, RV_DATA!M8:M33), 6)</f>
        <v>196.22</v>
      </c>
      <c r="Q26">
        <v>3</v>
      </c>
    </row>
    <row r="27" spans="1:17" ht="42.75" x14ac:dyDescent="0.2">
      <c r="A27" s="44" t="s">
        <v>178</v>
      </c>
      <c r="B27" s="36" t="s">
        <v>180</v>
      </c>
      <c r="C27" s="36" t="s">
        <v>116</v>
      </c>
      <c r="D27" s="37">
        <f>ROUND(SUMIF(RV_DATA!AA8:AA33, -1523488838, RV_DATA!I8:I33), 6)</f>
        <v>4.6999999999999999E-4</v>
      </c>
      <c r="E27" s="45">
        <f>ROUND(RV_DATA!K22, 6)</f>
        <v>71612.87</v>
      </c>
      <c r="F27" s="45">
        <f>ROUND(SUMIF(RV_DATA!AA8:AA33, -1523488838, RV_DATA!M8:M33), 6)</f>
        <v>33.659999999999997</v>
      </c>
      <c r="Q27">
        <v>3</v>
      </c>
    </row>
    <row r="28" spans="1:17" ht="14.25" x14ac:dyDescent="0.2">
      <c r="A28" s="44" t="s">
        <v>181</v>
      </c>
      <c r="B28" s="36" t="s">
        <v>183</v>
      </c>
      <c r="C28" s="36" t="s">
        <v>116</v>
      </c>
      <c r="D28" s="37">
        <f>ROUND(SUMIF(RV_DATA!AA8:AA33, -1083439911, RV_DATA!I8:I33), 6)</f>
        <v>6.6430000000000003E-2</v>
      </c>
      <c r="E28" s="45">
        <f>ROUND(RV_DATA!K21, 6)</f>
        <v>147321.03</v>
      </c>
      <c r="F28" s="45">
        <f>ROUND(SUMIF(RV_DATA!AA8:AA33, -1083439911, RV_DATA!M8:M33), 6)</f>
        <v>9786.5400000000009</v>
      </c>
      <c r="Q28">
        <v>3</v>
      </c>
    </row>
    <row r="29" spans="1:17" ht="14.25" x14ac:dyDescent="0.2">
      <c r="A29" s="44" t="s">
        <v>184</v>
      </c>
      <c r="B29" s="36" t="s">
        <v>186</v>
      </c>
      <c r="C29" s="36" t="s">
        <v>116</v>
      </c>
      <c r="D29" s="37">
        <f>ROUND(SUMIF(RV_DATA!AA8:AA33, 1770440016, RV_DATA!I8:I33), 6)</f>
        <v>9.7249999999999993E-3</v>
      </c>
      <c r="E29" s="45">
        <f>ROUND(RV_DATA!K20, 6)</f>
        <v>196706.48</v>
      </c>
      <c r="F29" s="45">
        <f>ROUND(SUMIF(RV_DATA!AA8:AA33, 1770440016, RV_DATA!M8:M33), 6)</f>
        <v>1912.97</v>
      </c>
      <c r="Q29">
        <v>3</v>
      </c>
    </row>
    <row r="30" spans="1:17" ht="28.5" x14ac:dyDescent="0.2">
      <c r="A30" s="44" t="s">
        <v>170</v>
      </c>
      <c r="B30" s="36" t="s">
        <v>172</v>
      </c>
      <c r="C30" s="36" t="s">
        <v>18</v>
      </c>
      <c r="D30" s="37">
        <f>ROUND(SUMIF(RV_DATA!AA8:AA33, -952924916, RV_DATA!I8:I33), 6)</f>
        <v>0.55000000000000004</v>
      </c>
      <c r="E30" s="45">
        <f>ROUND(RV_DATA!K18, 6)</f>
        <v>5335.62</v>
      </c>
      <c r="F30" s="45">
        <f>ROUND(SUMIF(RV_DATA!AA8:AA33, -952924916, RV_DATA!M8:M33), 6)</f>
        <v>2934.59</v>
      </c>
      <c r="Q30">
        <v>3</v>
      </c>
    </row>
    <row r="31" spans="1:17" ht="14.25" x14ac:dyDescent="0.2">
      <c r="A31" s="44" t="s">
        <v>157</v>
      </c>
      <c r="B31" s="36" t="s">
        <v>159</v>
      </c>
      <c r="C31" s="36" t="s">
        <v>18</v>
      </c>
      <c r="D31" s="37">
        <f>ROUND(SUMIF(RV_DATA!AA8:AA33, -716593270, RV_DATA!I8:I33), 6)</f>
        <v>1.6000000000000001E-3</v>
      </c>
      <c r="E31" s="45">
        <f>ROUND(RV_DATA!K11, 6)</f>
        <v>5951.59</v>
      </c>
      <c r="F31" s="45">
        <f>ROUND(SUMIF(RV_DATA!AA8:AA33, -716593270, RV_DATA!M8:M33), 6)</f>
        <v>9.52</v>
      </c>
      <c r="Q31">
        <v>3</v>
      </c>
    </row>
    <row r="32" spans="1:17" ht="71.25" x14ac:dyDescent="0.2">
      <c r="A32" s="44" t="s">
        <v>213</v>
      </c>
      <c r="B32" s="36" t="s">
        <v>215</v>
      </c>
      <c r="C32" s="36" t="s">
        <v>116</v>
      </c>
      <c r="D32" s="37">
        <f>ROUND(SUMIF(RV_DATA!AA8:AA33, 1633121601, RV_DATA!I8:I33), 6)</f>
        <v>5.5125E-2</v>
      </c>
      <c r="E32" s="45">
        <f>ROUND(RV_DATA!K24, 6)</f>
        <v>17372.259999999998</v>
      </c>
      <c r="F32" s="45">
        <f>ROUND(SUMIF(RV_DATA!AA8:AA33, 1633121601, RV_DATA!M8:M33), 6)</f>
        <v>957.64</v>
      </c>
      <c r="Q32">
        <v>3</v>
      </c>
    </row>
    <row r="33" spans="1:17" ht="71.25" x14ac:dyDescent="0.2">
      <c r="A33" s="44" t="s">
        <v>187</v>
      </c>
      <c r="B33" s="36" t="s">
        <v>189</v>
      </c>
      <c r="C33" s="36" t="s">
        <v>116</v>
      </c>
      <c r="D33" s="37">
        <f>ROUND(SUMIF(RV_DATA!AA8:AA33, 800474513, RV_DATA!I8:I33), 6)</f>
        <v>1.3125E-2</v>
      </c>
      <c r="E33" s="45">
        <f>ROUND(RV_DATA!K19, 6)</f>
        <v>6315.46</v>
      </c>
      <c r="F33" s="45">
        <f>ROUND(SUMIF(RV_DATA!AA8:AA33, 800474513, RV_DATA!M8:M33), 6)</f>
        <v>82.89</v>
      </c>
      <c r="Q33">
        <v>3</v>
      </c>
    </row>
    <row r="34" spans="1:17" ht="57" x14ac:dyDescent="0.2">
      <c r="A34" s="44" t="s">
        <v>160</v>
      </c>
      <c r="B34" s="36" t="s">
        <v>162</v>
      </c>
      <c r="C34" s="36" t="s">
        <v>116</v>
      </c>
      <c r="D34" s="37">
        <f>ROUND(SUMIF(RV_DATA!AA8:AA33, -924284454, RV_DATA!I8:I33), 6)</f>
        <v>7.0959999999999999E-3</v>
      </c>
      <c r="E34" s="45">
        <f>ROUND(RV_DATA!K10, 6)</f>
        <v>52981.64</v>
      </c>
      <c r="F34" s="45">
        <f>ROUND(SUMIF(RV_DATA!AA8:AA33, -924284454, RV_DATA!M8:M33), 6)</f>
        <v>375.96</v>
      </c>
      <c r="Q34">
        <v>3</v>
      </c>
    </row>
    <row r="35" spans="1:17" ht="57" x14ac:dyDescent="0.2">
      <c r="A35" s="44" t="s">
        <v>163</v>
      </c>
      <c r="B35" s="36" t="s">
        <v>165</v>
      </c>
      <c r="C35" s="36" t="s">
        <v>116</v>
      </c>
      <c r="D35" s="37">
        <f>ROUND(SUMIF(RV_DATA!AA8:AA33, 451768835, RV_DATA!I8:I33), 6)</f>
        <v>1.2E-2</v>
      </c>
      <c r="E35" s="45">
        <f>ROUND(RV_DATA!K9, 6)</f>
        <v>151355.1</v>
      </c>
      <c r="F35" s="45">
        <f>ROUND(SUMIF(RV_DATA!AA8:AA33, 451768835, RV_DATA!M8:M33), 6)</f>
        <v>1816.26</v>
      </c>
      <c r="Q35">
        <v>3</v>
      </c>
    </row>
    <row r="36" spans="1:17" ht="57" x14ac:dyDescent="0.2">
      <c r="A36" s="44" t="s">
        <v>166</v>
      </c>
      <c r="B36" s="36" t="s">
        <v>168</v>
      </c>
      <c r="C36" s="36" t="s">
        <v>169</v>
      </c>
      <c r="D36" s="37">
        <f>ROUND(SUMIF(RV_DATA!AA8:AA33, -633675722, RV_DATA!I8:I33), 6)</f>
        <v>0.4224</v>
      </c>
      <c r="E36" s="45">
        <f>ROUND(RV_DATA!K8, 6)</f>
        <v>629.53</v>
      </c>
      <c r="F36" s="45">
        <f>ROUND(SUMIF(RV_DATA!AA8:AA33, -633675722, RV_DATA!M8:M33), 6)</f>
        <v>265.91000000000003</v>
      </c>
      <c r="Q36">
        <v>3</v>
      </c>
    </row>
    <row r="37" spans="1:17" ht="15" x14ac:dyDescent="0.25">
      <c r="A37" s="78" t="s">
        <v>364</v>
      </c>
      <c r="B37" s="78"/>
      <c r="C37" s="78"/>
      <c r="D37" s="78"/>
      <c r="E37" s="79">
        <f>SUMIF(Q17:Q36, 3, F17:F36)</f>
        <v>22142.409999999996</v>
      </c>
      <c r="F37" s="79"/>
    </row>
    <row r="38" spans="1:17" ht="16.5" x14ac:dyDescent="0.2">
      <c r="A38" s="71" t="str">
        <f>CONCATENATE("Раздел: ",IF(Source!G65&lt;&gt;"Новый раздел", Source!G65, ""))</f>
        <v>Раздел: Кровля (козырек)</v>
      </c>
      <c r="B38" s="72"/>
      <c r="C38" s="72"/>
      <c r="D38" s="72"/>
      <c r="E38" s="72"/>
      <c r="F38" s="72"/>
    </row>
    <row r="39" spans="1:17" ht="14.25" x14ac:dyDescent="0.2">
      <c r="A39" s="69" t="s">
        <v>361</v>
      </c>
      <c r="B39" s="70"/>
      <c r="C39" s="70"/>
      <c r="D39" s="70"/>
      <c r="E39" s="70"/>
      <c r="F39" s="70"/>
    </row>
    <row r="40" spans="1:17" ht="28.5" x14ac:dyDescent="0.2">
      <c r="A40" s="44" t="s">
        <v>216</v>
      </c>
      <c r="B40" s="36" t="s">
        <v>218</v>
      </c>
      <c r="C40" s="36" t="s">
        <v>140</v>
      </c>
      <c r="D40" s="37">
        <f>ROUND(SUMIF(RV_DATA!AA35:AA48, -74732272, RV_DATA!I35:I48), 6)</f>
        <v>1.56</v>
      </c>
      <c r="E40" s="45">
        <f>ROUND(RV_DATA!K36, 6)</f>
        <v>12.14</v>
      </c>
      <c r="F40" s="45">
        <f>ROUND(SUMIF(RV_DATA!AA35:AA48, -74732272, RV_DATA!M35:M48), 6)</f>
        <v>18.940000000000001</v>
      </c>
      <c r="Q40">
        <v>2</v>
      </c>
    </row>
    <row r="41" spans="1:17" ht="28.5" x14ac:dyDescent="0.2">
      <c r="A41" s="44" t="s">
        <v>228</v>
      </c>
      <c r="B41" s="36" t="s">
        <v>230</v>
      </c>
      <c r="C41" s="36" t="s">
        <v>140</v>
      </c>
      <c r="D41" s="37">
        <f>ROUND(SUMIF(RV_DATA!AA35:AA48, 1126194205, RV_DATA!I35:I48), 6)</f>
        <v>2.2599999999999998</v>
      </c>
      <c r="E41" s="45">
        <f>ROUND(RV_DATA!K48, 6)</f>
        <v>1465.49</v>
      </c>
      <c r="F41" s="45">
        <f>ROUND(SUMIF(RV_DATA!AA35:AA48, 1126194205, RV_DATA!M35:M48), 6)</f>
        <v>3312.01</v>
      </c>
      <c r="Q41">
        <v>2</v>
      </c>
    </row>
    <row r="42" spans="1:17" ht="28.5" x14ac:dyDescent="0.2">
      <c r="A42" s="44" t="s">
        <v>222</v>
      </c>
      <c r="B42" s="36" t="s">
        <v>224</v>
      </c>
      <c r="C42" s="36" t="s">
        <v>140</v>
      </c>
      <c r="D42" s="37">
        <f>ROUND(SUMIF(RV_DATA!AA35:AA48, -3874260, RV_DATA!I35:I48), 6)</f>
        <v>0.42899999999999999</v>
      </c>
      <c r="E42" s="45">
        <f>ROUND(RV_DATA!K39, 6)</f>
        <v>135.65</v>
      </c>
      <c r="F42" s="45">
        <f>ROUND(SUMIF(RV_DATA!AA35:AA48, -3874260, RV_DATA!M35:M48), 6)</f>
        <v>58.19</v>
      </c>
      <c r="Q42">
        <v>2</v>
      </c>
    </row>
    <row r="43" spans="1:17" ht="28.5" x14ac:dyDescent="0.2">
      <c r="A43" s="44" t="s">
        <v>231</v>
      </c>
      <c r="B43" s="36" t="s">
        <v>233</v>
      </c>
      <c r="C43" s="36" t="s">
        <v>140</v>
      </c>
      <c r="D43" s="37">
        <f>ROUND(SUMIF(RV_DATA!AA35:AA48, 1115396703, RV_DATA!I35:I48), 6)</f>
        <v>2.2599999999999998</v>
      </c>
      <c r="E43" s="45">
        <f>ROUND(RV_DATA!K47, 6)</f>
        <v>56.19</v>
      </c>
      <c r="F43" s="45">
        <f>ROUND(SUMIF(RV_DATA!AA35:AA48, 1115396703, RV_DATA!M35:M48), 6)</f>
        <v>126.99</v>
      </c>
      <c r="Q43">
        <v>2</v>
      </c>
    </row>
    <row r="44" spans="1:17" ht="14.25" x14ac:dyDescent="0.2">
      <c r="A44" s="44" t="s">
        <v>234</v>
      </c>
      <c r="B44" s="36" t="s">
        <v>236</v>
      </c>
      <c r="C44" s="36" t="s">
        <v>140</v>
      </c>
      <c r="D44" s="37">
        <f>ROUND(SUMIF(RV_DATA!AA35:AA48, -299720598, RV_DATA!I35:I48), 6)</f>
        <v>1.81</v>
      </c>
      <c r="E44" s="45">
        <f>ROUND(RV_DATA!K46, 6)</f>
        <v>76.53</v>
      </c>
      <c r="F44" s="45">
        <f>ROUND(SUMIF(RV_DATA!AA35:AA48, -299720598, RV_DATA!M35:M48), 6)</f>
        <v>138.52000000000001</v>
      </c>
      <c r="Q44">
        <v>2</v>
      </c>
    </row>
    <row r="45" spans="1:17" ht="14.25" x14ac:dyDescent="0.2">
      <c r="A45" s="44" t="s">
        <v>237</v>
      </c>
      <c r="B45" s="36" t="s">
        <v>239</v>
      </c>
      <c r="C45" s="36" t="s">
        <v>140</v>
      </c>
      <c r="D45" s="37">
        <f>ROUND(SUMIF(RV_DATA!AA35:AA48, 932182157, RV_DATA!I35:I48), 6)</f>
        <v>7.49</v>
      </c>
      <c r="E45" s="45">
        <f>ROUND(RV_DATA!K45, 6)</f>
        <v>9.56</v>
      </c>
      <c r="F45" s="45">
        <f>ROUND(SUMIF(RV_DATA!AA35:AA48, 932182157, RV_DATA!M35:M48), 6)</f>
        <v>71.61</v>
      </c>
      <c r="Q45">
        <v>2</v>
      </c>
    </row>
    <row r="46" spans="1:17" ht="14.25" x14ac:dyDescent="0.2">
      <c r="A46" s="44" t="s">
        <v>219</v>
      </c>
      <c r="B46" s="36" t="s">
        <v>221</v>
      </c>
      <c r="C46" s="36" t="s">
        <v>140</v>
      </c>
      <c r="D46" s="37">
        <f>ROUND(SUMIF(RV_DATA!AA35:AA48, -1168705288, RV_DATA!I35:I48), 6)</f>
        <v>1.56</v>
      </c>
      <c r="E46" s="45">
        <f>ROUND(RV_DATA!K35, 6)</f>
        <v>6.09</v>
      </c>
      <c r="F46" s="45">
        <f>ROUND(SUMIF(RV_DATA!AA35:AA48, -1168705288, RV_DATA!M35:M48), 6)</f>
        <v>9.5</v>
      </c>
      <c r="Q46">
        <v>2</v>
      </c>
    </row>
    <row r="47" spans="1:17" ht="15" x14ac:dyDescent="0.25">
      <c r="A47" s="78" t="s">
        <v>362</v>
      </c>
      <c r="B47" s="78"/>
      <c r="C47" s="78"/>
      <c r="D47" s="78"/>
      <c r="E47" s="79">
        <f>SUMIF(Q40:Q46, 2, F40:F46)</f>
        <v>3735.76</v>
      </c>
      <c r="F47" s="79"/>
    </row>
    <row r="48" spans="1:17" ht="14.25" x14ac:dyDescent="0.2">
      <c r="A48" s="69" t="s">
        <v>363</v>
      </c>
      <c r="B48" s="70"/>
      <c r="C48" s="70"/>
      <c r="D48" s="70"/>
      <c r="E48" s="70"/>
      <c r="F48" s="70"/>
    </row>
    <row r="49" spans="1:17" ht="42.75" x14ac:dyDescent="0.2">
      <c r="A49" s="44" t="s">
        <v>240</v>
      </c>
      <c r="B49" s="36" t="s">
        <v>242</v>
      </c>
      <c r="C49" s="36" t="s">
        <v>116</v>
      </c>
      <c r="D49" s="37">
        <f>ROUND(SUMIF(RV_DATA!AA35:AA48, 1562852853, RV_DATA!I35:I48), 6)</f>
        <v>1.7500000000000002E-2</v>
      </c>
      <c r="E49" s="45">
        <f>ROUND(RV_DATA!K44, 6)</f>
        <v>129600.01</v>
      </c>
      <c r="F49" s="45">
        <f>ROUND(SUMIF(RV_DATA!AA35:AA48, 1562852853, RV_DATA!M35:M48), 6)</f>
        <v>2268</v>
      </c>
      <c r="Q49">
        <v>3</v>
      </c>
    </row>
    <row r="50" spans="1:17" ht="14.25" x14ac:dyDescent="0.2">
      <c r="A50" s="44" t="s">
        <v>197</v>
      </c>
      <c r="B50" s="36" t="s">
        <v>199</v>
      </c>
      <c r="C50" s="36" t="s">
        <v>18</v>
      </c>
      <c r="D50" s="37">
        <f>ROUND(SUMIF(RV_DATA!AA35:AA48, 1405492101, RV_DATA!I35:I48), 6)</f>
        <v>0.57750000000000001</v>
      </c>
      <c r="E50" s="45">
        <f>ROUND(RV_DATA!K38, 6)</f>
        <v>49.83</v>
      </c>
      <c r="F50" s="45">
        <f>ROUND(SUMIF(RV_DATA!AA35:AA48, 1405492101, RV_DATA!M35:M48), 6)</f>
        <v>28.78</v>
      </c>
      <c r="Q50">
        <v>3</v>
      </c>
    </row>
    <row r="51" spans="1:17" ht="28.5" x14ac:dyDescent="0.2">
      <c r="A51" s="44" t="s">
        <v>243</v>
      </c>
      <c r="B51" s="36" t="s">
        <v>245</v>
      </c>
      <c r="C51" s="36" t="s">
        <v>169</v>
      </c>
      <c r="D51" s="37">
        <f>ROUND(SUMIF(RV_DATA!AA35:AA48, -2028944508, RV_DATA!I35:I48), 6)</f>
        <v>67.5</v>
      </c>
      <c r="E51" s="45">
        <f>ROUND(RV_DATA!K43, 6)</f>
        <v>315.89</v>
      </c>
      <c r="F51" s="45">
        <f>ROUND(SUMIF(RV_DATA!AA35:AA48, -2028944508, RV_DATA!M35:M48), 6)</f>
        <v>21322.58</v>
      </c>
      <c r="Q51">
        <v>3</v>
      </c>
    </row>
    <row r="52" spans="1:17" ht="28.5" x14ac:dyDescent="0.2">
      <c r="A52" s="44" t="s">
        <v>246</v>
      </c>
      <c r="B52" s="36" t="s">
        <v>248</v>
      </c>
      <c r="C52" s="36" t="s">
        <v>169</v>
      </c>
      <c r="D52" s="37">
        <f>ROUND(SUMIF(RV_DATA!AA35:AA48, -1285852207, RV_DATA!I35:I48), 6)</f>
        <v>66.150000000000006</v>
      </c>
      <c r="E52" s="45">
        <f>ROUND(RV_DATA!K42, 6)</f>
        <v>302.27999999999997</v>
      </c>
      <c r="F52" s="45">
        <f>ROUND(SUMIF(RV_DATA!AA35:AA48, -1285852207, RV_DATA!M35:M48), 6)</f>
        <v>19995.82</v>
      </c>
      <c r="Q52">
        <v>3</v>
      </c>
    </row>
    <row r="53" spans="1:17" ht="14.25" x14ac:dyDescent="0.2">
      <c r="A53" s="44" t="s">
        <v>249</v>
      </c>
      <c r="B53" s="36" t="s">
        <v>251</v>
      </c>
      <c r="C53" s="36" t="s">
        <v>196</v>
      </c>
      <c r="D53" s="37">
        <f>ROUND(SUMIF(RV_DATA!AA35:AA48, -1642556842, RV_DATA!I35:I48), 6)</f>
        <v>3.45</v>
      </c>
      <c r="E53" s="45">
        <f>ROUND(RV_DATA!K41, 6)</f>
        <v>68.540000000000006</v>
      </c>
      <c r="F53" s="45">
        <f>ROUND(SUMIF(RV_DATA!AA35:AA48, -1642556842, RV_DATA!M35:M48), 6)</f>
        <v>236.47</v>
      </c>
      <c r="Q53">
        <v>3</v>
      </c>
    </row>
    <row r="54" spans="1:17" ht="14.25" x14ac:dyDescent="0.2">
      <c r="A54" s="44" t="s">
        <v>225</v>
      </c>
      <c r="B54" s="36" t="s">
        <v>227</v>
      </c>
      <c r="C54" s="36" t="s">
        <v>18</v>
      </c>
      <c r="D54" s="37">
        <f>ROUND(SUMIF(RV_DATA!AA35:AA48, 846629835, RV_DATA!I35:I48), 6)</f>
        <v>0.45900000000000002</v>
      </c>
      <c r="E54" s="45">
        <f>ROUND(RV_DATA!K37, 6)</f>
        <v>5192.1099999999997</v>
      </c>
      <c r="F54" s="45">
        <f>ROUND(SUMIF(RV_DATA!AA35:AA48, 846629835, RV_DATA!M35:M48), 6)</f>
        <v>2383.19</v>
      </c>
      <c r="Q54">
        <v>3</v>
      </c>
    </row>
    <row r="55" spans="1:17" ht="15" x14ac:dyDescent="0.25">
      <c r="A55" s="78" t="s">
        <v>364</v>
      </c>
      <c r="B55" s="78"/>
      <c r="C55" s="78"/>
      <c r="D55" s="78"/>
      <c r="E55" s="79">
        <f>SUMIF(Q49:Q54, 3, F49:F54)</f>
        <v>46234.840000000004</v>
      </c>
      <c r="F55" s="79"/>
    </row>
    <row r="56" spans="1:17" ht="16.5" x14ac:dyDescent="0.2">
      <c r="A56" s="71" t="str">
        <f>CONCATENATE("Раздел: ",IF(Source!G105&lt;&gt;"Новый раздел", Source!G105, ""))</f>
        <v>Раздел: Мусор</v>
      </c>
      <c r="B56" s="72"/>
      <c r="C56" s="72"/>
      <c r="D56" s="72"/>
      <c r="E56" s="72"/>
      <c r="F56" s="72"/>
    </row>
    <row r="57" spans="1:17" ht="14.25" x14ac:dyDescent="0.2">
      <c r="A57" s="69" t="s">
        <v>361</v>
      </c>
      <c r="B57" s="70"/>
      <c r="C57" s="70"/>
      <c r="D57" s="70"/>
      <c r="E57" s="70"/>
      <c r="F57" s="70"/>
    </row>
    <row r="58" spans="1:17" ht="42.75" x14ac:dyDescent="0.2">
      <c r="A58" s="44" t="s">
        <v>252</v>
      </c>
      <c r="B58" s="36" t="s">
        <v>254</v>
      </c>
      <c r="C58" s="36" t="s">
        <v>140</v>
      </c>
      <c r="D58" s="37">
        <f>ROUND(SUMIF(RV_DATA!AA50:AA54, -355280745, RV_DATA!I50:I54), 6)</f>
        <v>0.14552699999999999</v>
      </c>
      <c r="E58" s="45">
        <f>ROUND(RV_DATA!K50, 6)</f>
        <v>2195.02</v>
      </c>
      <c r="F58" s="45">
        <f>ROUND(SUMIF(RV_DATA!AA50:AA54, -355280745, RV_DATA!M50:M54), 6)</f>
        <v>319.43</v>
      </c>
      <c r="Q58">
        <v>2</v>
      </c>
    </row>
    <row r="59" spans="1:17" ht="28.5" x14ac:dyDescent="0.2">
      <c r="A59" s="44" t="s">
        <v>255</v>
      </c>
      <c r="B59" s="36" t="s">
        <v>257</v>
      </c>
      <c r="C59" s="36" t="s">
        <v>140</v>
      </c>
      <c r="D59" s="37">
        <f>ROUND(SUMIF(RV_DATA!AA50:AA54, 406812087, RV_DATA!I50:I54), 6)</f>
        <v>1.355</v>
      </c>
      <c r="E59" s="45">
        <f>ROUND(RV_DATA!K52, 6)</f>
        <v>1552.57</v>
      </c>
      <c r="F59" s="45">
        <f>ROUND(SUMIF(RV_DATA!AA50:AA54, 406812087, RV_DATA!M50:M54), 6)</f>
        <v>2104.29</v>
      </c>
      <c r="Q59">
        <v>2</v>
      </c>
    </row>
    <row r="60" spans="1:17" ht="28.5" x14ac:dyDescent="0.2">
      <c r="A60" s="44" t="s">
        <v>258</v>
      </c>
      <c r="B60" s="36" t="s">
        <v>260</v>
      </c>
      <c r="C60" s="36" t="s">
        <v>140</v>
      </c>
      <c r="D60" s="37">
        <f>ROUND(SUMIF(RV_DATA!AA50:AA54, 1779266029, RV_DATA!I50:I54), 6)</f>
        <v>1.0894200000000001</v>
      </c>
      <c r="E60" s="45">
        <f>ROUND(RV_DATA!K51, 6)</f>
        <v>1566.41</v>
      </c>
      <c r="F60" s="45">
        <f>ROUND(SUMIF(RV_DATA!AA50:AA54, 1779266029, RV_DATA!M50:M54), 6)</f>
        <v>1706.32</v>
      </c>
      <c r="Q60">
        <v>2</v>
      </c>
    </row>
    <row r="61" spans="1:17" ht="15" x14ac:dyDescent="0.25">
      <c r="A61" s="78" t="s">
        <v>362</v>
      </c>
      <c r="B61" s="78"/>
      <c r="C61" s="78"/>
      <c r="D61" s="78"/>
      <c r="E61" s="79">
        <f>SUMIF(Q58:Q60, 2, F58:F60)</f>
        <v>4130.04</v>
      </c>
      <c r="F61" s="79"/>
    </row>
  </sheetData>
  <sortState ref="A58:R60">
    <sortCondition ref="A58"/>
  </sortState>
  <mergeCells count="26">
    <mergeCell ref="A61:D61"/>
    <mergeCell ref="E61:F61"/>
    <mergeCell ref="A37:D37"/>
    <mergeCell ref="E37:F37"/>
    <mergeCell ref="A38:F38"/>
    <mergeCell ref="A39:F39"/>
    <mergeCell ref="A47:D47"/>
    <mergeCell ref="E47:F47"/>
    <mergeCell ref="A48:F48"/>
    <mergeCell ref="A55:D55"/>
    <mergeCell ref="E55:F55"/>
    <mergeCell ref="A56:F56"/>
    <mergeCell ref="A57:F57"/>
    <mergeCell ref="A16:F16"/>
    <mergeCell ref="A2:F2"/>
    <mergeCell ref="A3:F3"/>
    <mergeCell ref="A4:A6"/>
    <mergeCell ref="B4:B6"/>
    <mergeCell ref="C4:C6"/>
    <mergeCell ref="D4:D6"/>
    <mergeCell ref="E4:F5"/>
    <mergeCell ref="A8:F8"/>
    <mergeCell ref="A9:F9"/>
    <mergeCell ref="A10:F10"/>
    <mergeCell ref="A15:D15"/>
    <mergeCell ref="E15:F15"/>
  </mergeCells>
  <pageMargins left="0.6" right="0.4" top="0.65" bottom="0.4" header="0.4" footer="0.4"/>
  <pageSetup paperSize="9" scale="85" fitToHeight="0" orientation="portrait" r:id="rId1"/>
  <headerFooter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K210"/>
  <sheetViews>
    <sheetView workbookViewId="0">
      <selection activeCell="A206" sqref="A206:O206"/>
    </sheetView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66562</v>
      </c>
      <c r="M1">
        <v>10</v>
      </c>
      <c r="N1">
        <v>11</v>
      </c>
      <c r="O1">
        <v>12</v>
      </c>
      <c r="P1">
        <v>0</v>
      </c>
      <c r="Q1">
        <v>1</v>
      </c>
    </row>
    <row r="12" spans="1:133" x14ac:dyDescent="0.2">
      <c r="A12" s="1">
        <v>1</v>
      </c>
      <c r="B12" s="1">
        <v>206</v>
      </c>
      <c r="C12" s="1">
        <v>0</v>
      </c>
      <c r="D12" s="1">
        <f>ROW(A171)</f>
        <v>171</v>
      </c>
      <c r="E12" s="1">
        <v>0</v>
      </c>
      <c r="F12" s="1" t="s">
        <v>4</v>
      </c>
      <c r="G12" s="1" t="s">
        <v>5</v>
      </c>
      <c r="H12" s="1" t="s">
        <v>3</v>
      </c>
      <c r="I12" s="1">
        <v>0</v>
      </c>
      <c r="J12" s="1" t="s">
        <v>3</v>
      </c>
      <c r="K12" s="1">
        <v>0</v>
      </c>
      <c r="L12" s="1">
        <v>0</v>
      </c>
      <c r="M12" s="1">
        <v>2</v>
      </c>
      <c r="N12" s="1"/>
      <c r="O12" s="1">
        <v>0</v>
      </c>
      <c r="P12" s="1">
        <v>0</v>
      </c>
      <c r="Q12" s="1">
        <v>0</v>
      </c>
      <c r="R12" s="1">
        <v>108</v>
      </c>
      <c r="S12" s="1"/>
      <c r="T12" s="1">
        <v>1</v>
      </c>
      <c r="U12" s="1" t="s">
        <v>3</v>
      </c>
      <c r="V12" s="1">
        <v>0</v>
      </c>
      <c r="W12" s="1" t="s">
        <v>3</v>
      </c>
      <c r="X12" s="1" t="s">
        <v>3</v>
      </c>
      <c r="Y12" s="1" t="s">
        <v>3</v>
      </c>
      <c r="Z12" s="1" t="s">
        <v>3</v>
      </c>
      <c r="AA12" s="1" t="s">
        <v>3</v>
      </c>
      <c r="AB12" s="1" t="s">
        <v>3</v>
      </c>
      <c r="AC12" s="1" t="s">
        <v>3</v>
      </c>
      <c r="AD12" s="1" t="s">
        <v>3</v>
      </c>
      <c r="AE12" s="1" t="s">
        <v>3</v>
      </c>
      <c r="AF12" s="1" t="s">
        <v>3</v>
      </c>
      <c r="AG12" s="1" t="s">
        <v>3</v>
      </c>
      <c r="AH12" s="1" t="s">
        <v>3</v>
      </c>
      <c r="AI12" s="1" t="s">
        <v>3</v>
      </c>
      <c r="AJ12" s="1" t="s">
        <v>3</v>
      </c>
      <c r="AK12" s="1"/>
      <c r="AL12" s="1" t="s">
        <v>3</v>
      </c>
      <c r="AM12" s="1" t="s">
        <v>3</v>
      </c>
      <c r="AN12" s="1" t="s">
        <v>3</v>
      </c>
      <c r="AO12" s="1"/>
      <c r="AP12" s="1" t="s">
        <v>3</v>
      </c>
      <c r="AQ12" s="1" t="s">
        <v>3</v>
      </c>
      <c r="AR12" s="1" t="s">
        <v>3</v>
      </c>
      <c r="AS12" s="1"/>
      <c r="AT12" s="1"/>
      <c r="AU12" s="1"/>
      <c r="AV12" s="1"/>
      <c r="AW12" s="1"/>
      <c r="AX12" s="1" t="s">
        <v>3</v>
      </c>
      <c r="AY12" s="1" t="s">
        <v>3</v>
      </c>
      <c r="AZ12" s="1" t="s">
        <v>3</v>
      </c>
      <c r="BA12" s="1"/>
      <c r="BB12" s="1">
        <v>0</v>
      </c>
      <c r="BC12" s="1"/>
      <c r="BD12" s="1"/>
      <c r="BE12" s="1"/>
      <c r="BF12" s="1"/>
      <c r="BG12" s="1"/>
      <c r="BH12" s="1" t="s">
        <v>6</v>
      </c>
      <c r="BI12" s="1" t="s">
        <v>7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0</v>
      </c>
      <c r="BW12" s="1">
        <v>0</v>
      </c>
      <c r="BX12" s="1">
        <v>0</v>
      </c>
      <c r="BY12" s="1" t="s">
        <v>8</v>
      </c>
      <c r="BZ12" s="1" t="s">
        <v>9</v>
      </c>
      <c r="CA12" s="1" t="s">
        <v>10</v>
      </c>
      <c r="CB12" s="1" t="s">
        <v>10</v>
      </c>
      <c r="CC12" s="1" t="s">
        <v>10</v>
      </c>
      <c r="CD12" s="1" t="s">
        <v>10</v>
      </c>
      <c r="CE12" s="1" t="s">
        <v>11</v>
      </c>
      <c r="CF12" s="1">
        <v>0</v>
      </c>
      <c r="CG12" s="1">
        <v>0</v>
      </c>
      <c r="CH12" s="1">
        <v>8</v>
      </c>
      <c r="CI12" s="1" t="s">
        <v>3</v>
      </c>
      <c r="CJ12" s="1" t="s">
        <v>3</v>
      </c>
      <c r="CK12" s="1">
        <v>0</v>
      </c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>
        <v>0</v>
      </c>
      <c r="CZ12" s="1" t="s">
        <v>3</v>
      </c>
      <c r="DA12" s="1" t="s">
        <v>3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5" spans="1:133" x14ac:dyDescent="0.2">
      <c r="A15" s="1">
        <v>15</v>
      </c>
      <c r="B15" s="1">
        <v>1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</row>
    <row r="18" spans="1:245" x14ac:dyDescent="0.2">
      <c r="A18" s="2">
        <v>52</v>
      </c>
      <c r="B18" s="2">
        <f t="shared" ref="B18:G18" si="0">B171</f>
        <v>206</v>
      </c>
      <c r="C18" s="2">
        <f t="shared" si="0"/>
        <v>1</v>
      </c>
      <c r="D18" s="2">
        <f t="shared" si="0"/>
        <v>12</v>
      </c>
      <c r="E18" s="2">
        <f t="shared" si="0"/>
        <v>0</v>
      </c>
      <c r="F18" s="2" t="str">
        <f t="shared" si="0"/>
        <v>Новый объект</v>
      </c>
      <c r="G18" s="2" t="str">
        <f t="shared" si="0"/>
        <v>ГБОУ Школа №1440. Крылатские холмы д. 17. Фасад, кровля (в ценах на 01.04.2025 г)</v>
      </c>
      <c r="H18" s="2"/>
      <c r="I18" s="2"/>
      <c r="J18" s="2"/>
      <c r="K18" s="2"/>
      <c r="L18" s="2"/>
      <c r="M18" s="2"/>
      <c r="N18" s="2"/>
      <c r="O18" s="2">
        <f t="shared" ref="O18:AT18" si="1">O171</f>
        <v>158531.96</v>
      </c>
      <c r="P18" s="2">
        <f t="shared" si="1"/>
        <v>68377.22</v>
      </c>
      <c r="Q18" s="2">
        <f t="shared" si="1"/>
        <v>11409.61</v>
      </c>
      <c r="R18" s="2">
        <f t="shared" si="1"/>
        <v>6201.43</v>
      </c>
      <c r="S18" s="2">
        <f t="shared" si="1"/>
        <v>78745.13</v>
      </c>
      <c r="T18" s="2">
        <f t="shared" si="1"/>
        <v>0</v>
      </c>
      <c r="U18" s="2">
        <f t="shared" si="1"/>
        <v>163.38800000000001</v>
      </c>
      <c r="V18" s="2">
        <f t="shared" si="1"/>
        <v>0</v>
      </c>
      <c r="W18" s="2">
        <f t="shared" si="1"/>
        <v>0</v>
      </c>
      <c r="X18" s="2">
        <f t="shared" si="1"/>
        <v>55121.59</v>
      </c>
      <c r="Y18" s="2">
        <f t="shared" si="1"/>
        <v>7874.52</v>
      </c>
      <c r="Z18" s="2">
        <f t="shared" si="1"/>
        <v>0</v>
      </c>
      <c r="AA18" s="2">
        <f t="shared" si="1"/>
        <v>0</v>
      </c>
      <c r="AB18" s="2">
        <f t="shared" si="1"/>
        <v>0</v>
      </c>
      <c r="AC18" s="2">
        <f t="shared" si="1"/>
        <v>0</v>
      </c>
      <c r="AD18" s="2">
        <f t="shared" si="1"/>
        <v>0</v>
      </c>
      <c r="AE18" s="2">
        <f t="shared" si="1"/>
        <v>0</v>
      </c>
      <c r="AF18" s="2">
        <f t="shared" si="1"/>
        <v>0</v>
      </c>
      <c r="AG18" s="2">
        <f t="shared" si="1"/>
        <v>0</v>
      </c>
      <c r="AH18" s="2">
        <f t="shared" si="1"/>
        <v>0</v>
      </c>
      <c r="AI18" s="2">
        <f t="shared" si="1"/>
        <v>0</v>
      </c>
      <c r="AJ18" s="2">
        <f t="shared" si="1"/>
        <v>0</v>
      </c>
      <c r="AK18" s="2">
        <f t="shared" si="1"/>
        <v>0</v>
      </c>
      <c r="AL18" s="2">
        <f t="shared" si="1"/>
        <v>0</v>
      </c>
      <c r="AM18" s="2">
        <f t="shared" si="1"/>
        <v>0</v>
      </c>
      <c r="AN18" s="2">
        <f t="shared" si="1"/>
        <v>0</v>
      </c>
      <c r="AO18" s="2">
        <f t="shared" si="1"/>
        <v>0</v>
      </c>
      <c r="AP18" s="2">
        <f t="shared" si="1"/>
        <v>0</v>
      </c>
      <c r="AQ18" s="2">
        <f t="shared" si="1"/>
        <v>0</v>
      </c>
      <c r="AR18" s="2">
        <f t="shared" si="1"/>
        <v>224349.28</v>
      </c>
      <c r="AS18" s="2">
        <f t="shared" si="1"/>
        <v>0</v>
      </c>
      <c r="AT18" s="2">
        <f t="shared" si="1"/>
        <v>0</v>
      </c>
      <c r="AU18" s="2">
        <f t="shared" ref="AU18:BZ18" si="2">AU171</f>
        <v>224349.28</v>
      </c>
      <c r="AV18" s="2">
        <f t="shared" si="2"/>
        <v>68377.22</v>
      </c>
      <c r="AW18" s="2">
        <f t="shared" si="2"/>
        <v>68377.22</v>
      </c>
      <c r="AX18" s="2">
        <f t="shared" si="2"/>
        <v>0</v>
      </c>
      <c r="AY18" s="2">
        <f t="shared" si="2"/>
        <v>68377.22</v>
      </c>
      <c r="AZ18" s="2">
        <f t="shared" si="2"/>
        <v>0</v>
      </c>
      <c r="BA18" s="2">
        <f t="shared" si="2"/>
        <v>0</v>
      </c>
      <c r="BB18" s="2">
        <f t="shared" si="2"/>
        <v>0</v>
      </c>
      <c r="BC18" s="2">
        <f t="shared" si="2"/>
        <v>0</v>
      </c>
      <c r="BD18" s="2">
        <f t="shared" si="2"/>
        <v>0</v>
      </c>
      <c r="BE18" s="2">
        <f t="shared" si="2"/>
        <v>0</v>
      </c>
      <c r="BF18" s="2">
        <f t="shared" si="2"/>
        <v>0</v>
      </c>
      <c r="BG18" s="2">
        <f t="shared" si="2"/>
        <v>0</v>
      </c>
      <c r="BH18" s="2">
        <f t="shared" si="2"/>
        <v>0</v>
      </c>
      <c r="BI18" s="2">
        <f t="shared" si="2"/>
        <v>0</v>
      </c>
      <c r="BJ18" s="2">
        <f t="shared" si="2"/>
        <v>0</v>
      </c>
      <c r="BK18" s="2">
        <f t="shared" si="2"/>
        <v>0</v>
      </c>
      <c r="BL18" s="2">
        <f t="shared" si="2"/>
        <v>0</v>
      </c>
      <c r="BM18" s="2">
        <f t="shared" si="2"/>
        <v>0</v>
      </c>
      <c r="BN18" s="2">
        <f t="shared" si="2"/>
        <v>0</v>
      </c>
      <c r="BO18" s="2">
        <f t="shared" si="2"/>
        <v>0</v>
      </c>
      <c r="BP18" s="2">
        <f t="shared" si="2"/>
        <v>0</v>
      </c>
      <c r="BQ18" s="2">
        <f t="shared" si="2"/>
        <v>0</v>
      </c>
      <c r="BR18" s="2">
        <f t="shared" si="2"/>
        <v>0</v>
      </c>
      <c r="BS18" s="2">
        <f t="shared" si="2"/>
        <v>0</v>
      </c>
      <c r="BT18" s="2">
        <f t="shared" si="2"/>
        <v>0</v>
      </c>
      <c r="BU18" s="2">
        <f t="shared" si="2"/>
        <v>0</v>
      </c>
      <c r="BV18" s="2">
        <f t="shared" si="2"/>
        <v>0</v>
      </c>
      <c r="BW18" s="2">
        <f t="shared" si="2"/>
        <v>0</v>
      </c>
      <c r="BX18" s="2">
        <f t="shared" si="2"/>
        <v>0</v>
      </c>
      <c r="BY18" s="2">
        <f t="shared" si="2"/>
        <v>0</v>
      </c>
      <c r="BZ18" s="2">
        <f t="shared" si="2"/>
        <v>0</v>
      </c>
      <c r="CA18" s="2">
        <f t="shared" ref="CA18:DF18" si="3">CA171</f>
        <v>0</v>
      </c>
      <c r="CB18" s="2">
        <f t="shared" si="3"/>
        <v>0</v>
      </c>
      <c r="CC18" s="2">
        <f t="shared" si="3"/>
        <v>0</v>
      </c>
      <c r="CD18" s="2">
        <f t="shared" si="3"/>
        <v>0</v>
      </c>
      <c r="CE18" s="2">
        <f t="shared" si="3"/>
        <v>0</v>
      </c>
      <c r="CF18" s="2">
        <f t="shared" si="3"/>
        <v>0</v>
      </c>
      <c r="CG18" s="2">
        <f t="shared" si="3"/>
        <v>0</v>
      </c>
      <c r="CH18" s="2">
        <f t="shared" si="3"/>
        <v>0</v>
      </c>
      <c r="CI18" s="2">
        <f t="shared" si="3"/>
        <v>0</v>
      </c>
      <c r="CJ18" s="2">
        <f t="shared" si="3"/>
        <v>0</v>
      </c>
      <c r="CK18" s="2">
        <f t="shared" si="3"/>
        <v>0</v>
      </c>
      <c r="CL18" s="2">
        <f t="shared" si="3"/>
        <v>0</v>
      </c>
      <c r="CM18" s="2">
        <f t="shared" si="3"/>
        <v>0</v>
      </c>
      <c r="CN18" s="2">
        <f t="shared" si="3"/>
        <v>0</v>
      </c>
      <c r="CO18" s="2">
        <f t="shared" si="3"/>
        <v>0</v>
      </c>
      <c r="CP18" s="2">
        <f t="shared" si="3"/>
        <v>0</v>
      </c>
      <c r="CQ18" s="2">
        <f t="shared" si="3"/>
        <v>0</v>
      </c>
      <c r="CR18" s="2">
        <f t="shared" si="3"/>
        <v>0</v>
      </c>
      <c r="CS18" s="2">
        <f t="shared" si="3"/>
        <v>0</v>
      </c>
      <c r="CT18" s="2">
        <f t="shared" si="3"/>
        <v>0</v>
      </c>
      <c r="CU18" s="2">
        <f t="shared" si="3"/>
        <v>0</v>
      </c>
      <c r="CV18" s="2">
        <f t="shared" si="3"/>
        <v>0</v>
      </c>
      <c r="CW18" s="2">
        <f t="shared" si="3"/>
        <v>0</v>
      </c>
      <c r="CX18" s="2">
        <f t="shared" si="3"/>
        <v>0</v>
      </c>
      <c r="CY18" s="2">
        <f t="shared" si="3"/>
        <v>0</v>
      </c>
      <c r="CZ18" s="2">
        <f t="shared" si="3"/>
        <v>0</v>
      </c>
      <c r="DA18" s="2">
        <f t="shared" si="3"/>
        <v>0</v>
      </c>
      <c r="DB18" s="2">
        <f t="shared" si="3"/>
        <v>0</v>
      </c>
      <c r="DC18" s="2">
        <f t="shared" si="3"/>
        <v>0</v>
      </c>
      <c r="DD18" s="2">
        <f t="shared" si="3"/>
        <v>0</v>
      </c>
      <c r="DE18" s="2">
        <f t="shared" si="3"/>
        <v>0</v>
      </c>
      <c r="DF18" s="2">
        <f t="shared" si="3"/>
        <v>0</v>
      </c>
      <c r="DG18" s="3">
        <f t="shared" ref="DG18:EL18" si="4">DG171</f>
        <v>0</v>
      </c>
      <c r="DH18" s="3">
        <f t="shared" si="4"/>
        <v>0</v>
      </c>
      <c r="DI18" s="3">
        <f t="shared" si="4"/>
        <v>0</v>
      </c>
      <c r="DJ18" s="3">
        <f t="shared" si="4"/>
        <v>0</v>
      </c>
      <c r="DK18" s="3">
        <f t="shared" si="4"/>
        <v>0</v>
      </c>
      <c r="DL18" s="3">
        <f t="shared" si="4"/>
        <v>0</v>
      </c>
      <c r="DM18" s="3">
        <f t="shared" si="4"/>
        <v>0</v>
      </c>
      <c r="DN18" s="3">
        <f t="shared" si="4"/>
        <v>0</v>
      </c>
      <c r="DO18" s="3">
        <f t="shared" si="4"/>
        <v>0</v>
      </c>
      <c r="DP18" s="3">
        <f t="shared" si="4"/>
        <v>0</v>
      </c>
      <c r="DQ18" s="3">
        <f t="shared" si="4"/>
        <v>0</v>
      </c>
      <c r="DR18" s="3">
        <f t="shared" si="4"/>
        <v>0</v>
      </c>
      <c r="DS18" s="3">
        <f t="shared" si="4"/>
        <v>0</v>
      </c>
      <c r="DT18" s="3">
        <f t="shared" si="4"/>
        <v>0</v>
      </c>
      <c r="DU18" s="3">
        <f t="shared" si="4"/>
        <v>0</v>
      </c>
      <c r="DV18" s="3">
        <f t="shared" si="4"/>
        <v>0</v>
      </c>
      <c r="DW18" s="3">
        <f t="shared" si="4"/>
        <v>0</v>
      </c>
      <c r="DX18" s="3">
        <f t="shared" si="4"/>
        <v>0</v>
      </c>
      <c r="DY18" s="3">
        <f t="shared" si="4"/>
        <v>0</v>
      </c>
      <c r="DZ18" s="3">
        <f t="shared" si="4"/>
        <v>0</v>
      </c>
      <c r="EA18" s="3">
        <f t="shared" si="4"/>
        <v>0</v>
      </c>
      <c r="EB18" s="3">
        <f t="shared" si="4"/>
        <v>0</v>
      </c>
      <c r="EC18" s="3">
        <f t="shared" si="4"/>
        <v>0</v>
      </c>
      <c r="ED18" s="3">
        <f t="shared" si="4"/>
        <v>0</v>
      </c>
      <c r="EE18" s="3">
        <f t="shared" si="4"/>
        <v>0</v>
      </c>
      <c r="EF18" s="3">
        <f t="shared" si="4"/>
        <v>0</v>
      </c>
      <c r="EG18" s="3">
        <f t="shared" si="4"/>
        <v>0</v>
      </c>
      <c r="EH18" s="3">
        <f t="shared" si="4"/>
        <v>0</v>
      </c>
      <c r="EI18" s="3">
        <f t="shared" si="4"/>
        <v>0</v>
      </c>
      <c r="EJ18" s="3">
        <f t="shared" si="4"/>
        <v>0</v>
      </c>
      <c r="EK18" s="3">
        <f t="shared" si="4"/>
        <v>0</v>
      </c>
      <c r="EL18" s="3">
        <f t="shared" si="4"/>
        <v>0</v>
      </c>
      <c r="EM18" s="3">
        <f t="shared" ref="EM18:FR18" si="5">EM171</f>
        <v>0</v>
      </c>
      <c r="EN18" s="3">
        <f t="shared" si="5"/>
        <v>0</v>
      </c>
      <c r="EO18" s="3">
        <f t="shared" si="5"/>
        <v>0</v>
      </c>
      <c r="EP18" s="3">
        <f t="shared" si="5"/>
        <v>0</v>
      </c>
      <c r="EQ18" s="3">
        <f t="shared" si="5"/>
        <v>0</v>
      </c>
      <c r="ER18" s="3">
        <f t="shared" si="5"/>
        <v>0</v>
      </c>
      <c r="ES18" s="3">
        <f t="shared" si="5"/>
        <v>0</v>
      </c>
      <c r="ET18" s="3">
        <f t="shared" si="5"/>
        <v>0</v>
      </c>
      <c r="EU18" s="3">
        <f t="shared" si="5"/>
        <v>0</v>
      </c>
      <c r="EV18" s="3">
        <f t="shared" si="5"/>
        <v>0</v>
      </c>
      <c r="EW18" s="3">
        <f t="shared" si="5"/>
        <v>0</v>
      </c>
      <c r="EX18" s="3">
        <f t="shared" si="5"/>
        <v>0</v>
      </c>
      <c r="EY18" s="3">
        <f t="shared" si="5"/>
        <v>0</v>
      </c>
      <c r="EZ18" s="3">
        <f t="shared" si="5"/>
        <v>0</v>
      </c>
      <c r="FA18" s="3">
        <f t="shared" si="5"/>
        <v>0</v>
      </c>
      <c r="FB18" s="3">
        <f t="shared" si="5"/>
        <v>0</v>
      </c>
      <c r="FC18" s="3">
        <f t="shared" si="5"/>
        <v>0</v>
      </c>
      <c r="FD18" s="3">
        <f t="shared" si="5"/>
        <v>0</v>
      </c>
      <c r="FE18" s="3">
        <f t="shared" si="5"/>
        <v>0</v>
      </c>
      <c r="FF18" s="3">
        <f t="shared" si="5"/>
        <v>0</v>
      </c>
      <c r="FG18" s="3">
        <f t="shared" si="5"/>
        <v>0</v>
      </c>
      <c r="FH18" s="3">
        <f t="shared" si="5"/>
        <v>0</v>
      </c>
      <c r="FI18" s="3">
        <f t="shared" si="5"/>
        <v>0</v>
      </c>
      <c r="FJ18" s="3">
        <f t="shared" si="5"/>
        <v>0</v>
      </c>
      <c r="FK18" s="3">
        <f t="shared" si="5"/>
        <v>0</v>
      </c>
      <c r="FL18" s="3">
        <f t="shared" si="5"/>
        <v>0</v>
      </c>
      <c r="FM18" s="3">
        <f t="shared" si="5"/>
        <v>0</v>
      </c>
      <c r="FN18" s="3">
        <f t="shared" si="5"/>
        <v>0</v>
      </c>
      <c r="FO18" s="3">
        <f t="shared" si="5"/>
        <v>0</v>
      </c>
      <c r="FP18" s="3">
        <f t="shared" si="5"/>
        <v>0</v>
      </c>
      <c r="FQ18" s="3">
        <f t="shared" si="5"/>
        <v>0</v>
      </c>
      <c r="FR18" s="3">
        <f t="shared" si="5"/>
        <v>0</v>
      </c>
      <c r="FS18" s="3">
        <f t="shared" ref="FS18:GX18" si="6">FS171</f>
        <v>0</v>
      </c>
      <c r="FT18" s="3">
        <f t="shared" si="6"/>
        <v>0</v>
      </c>
      <c r="FU18" s="3">
        <f t="shared" si="6"/>
        <v>0</v>
      </c>
      <c r="FV18" s="3">
        <f t="shared" si="6"/>
        <v>0</v>
      </c>
      <c r="FW18" s="3">
        <f t="shared" si="6"/>
        <v>0</v>
      </c>
      <c r="FX18" s="3">
        <f t="shared" si="6"/>
        <v>0</v>
      </c>
      <c r="FY18" s="3">
        <f t="shared" si="6"/>
        <v>0</v>
      </c>
      <c r="FZ18" s="3">
        <f t="shared" si="6"/>
        <v>0</v>
      </c>
      <c r="GA18" s="3">
        <f t="shared" si="6"/>
        <v>0</v>
      </c>
      <c r="GB18" s="3">
        <f t="shared" si="6"/>
        <v>0</v>
      </c>
      <c r="GC18" s="3">
        <f t="shared" si="6"/>
        <v>0</v>
      </c>
      <c r="GD18" s="3">
        <f t="shared" si="6"/>
        <v>0</v>
      </c>
      <c r="GE18" s="3">
        <f t="shared" si="6"/>
        <v>0</v>
      </c>
      <c r="GF18" s="3">
        <f t="shared" si="6"/>
        <v>0</v>
      </c>
      <c r="GG18" s="3">
        <f t="shared" si="6"/>
        <v>0</v>
      </c>
      <c r="GH18" s="3">
        <f t="shared" si="6"/>
        <v>0</v>
      </c>
      <c r="GI18" s="3">
        <f t="shared" si="6"/>
        <v>0</v>
      </c>
      <c r="GJ18" s="3">
        <f t="shared" si="6"/>
        <v>0</v>
      </c>
      <c r="GK18" s="3">
        <f t="shared" si="6"/>
        <v>0</v>
      </c>
      <c r="GL18" s="3">
        <f t="shared" si="6"/>
        <v>0</v>
      </c>
      <c r="GM18" s="3">
        <f t="shared" si="6"/>
        <v>0</v>
      </c>
      <c r="GN18" s="3">
        <f t="shared" si="6"/>
        <v>0</v>
      </c>
      <c r="GO18" s="3">
        <f t="shared" si="6"/>
        <v>0</v>
      </c>
      <c r="GP18" s="3">
        <f t="shared" si="6"/>
        <v>0</v>
      </c>
      <c r="GQ18" s="3">
        <f t="shared" si="6"/>
        <v>0</v>
      </c>
      <c r="GR18" s="3">
        <f t="shared" si="6"/>
        <v>0</v>
      </c>
      <c r="GS18" s="3">
        <f t="shared" si="6"/>
        <v>0</v>
      </c>
      <c r="GT18" s="3">
        <f t="shared" si="6"/>
        <v>0</v>
      </c>
      <c r="GU18" s="3">
        <f t="shared" si="6"/>
        <v>0</v>
      </c>
      <c r="GV18" s="3">
        <f t="shared" si="6"/>
        <v>0</v>
      </c>
      <c r="GW18" s="3">
        <f t="shared" si="6"/>
        <v>0</v>
      </c>
      <c r="GX18" s="3">
        <f t="shared" si="6"/>
        <v>0</v>
      </c>
    </row>
    <row r="20" spans="1:245" x14ac:dyDescent="0.2">
      <c r="A20" s="1">
        <v>3</v>
      </c>
      <c r="B20" s="1">
        <v>1</v>
      </c>
      <c r="C20" s="1"/>
      <c r="D20" s="1">
        <f>ROW(A141)</f>
        <v>141</v>
      </c>
      <c r="E20" s="1"/>
      <c r="F20" s="1" t="s">
        <v>3</v>
      </c>
      <c r="G20" s="1" t="s">
        <v>12</v>
      </c>
      <c r="H20" s="1" t="s">
        <v>3</v>
      </c>
      <c r="I20" s="1">
        <v>0</v>
      </c>
      <c r="J20" s="1" t="s">
        <v>3</v>
      </c>
      <c r="K20" s="1">
        <v>0</v>
      </c>
      <c r="L20" s="1" t="s">
        <v>12</v>
      </c>
      <c r="M20" s="1" t="s">
        <v>3</v>
      </c>
      <c r="N20" s="1"/>
      <c r="O20" s="1"/>
      <c r="P20" s="1"/>
      <c r="Q20" s="1"/>
      <c r="R20" s="1"/>
      <c r="S20" s="1">
        <v>0</v>
      </c>
      <c r="T20" s="1"/>
      <c r="U20" s="1" t="s">
        <v>3</v>
      </c>
      <c r="V20" s="1">
        <v>0</v>
      </c>
      <c r="W20" s="1"/>
      <c r="X20" s="1"/>
      <c r="Y20" s="1"/>
      <c r="Z20" s="1"/>
      <c r="AA20" s="1"/>
      <c r="AB20" s="1" t="s">
        <v>3</v>
      </c>
      <c r="AC20" s="1" t="s">
        <v>3</v>
      </c>
      <c r="AD20" s="1" t="s">
        <v>3</v>
      </c>
      <c r="AE20" s="1" t="s">
        <v>3</v>
      </c>
      <c r="AF20" s="1" t="s">
        <v>3</v>
      </c>
      <c r="AG20" s="1" t="s">
        <v>3</v>
      </c>
      <c r="AH20" s="1"/>
      <c r="AI20" s="1"/>
      <c r="AJ20" s="1"/>
      <c r="AK20" s="1"/>
      <c r="AL20" s="1"/>
      <c r="AM20" s="1"/>
      <c r="AN20" s="1"/>
      <c r="AO20" s="1"/>
      <c r="AP20" s="1" t="s">
        <v>3</v>
      </c>
      <c r="AQ20" s="1" t="s">
        <v>3</v>
      </c>
      <c r="AR20" s="1" t="s">
        <v>3</v>
      </c>
      <c r="AS20" s="1"/>
      <c r="AT20" s="1"/>
      <c r="AU20" s="1"/>
      <c r="AV20" s="1"/>
      <c r="AW20" s="1"/>
      <c r="AX20" s="1"/>
      <c r="AY20" s="1"/>
      <c r="AZ20" s="1" t="s">
        <v>3</v>
      </c>
      <c r="BA20" s="1"/>
      <c r="BB20" s="1" t="s">
        <v>3</v>
      </c>
      <c r="BC20" s="1" t="s">
        <v>3</v>
      </c>
      <c r="BD20" s="1" t="s">
        <v>3</v>
      </c>
      <c r="BE20" s="1" t="s">
        <v>3</v>
      </c>
      <c r="BF20" s="1" t="s">
        <v>3</v>
      </c>
      <c r="BG20" s="1" t="s">
        <v>3</v>
      </c>
      <c r="BH20" s="1" t="s">
        <v>3</v>
      </c>
      <c r="BI20" s="1" t="s">
        <v>3</v>
      </c>
      <c r="BJ20" s="1" t="s">
        <v>3</v>
      </c>
      <c r="BK20" s="1" t="s">
        <v>3</v>
      </c>
      <c r="BL20" s="1" t="s">
        <v>3</v>
      </c>
      <c r="BM20" s="1" t="s">
        <v>3</v>
      </c>
      <c r="BN20" s="1" t="s">
        <v>3</v>
      </c>
      <c r="BO20" s="1" t="s">
        <v>3</v>
      </c>
      <c r="BP20" s="1" t="s">
        <v>3</v>
      </c>
      <c r="BQ20" s="1"/>
      <c r="BR20" s="1"/>
      <c r="BS20" s="1"/>
      <c r="BT20" s="1"/>
      <c r="BU20" s="1"/>
      <c r="BV20" s="1"/>
      <c r="BW20" s="1"/>
      <c r="BX20" s="1">
        <v>0</v>
      </c>
      <c r="BY20" s="1"/>
      <c r="BZ20" s="1"/>
      <c r="CA20" s="1"/>
      <c r="CB20" s="1"/>
      <c r="CC20" s="1"/>
      <c r="CD20" s="1"/>
      <c r="CE20" s="1"/>
      <c r="CF20" s="1">
        <v>0</v>
      </c>
      <c r="CG20" s="1">
        <v>0</v>
      </c>
      <c r="CH20" s="1"/>
      <c r="CI20" s="1" t="s">
        <v>3</v>
      </c>
      <c r="CJ20" s="1" t="s">
        <v>3</v>
      </c>
      <c r="CK20" t="s">
        <v>3</v>
      </c>
      <c r="CL20" t="s">
        <v>3</v>
      </c>
      <c r="CM20" t="s">
        <v>3</v>
      </c>
      <c r="CN20" t="s">
        <v>3</v>
      </c>
      <c r="CO20" t="s">
        <v>3</v>
      </c>
      <c r="CP20" t="s">
        <v>3</v>
      </c>
      <c r="CQ20" t="s">
        <v>3</v>
      </c>
    </row>
    <row r="22" spans="1:245" x14ac:dyDescent="0.2">
      <c r="A22" s="2">
        <v>52</v>
      </c>
      <c r="B22" s="2">
        <f t="shared" ref="B22:G22" si="7">B141</f>
        <v>1</v>
      </c>
      <c r="C22" s="2">
        <f t="shared" si="7"/>
        <v>3</v>
      </c>
      <c r="D22" s="2">
        <f t="shared" si="7"/>
        <v>20</v>
      </c>
      <c r="E22" s="2">
        <f t="shared" si="7"/>
        <v>0</v>
      </c>
      <c r="F22" s="2" t="str">
        <f t="shared" si="7"/>
        <v/>
      </c>
      <c r="G22" s="2" t="str">
        <f t="shared" si="7"/>
        <v>Новая локальная смета</v>
      </c>
      <c r="H22" s="2"/>
      <c r="I22" s="2"/>
      <c r="J22" s="2"/>
      <c r="K22" s="2"/>
      <c r="L22" s="2"/>
      <c r="M22" s="2"/>
      <c r="N22" s="2"/>
      <c r="O22" s="2">
        <f t="shared" ref="O22:AT22" si="8">O141</f>
        <v>158531.96</v>
      </c>
      <c r="P22" s="2">
        <f t="shared" si="8"/>
        <v>68377.22</v>
      </c>
      <c r="Q22" s="2">
        <f t="shared" si="8"/>
        <v>11409.61</v>
      </c>
      <c r="R22" s="2">
        <f t="shared" si="8"/>
        <v>6201.43</v>
      </c>
      <c r="S22" s="2">
        <f t="shared" si="8"/>
        <v>78745.13</v>
      </c>
      <c r="T22" s="2">
        <f t="shared" si="8"/>
        <v>0</v>
      </c>
      <c r="U22" s="2">
        <f t="shared" si="8"/>
        <v>163.38800000000001</v>
      </c>
      <c r="V22" s="2">
        <f t="shared" si="8"/>
        <v>0</v>
      </c>
      <c r="W22" s="2">
        <f t="shared" si="8"/>
        <v>0</v>
      </c>
      <c r="X22" s="2">
        <f t="shared" si="8"/>
        <v>55121.59</v>
      </c>
      <c r="Y22" s="2">
        <f t="shared" si="8"/>
        <v>7874.52</v>
      </c>
      <c r="Z22" s="2">
        <f t="shared" si="8"/>
        <v>0</v>
      </c>
      <c r="AA22" s="2">
        <f t="shared" si="8"/>
        <v>0</v>
      </c>
      <c r="AB22" s="2">
        <f t="shared" si="8"/>
        <v>0</v>
      </c>
      <c r="AC22" s="2">
        <f t="shared" si="8"/>
        <v>0</v>
      </c>
      <c r="AD22" s="2">
        <f t="shared" si="8"/>
        <v>0</v>
      </c>
      <c r="AE22" s="2">
        <f t="shared" si="8"/>
        <v>0</v>
      </c>
      <c r="AF22" s="2">
        <f t="shared" si="8"/>
        <v>0</v>
      </c>
      <c r="AG22" s="2">
        <f t="shared" si="8"/>
        <v>0</v>
      </c>
      <c r="AH22" s="2">
        <f t="shared" si="8"/>
        <v>0</v>
      </c>
      <c r="AI22" s="2">
        <f t="shared" si="8"/>
        <v>0</v>
      </c>
      <c r="AJ22" s="2">
        <f t="shared" si="8"/>
        <v>0</v>
      </c>
      <c r="AK22" s="2">
        <f t="shared" si="8"/>
        <v>0</v>
      </c>
      <c r="AL22" s="2">
        <f t="shared" si="8"/>
        <v>0</v>
      </c>
      <c r="AM22" s="2">
        <f t="shared" si="8"/>
        <v>0</v>
      </c>
      <c r="AN22" s="2">
        <f t="shared" si="8"/>
        <v>0</v>
      </c>
      <c r="AO22" s="2">
        <f t="shared" si="8"/>
        <v>0</v>
      </c>
      <c r="AP22" s="2">
        <f t="shared" si="8"/>
        <v>0</v>
      </c>
      <c r="AQ22" s="2">
        <f t="shared" si="8"/>
        <v>0</v>
      </c>
      <c r="AR22" s="2">
        <f t="shared" si="8"/>
        <v>224349.28</v>
      </c>
      <c r="AS22" s="2">
        <f t="shared" si="8"/>
        <v>0</v>
      </c>
      <c r="AT22" s="2">
        <f t="shared" si="8"/>
        <v>0</v>
      </c>
      <c r="AU22" s="2">
        <f t="shared" ref="AU22:BZ22" si="9">AU141</f>
        <v>224349.28</v>
      </c>
      <c r="AV22" s="2">
        <f t="shared" si="9"/>
        <v>68377.22</v>
      </c>
      <c r="AW22" s="2">
        <f t="shared" si="9"/>
        <v>68377.22</v>
      </c>
      <c r="AX22" s="2">
        <f t="shared" si="9"/>
        <v>0</v>
      </c>
      <c r="AY22" s="2">
        <f t="shared" si="9"/>
        <v>68377.22</v>
      </c>
      <c r="AZ22" s="2">
        <f t="shared" si="9"/>
        <v>0</v>
      </c>
      <c r="BA22" s="2">
        <f t="shared" si="9"/>
        <v>0</v>
      </c>
      <c r="BB22" s="2">
        <f t="shared" si="9"/>
        <v>0</v>
      </c>
      <c r="BC22" s="2">
        <f t="shared" si="9"/>
        <v>0</v>
      </c>
      <c r="BD22" s="2">
        <f t="shared" si="9"/>
        <v>0</v>
      </c>
      <c r="BE22" s="2">
        <f t="shared" si="9"/>
        <v>0</v>
      </c>
      <c r="BF22" s="2">
        <f t="shared" si="9"/>
        <v>0</v>
      </c>
      <c r="BG22" s="2">
        <f t="shared" si="9"/>
        <v>0</v>
      </c>
      <c r="BH22" s="2">
        <f t="shared" si="9"/>
        <v>0</v>
      </c>
      <c r="BI22" s="2">
        <f t="shared" si="9"/>
        <v>0</v>
      </c>
      <c r="BJ22" s="2">
        <f t="shared" si="9"/>
        <v>0</v>
      </c>
      <c r="BK22" s="2">
        <f t="shared" si="9"/>
        <v>0</v>
      </c>
      <c r="BL22" s="2">
        <f t="shared" si="9"/>
        <v>0</v>
      </c>
      <c r="BM22" s="2">
        <f t="shared" si="9"/>
        <v>0</v>
      </c>
      <c r="BN22" s="2">
        <f t="shared" si="9"/>
        <v>0</v>
      </c>
      <c r="BO22" s="2">
        <f t="shared" si="9"/>
        <v>0</v>
      </c>
      <c r="BP22" s="2">
        <f t="shared" si="9"/>
        <v>0</v>
      </c>
      <c r="BQ22" s="2">
        <f t="shared" si="9"/>
        <v>0</v>
      </c>
      <c r="BR22" s="2">
        <f t="shared" si="9"/>
        <v>0</v>
      </c>
      <c r="BS22" s="2">
        <f t="shared" si="9"/>
        <v>0</v>
      </c>
      <c r="BT22" s="2">
        <f t="shared" si="9"/>
        <v>0</v>
      </c>
      <c r="BU22" s="2">
        <f t="shared" si="9"/>
        <v>0</v>
      </c>
      <c r="BV22" s="2">
        <f t="shared" si="9"/>
        <v>0</v>
      </c>
      <c r="BW22" s="2">
        <f t="shared" si="9"/>
        <v>0</v>
      </c>
      <c r="BX22" s="2">
        <f t="shared" si="9"/>
        <v>0</v>
      </c>
      <c r="BY22" s="2">
        <f t="shared" si="9"/>
        <v>0</v>
      </c>
      <c r="BZ22" s="2">
        <f t="shared" si="9"/>
        <v>0</v>
      </c>
      <c r="CA22" s="2">
        <f t="shared" ref="CA22:DF22" si="10">CA141</f>
        <v>0</v>
      </c>
      <c r="CB22" s="2">
        <f t="shared" si="10"/>
        <v>0</v>
      </c>
      <c r="CC22" s="2">
        <f t="shared" si="10"/>
        <v>0</v>
      </c>
      <c r="CD22" s="2">
        <f t="shared" si="10"/>
        <v>0</v>
      </c>
      <c r="CE22" s="2">
        <f t="shared" si="10"/>
        <v>0</v>
      </c>
      <c r="CF22" s="2">
        <f t="shared" si="10"/>
        <v>0</v>
      </c>
      <c r="CG22" s="2">
        <f t="shared" si="10"/>
        <v>0</v>
      </c>
      <c r="CH22" s="2">
        <f t="shared" si="10"/>
        <v>0</v>
      </c>
      <c r="CI22" s="2">
        <f t="shared" si="10"/>
        <v>0</v>
      </c>
      <c r="CJ22" s="2">
        <f t="shared" si="10"/>
        <v>0</v>
      </c>
      <c r="CK22" s="2">
        <f t="shared" si="10"/>
        <v>0</v>
      </c>
      <c r="CL22" s="2">
        <f t="shared" si="10"/>
        <v>0</v>
      </c>
      <c r="CM22" s="2">
        <f t="shared" si="10"/>
        <v>0</v>
      </c>
      <c r="CN22" s="2">
        <f t="shared" si="10"/>
        <v>0</v>
      </c>
      <c r="CO22" s="2">
        <f t="shared" si="10"/>
        <v>0</v>
      </c>
      <c r="CP22" s="2">
        <f t="shared" si="10"/>
        <v>0</v>
      </c>
      <c r="CQ22" s="2">
        <f t="shared" si="10"/>
        <v>0</v>
      </c>
      <c r="CR22" s="2">
        <f t="shared" si="10"/>
        <v>0</v>
      </c>
      <c r="CS22" s="2">
        <f t="shared" si="10"/>
        <v>0</v>
      </c>
      <c r="CT22" s="2">
        <f t="shared" si="10"/>
        <v>0</v>
      </c>
      <c r="CU22" s="2">
        <f t="shared" si="10"/>
        <v>0</v>
      </c>
      <c r="CV22" s="2">
        <f t="shared" si="10"/>
        <v>0</v>
      </c>
      <c r="CW22" s="2">
        <f t="shared" si="10"/>
        <v>0</v>
      </c>
      <c r="CX22" s="2">
        <f t="shared" si="10"/>
        <v>0</v>
      </c>
      <c r="CY22" s="2">
        <f t="shared" si="10"/>
        <v>0</v>
      </c>
      <c r="CZ22" s="2">
        <f t="shared" si="10"/>
        <v>0</v>
      </c>
      <c r="DA22" s="2">
        <f t="shared" si="10"/>
        <v>0</v>
      </c>
      <c r="DB22" s="2">
        <f t="shared" si="10"/>
        <v>0</v>
      </c>
      <c r="DC22" s="2">
        <f t="shared" si="10"/>
        <v>0</v>
      </c>
      <c r="DD22" s="2">
        <f t="shared" si="10"/>
        <v>0</v>
      </c>
      <c r="DE22" s="2">
        <f t="shared" si="10"/>
        <v>0</v>
      </c>
      <c r="DF22" s="2">
        <f t="shared" si="10"/>
        <v>0</v>
      </c>
      <c r="DG22" s="3">
        <f t="shared" ref="DG22:EL22" si="11">DG141</f>
        <v>0</v>
      </c>
      <c r="DH22" s="3">
        <f t="shared" si="11"/>
        <v>0</v>
      </c>
      <c r="DI22" s="3">
        <f t="shared" si="11"/>
        <v>0</v>
      </c>
      <c r="DJ22" s="3">
        <f t="shared" si="11"/>
        <v>0</v>
      </c>
      <c r="DK22" s="3">
        <f t="shared" si="11"/>
        <v>0</v>
      </c>
      <c r="DL22" s="3">
        <f t="shared" si="11"/>
        <v>0</v>
      </c>
      <c r="DM22" s="3">
        <f t="shared" si="11"/>
        <v>0</v>
      </c>
      <c r="DN22" s="3">
        <f t="shared" si="11"/>
        <v>0</v>
      </c>
      <c r="DO22" s="3">
        <f t="shared" si="11"/>
        <v>0</v>
      </c>
      <c r="DP22" s="3">
        <f t="shared" si="11"/>
        <v>0</v>
      </c>
      <c r="DQ22" s="3">
        <f t="shared" si="11"/>
        <v>0</v>
      </c>
      <c r="DR22" s="3">
        <f t="shared" si="11"/>
        <v>0</v>
      </c>
      <c r="DS22" s="3">
        <f t="shared" si="11"/>
        <v>0</v>
      </c>
      <c r="DT22" s="3">
        <f t="shared" si="11"/>
        <v>0</v>
      </c>
      <c r="DU22" s="3">
        <f t="shared" si="11"/>
        <v>0</v>
      </c>
      <c r="DV22" s="3">
        <f t="shared" si="11"/>
        <v>0</v>
      </c>
      <c r="DW22" s="3">
        <f t="shared" si="11"/>
        <v>0</v>
      </c>
      <c r="DX22" s="3">
        <f t="shared" si="11"/>
        <v>0</v>
      </c>
      <c r="DY22" s="3">
        <f t="shared" si="11"/>
        <v>0</v>
      </c>
      <c r="DZ22" s="3">
        <f t="shared" si="11"/>
        <v>0</v>
      </c>
      <c r="EA22" s="3">
        <f t="shared" si="11"/>
        <v>0</v>
      </c>
      <c r="EB22" s="3">
        <f t="shared" si="11"/>
        <v>0</v>
      </c>
      <c r="EC22" s="3">
        <f t="shared" si="11"/>
        <v>0</v>
      </c>
      <c r="ED22" s="3">
        <f t="shared" si="11"/>
        <v>0</v>
      </c>
      <c r="EE22" s="3">
        <f t="shared" si="11"/>
        <v>0</v>
      </c>
      <c r="EF22" s="3">
        <f t="shared" si="11"/>
        <v>0</v>
      </c>
      <c r="EG22" s="3">
        <f t="shared" si="11"/>
        <v>0</v>
      </c>
      <c r="EH22" s="3">
        <f t="shared" si="11"/>
        <v>0</v>
      </c>
      <c r="EI22" s="3">
        <f t="shared" si="11"/>
        <v>0</v>
      </c>
      <c r="EJ22" s="3">
        <f t="shared" si="11"/>
        <v>0</v>
      </c>
      <c r="EK22" s="3">
        <f t="shared" si="11"/>
        <v>0</v>
      </c>
      <c r="EL22" s="3">
        <f t="shared" si="11"/>
        <v>0</v>
      </c>
      <c r="EM22" s="3">
        <f t="shared" ref="EM22:FR22" si="12">EM141</f>
        <v>0</v>
      </c>
      <c r="EN22" s="3">
        <f t="shared" si="12"/>
        <v>0</v>
      </c>
      <c r="EO22" s="3">
        <f t="shared" si="12"/>
        <v>0</v>
      </c>
      <c r="EP22" s="3">
        <f t="shared" si="12"/>
        <v>0</v>
      </c>
      <c r="EQ22" s="3">
        <f t="shared" si="12"/>
        <v>0</v>
      </c>
      <c r="ER22" s="3">
        <f t="shared" si="12"/>
        <v>0</v>
      </c>
      <c r="ES22" s="3">
        <f t="shared" si="12"/>
        <v>0</v>
      </c>
      <c r="ET22" s="3">
        <f t="shared" si="12"/>
        <v>0</v>
      </c>
      <c r="EU22" s="3">
        <f t="shared" si="12"/>
        <v>0</v>
      </c>
      <c r="EV22" s="3">
        <f t="shared" si="12"/>
        <v>0</v>
      </c>
      <c r="EW22" s="3">
        <f t="shared" si="12"/>
        <v>0</v>
      </c>
      <c r="EX22" s="3">
        <f t="shared" si="12"/>
        <v>0</v>
      </c>
      <c r="EY22" s="3">
        <f t="shared" si="12"/>
        <v>0</v>
      </c>
      <c r="EZ22" s="3">
        <f t="shared" si="12"/>
        <v>0</v>
      </c>
      <c r="FA22" s="3">
        <f t="shared" si="12"/>
        <v>0</v>
      </c>
      <c r="FB22" s="3">
        <f t="shared" si="12"/>
        <v>0</v>
      </c>
      <c r="FC22" s="3">
        <f t="shared" si="12"/>
        <v>0</v>
      </c>
      <c r="FD22" s="3">
        <f t="shared" si="12"/>
        <v>0</v>
      </c>
      <c r="FE22" s="3">
        <f t="shared" si="12"/>
        <v>0</v>
      </c>
      <c r="FF22" s="3">
        <f t="shared" si="12"/>
        <v>0</v>
      </c>
      <c r="FG22" s="3">
        <f t="shared" si="12"/>
        <v>0</v>
      </c>
      <c r="FH22" s="3">
        <f t="shared" si="12"/>
        <v>0</v>
      </c>
      <c r="FI22" s="3">
        <f t="shared" si="12"/>
        <v>0</v>
      </c>
      <c r="FJ22" s="3">
        <f t="shared" si="12"/>
        <v>0</v>
      </c>
      <c r="FK22" s="3">
        <f t="shared" si="12"/>
        <v>0</v>
      </c>
      <c r="FL22" s="3">
        <f t="shared" si="12"/>
        <v>0</v>
      </c>
      <c r="FM22" s="3">
        <f t="shared" si="12"/>
        <v>0</v>
      </c>
      <c r="FN22" s="3">
        <f t="shared" si="12"/>
        <v>0</v>
      </c>
      <c r="FO22" s="3">
        <f t="shared" si="12"/>
        <v>0</v>
      </c>
      <c r="FP22" s="3">
        <f t="shared" si="12"/>
        <v>0</v>
      </c>
      <c r="FQ22" s="3">
        <f t="shared" si="12"/>
        <v>0</v>
      </c>
      <c r="FR22" s="3">
        <f t="shared" si="12"/>
        <v>0</v>
      </c>
      <c r="FS22" s="3">
        <f t="shared" ref="FS22:GX22" si="13">FS141</f>
        <v>0</v>
      </c>
      <c r="FT22" s="3">
        <f t="shared" si="13"/>
        <v>0</v>
      </c>
      <c r="FU22" s="3">
        <f t="shared" si="13"/>
        <v>0</v>
      </c>
      <c r="FV22" s="3">
        <f t="shared" si="13"/>
        <v>0</v>
      </c>
      <c r="FW22" s="3">
        <f t="shared" si="13"/>
        <v>0</v>
      </c>
      <c r="FX22" s="3">
        <f t="shared" si="13"/>
        <v>0</v>
      </c>
      <c r="FY22" s="3">
        <f t="shared" si="13"/>
        <v>0</v>
      </c>
      <c r="FZ22" s="3">
        <f t="shared" si="13"/>
        <v>0</v>
      </c>
      <c r="GA22" s="3">
        <f t="shared" si="13"/>
        <v>0</v>
      </c>
      <c r="GB22" s="3">
        <f t="shared" si="13"/>
        <v>0</v>
      </c>
      <c r="GC22" s="3">
        <f t="shared" si="13"/>
        <v>0</v>
      </c>
      <c r="GD22" s="3">
        <f t="shared" si="13"/>
        <v>0</v>
      </c>
      <c r="GE22" s="3">
        <f t="shared" si="13"/>
        <v>0</v>
      </c>
      <c r="GF22" s="3">
        <f t="shared" si="13"/>
        <v>0</v>
      </c>
      <c r="GG22" s="3">
        <f t="shared" si="13"/>
        <v>0</v>
      </c>
      <c r="GH22" s="3">
        <f t="shared" si="13"/>
        <v>0</v>
      </c>
      <c r="GI22" s="3">
        <f t="shared" si="13"/>
        <v>0</v>
      </c>
      <c r="GJ22" s="3">
        <f t="shared" si="13"/>
        <v>0</v>
      </c>
      <c r="GK22" s="3">
        <f t="shared" si="13"/>
        <v>0</v>
      </c>
      <c r="GL22" s="3">
        <f t="shared" si="13"/>
        <v>0</v>
      </c>
      <c r="GM22" s="3">
        <f t="shared" si="13"/>
        <v>0</v>
      </c>
      <c r="GN22" s="3">
        <f t="shared" si="13"/>
        <v>0</v>
      </c>
      <c r="GO22" s="3">
        <f t="shared" si="13"/>
        <v>0</v>
      </c>
      <c r="GP22" s="3">
        <f t="shared" si="13"/>
        <v>0</v>
      </c>
      <c r="GQ22" s="3">
        <f t="shared" si="13"/>
        <v>0</v>
      </c>
      <c r="GR22" s="3">
        <f t="shared" si="13"/>
        <v>0</v>
      </c>
      <c r="GS22" s="3">
        <f t="shared" si="13"/>
        <v>0</v>
      </c>
      <c r="GT22" s="3">
        <f t="shared" si="13"/>
        <v>0</v>
      </c>
      <c r="GU22" s="3">
        <f t="shared" si="13"/>
        <v>0</v>
      </c>
      <c r="GV22" s="3">
        <f t="shared" si="13"/>
        <v>0</v>
      </c>
      <c r="GW22" s="3">
        <f t="shared" si="13"/>
        <v>0</v>
      </c>
      <c r="GX22" s="3">
        <f t="shared" si="13"/>
        <v>0</v>
      </c>
    </row>
    <row r="24" spans="1:245" x14ac:dyDescent="0.2">
      <c r="A24" s="1">
        <v>4</v>
      </c>
      <c r="B24" s="1">
        <v>1</v>
      </c>
      <c r="C24" s="1"/>
      <c r="D24" s="1">
        <f>ROW(A33)</f>
        <v>33</v>
      </c>
      <c r="E24" s="1"/>
      <c r="F24" s="1" t="s">
        <v>13</v>
      </c>
      <c r="G24" s="1" t="s">
        <v>14</v>
      </c>
      <c r="H24" s="1" t="s">
        <v>3</v>
      </c>
      <c r="I24" s="1">
        <v>0</v>
      </c>
      <c r="J24" s="1"/>
      <c r="K24" s="1">
        <v>0</v>
      </c>
      <c r="L24" s="1"/>
      <c r="M24" s="1" t="s">
        <v>3</v>
      </c>
      <c r="N24" s="1"/>
      <c r="O24" s="1"/>
      <c r="P24" s="1"/>
      <c r="Q24" s="1"/>
      <c r="R24" s="1"/>
      <c r="S24" s="1">
        <v>0</v>
      </c>
      <c r="T24" s="1"/>
      <c r="U24" s="1" t="s">
        <v>3</v>
      </c>
      <c r="V24" s="1">
        <v>0</v>
      </c>
      <c r="W24" s="1"/>
      <c r="X24" s="1"/>
      <c r="Y24" s="1"/>
      <c r="Z24" s="1"/>
      <c r="AA24" s="1"/>
      <c r="AB24" s="1" t="s">
        <v>3</v>
      </c>
      <c r="AC24" s="1" t="s">
        <v>3</v>
      </c>
      <c r="AD24" s="1" t="s">
        <v>3</v>
      </c>
      <c r="AE24" s="1" t="s">
        <v>3</v>
      </c>
      <c r="AF24" s="1" t="s">
        <v>3</v>
      </c>
      <c r="AG24" s="1" t="s">
        <v>3</v>
      </c>
      <c r="AH24" s="1"/>
      <c r="AI24" s="1"/>
      <c r="AJ24" s="1"/>
      <c r="AK24" s="1"/>
      <c r="AL24" s="1"/>
      <c r="AM24" s="1"/>
      <c r="AN24" s="1"/>
      <c r="AO24" s="1"/>
      <c r="AP24" s="1" t="s">
        <v>3</v>
      </c>
      <c r="AQ24" s="1" t="s">
        <v>3</v>
      </c>
      <c r="AR24" s="1" t="s">
        <v>3</v>
      </c>
      <c r="AS24" s="1"/>
      <c r="AT24" s="1"/>
      <c r="AU24" s="1"/>
      <c r="AV24" s="1"/>
      <c r="AW24" s="1"/>
      <c r="AX24" s="1"/>
      <c r="AY24" s="1"/>
      <c r="AZ24" s="1" t="s">
        <v>3</v>
      </c>
      <c r="BA24" s="1"/>
      <c r="BB24" s="1" t="s">
        <v>3</v>
      </c>
      <c r="BC24" s="1" t="s">
        <v>3</v>
      </c>
      <c r="BD24" s="1" t="s">
        <v>3</v>
      </c>
      <c r="BE24" s="1" t="s">
        <v>3</v>
      </c>
      <c r="BF24" s="1" t="s">
        <v>3</v>
      </c>
      <c r="BG24" s="1" t="s">
        <v>3</v>
      </c>
      <c r="BH24" s="1" t="s">
        <v>3</v>
      </c>
      <c r="BI24" s="1" t="s">
        <v>3</v>
      </c>
      <c r="BJ24" s="1" t="s">
        <v>3</v>
      </c>
      <c r="BK24" s="1" t="s">
        <v>3</v>
      </c>
      <c r="BL24" s="1" t="s">
        <v>3</v>
      </c>
      <c r="BM24" s="1" t="s">
        <v>3</v>
      </c>
      <c r="BN24" s="1" t="s">
        <v>3</v>
      </c>
      <c r="BO24" s="1" t="s">
        <v>3</v>
      </c>
      <c r="BP24" s="1" t="s">
        <v>3</v>
      </c>
      <c r="BQ24" s="1"/>
      <c r="BR24" s="1"/>
      <c r="BS24" s="1"/>
      <c r="BT24" s="1"/>
      <c r="BU24" s="1"/>
      <c r="BV24" s="1"/>
      <c r="BW24" s="1"/>
      <c r="BX24" s="1">
        <v>0</v>
      </c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>
        <v>0</v>
      </c>
    </row>
    <row r="26" spans="1:245" x14ac:dyDescent="0.2">
      <c r="A26" s="2">
        <v>52</v>
      </c>
      <c r="B26" s="2">
        <f t="shared" ref="B26:G26" si="14">B33</f>
        <v>1</v>
      </c>
      <c r="C26" s="2">
        <f t="shared" si="14"/>
        <v>4</v>
      </c>
      <c r="D26" s="2">
        <f t="shared" si="14"/>
        <v>24</v>
      </c>
      <c r="E26" s="2">
        <f t="shared" si="14"/>
        <v>0</v>
      </c>
      <c r="F26" s="2" t="str">
        <f t="shared" si="14"/>
        <v>Новый раздел</v>
      </c>
      <c r="G26" s="2" t="str">
        <f t="shared" si="14"/>
        <v>Фасад</v>
      </c>
      <c r="H26" s="2"/>
      <c r="I26" s="2"/>
      <c r="J26" s="2"/>
      <c r="K26" s="2"/>
      <c r="L26" s="2"/>
      <c r="M26" s="2"/>
      <c r="N26" s="2"/>
      <c r="O26" s="2">
        <f t="shared" ref="O26:AT26" si="15">O33</f>
        <v>78635.740000000005</v>
      </c>
      <c r="P26" s="2">
        <f t="shared" si="15"/>
        <v>22142.39</v>
      </c>
      <c r="Q26" s="2">
        <f t="shared" si="15"/>
        <v>1470.09</v>
      </c>
      <c r="R26" s="2">
        <f t="shared" si="15"/>
        <v>547.22</v>
      </c>
      <c r="S26" s="2">
        <f t="shared" si="15"/>
        <v>55023.26</v>
      </c>
      <c r="T26" s="2">
        <f t="shared" si="15"/>
        <v>0</v>
      </c>
      <c r="U26" s="2">
        <f t="shared" si="15"/>
        <v>116.102</v>
      </c>
      <c r="V26" s="2">
        <f t="shared" si="15"/>
        <v>0</v>
      </c>
      <c r="W26" s="2">
        <f t="shared" si="15"/>
        <v>0</v>
      </c>
      <c r="X26" s="2">
        <f t="shared" si="15"/>
        <v>38516.29</v>
      </c>
      <c r="Y26" s="2">
        <f t="shared" si="15"/>
        <v>5502.33</v>
      </c>
      <c r="Z26" s="2">
        <f t="shared" si="15"/>
        <v>0</v>
      </c>
      <c r="AA26" s="2">
        <f t="shared" si="15"/>
        <v>0</v>
      </c>
      <c r="AB26" s="2">
        <f t="shared" si="15"/>
        <v>78635.740000000005</v>
      </c>
      <c r="AC26" s="2">
        <f t="shared" si="15"/>
        <v>22142.39</v>
      </c>
      <c r="AD26" s="2">
        <f t="shared" si="15"/>
        <v>1470.09</v>
      </c>
      <c r="AE26" s="2">
        <f t="shared" si="15"/>
        <v>547.22</v>
      </c>
      <c r="AF26" s="2">
        <f t="shared" si="15"/>
        <v>55023.26</v>
      </c>
      <c r="AG26" s="2">
        <f t="shared" si="15"/>
        <v>0</v>
      </c>
      <c r="AH26" s="2">
        <f t="shared" si="15"/>
        <v>116.102</v>
      </c>
      <c r="AI26" s="2">
        <f t="shared" si="15"/>
        <v>0</v>
      </c>
      <c r="AJ26" s="2">
        <f t="shared" si="15"/>
        <v>0</v>
      </c>
      <c r="AK26" s="2">
        <f t="shared" si="15"/>
        <v>38516.29</v>
      </c>
      <c r="AL26" s="2">
        <f t="shared" si="15"/>
        <v>5502.33</v>
      </c>
      <c r="AM26" s="2">
        <f t="shared" si="15"/>
        <v>0</v>
      </c>
      <c r="AN26" s="2">
        <f t="shared" si="15"/>
        <v>0</v>
      </c>
      <c r="AO26" s="2">
        <f t="shared" si="15"/>
        <v>0</v>
      </c>
      <c r="AP26" s="2">
        <f t="shared" si="15"/>
        <v>0</v>
      </c>
      <c r="AQ26" s="2">
        <f t="shared" si="15"/>
        <v>0</v>
      </c>
      <c r="AR26" s="2">
        <f t="shared" si="15"/>
        <v>123245.36</v>
      </c>
      <c r="AS26" s="2">
        <f t="shared" si="15"/>
        <v>0</v>
      </c>
      <c r="AT26" s="2">
        <f t="shared" si="15"/>
        <v>0</v>
      </c>
      <c r="AU26" s="2">
        <f t="shared" ref="AU26:BZ26" si="16">AU33</f>
        <v>123245.36</v>
      </c>
      <c r="AV26" s="2">
        <f t="shared" si="16"/>
        <v>22142.39</v>
      </c>
      <c r="AW26" s="2">
        <f t="shared" si="16"/>
        <v>22142.39</v>
      </c>
      <c r="AX26" s="2">
        <f t="shared" si="16"/>
        <v>0</v>
      </c>
      <c r="AY26" s="2">
        <f t="shared" si="16"/>
        <v>22142.39</v>
      </c>
      <c r="AZ26" s="2">
        <f t="shared" si="16"/>
        <v>0</v>
      </c>
      <c r="BA26" s="2">
        <f t="shared" si="16"/>
        <v>0</v>
      </c>
      <c r="BB26" s="2">
        <f t="shared" si="16"/>
        <v>0</v>
      </c>
      <c r="BC26" s="2">
        <f t="shared" si="16"/>
        <v>0</v>
      </c>
      <c r="BD26" s="2">
        <f t="shared" si="16"/>
        <v>0</v>
      </c>
      <c r="BE26" s="2">
        <f t="shared" si="16"/>
        <v>0</v>
      </c>
      <c r="BF26" s="2">
        <f t="shared" si="16"/>
        <v>0</v>
      </c>
      <c r="BG26" s="2">
        <f t="shared" si="16"/>
        <v>0</v>
      </c>
      <c r="BH26" s="2">
        <f t="shared" si="16"/>
        <v>0</v>
      </c>
      <c r="BI26" s="2">
        <f t="shared" si="16"/>
        <v>0</v>
      </c>
      <c r="BJ26" s="2">
        <f t="shared" si="16"/>
        <v>0</v>
      </c>
      <c r="BK26" s="2">
        <f t="shared" si="16"/>
        <v>0</v>
      </c>
      <c r="BL26" s="2">
        <f t="shared" si="16"/>
        <v>0</v>
      </c>
      <c r="BM26" s="2">
        <f t="shared" si="16"/>
        <v>0</v>
      </c>
      <c r="BN26" s="2">
        <f t="shared" si="16"/>
        <v>0</v>
      </c>
      <c r="BO26" s="2">
        <f t="shared" si="16"/>
        <v>0</v>
      </c>
      <c r="BP26" s="2">
        <f t="shared" si="16"/>
        <v>0</v>
      </c>
      <c r="BQ26" s="2">
        <f t="shared" si="16"/>
        <v>0</v>
      </c>
      <c r="BR26" s="2">
        <f t="shared" si="16"/>
        <v>0</v>
      </c>
      <c r="BS26" s="2">
        <f t="shared" si="16"/>
        <v>0</v>
      </c>
      <c r="BT26" s="2">
        <f t="shared" si="16"/>
        <v>0</v>
      </c>
      <c r="BU26" s="2">
        <f t="shared" si="16"/>
        <v>0</v>
      </c>
      <c r="BV26" s="2">
        <f t="shared" si="16"/>
        <v>0</v>
      </c>
      <c r="BW26" s="2">
        <f t="shared" si="16"/>
        <v>0</v>
      </c>
      <c r="BX26" s="2">
        <f t="shared" si="16"/>
        <v>0</v>
      </c>
      <c r="BY26" s="2">
        <f t="shared" si="16"/>
        <v>0</v>
      </c>
      <c r="BZ26" s="2">
        <f t="shared" si="16"/>
        <v>0</v>
      </c>
      <c r="CA26" s="2">
        <f t="shared" ref="CA26:DF26" si="17">CA33</f>
        <v>123245.36</v>
      </c>
      <c r="CB26" s="2">
        <f t="shared" si="17"/>
        <v>0</v>
      </c>
      <c r="CC26" s="2">
        <f t="shared" si="17"/>
        <v>0</v>
      </c>
      <c r="CD26" s="2">
        <f t="shared" si="17"/>
        <v>123245.36</v>
      </c>
      <c r="CE26" s="2">
        <f t="shared" si="17"/>
        <v>22142.39</v>
      </c>
      <c r="CF26" s="2">
        <f t="shared" si="17"/>
        <v>22142.39</v>
      </c>
      <c r="CG26" s="2">
        <f t="shared" si="17"/>
        <v>0</v>
      </c>
      <c r="CH26" s="2">
        <f t="shared" si="17"/>
        <v>22142.39</v>
      </c>
      <c r="CI26" s="2">
        <f t="shared" si="17"/>
        <v>0</v>
      </c>
      <c r="CJ26" s="2">
        <f t="shared" si="17"/>
        <v>0</v>
      </c>
      <c r="CK26" s="2">
        <f t="shared" si="17"/>
        <v>0</v>
      </c>
      <c r="CL26" s="2">
        <f t="shared" si="17"/>
        <v>0</v>
      </c>
      <c r="CM26" s="2">
        <f t="shared" si="17"/>
        <v>0</v>
      </c>
      <c r="CN26" s="2">
        <f t="shared" si="17"/>
        <v>0</v>
      </c>
      <c r="CO26" s="2">
        <f t="shared" si="17"/>
        <v>0</v>
      </c>
      <c r="CP26" s="2">
        <f t="shared" si="17"/>
        <v>0</v>
      </c>
      <c r="CQ26" s="2">
        <f t="shared" si="17"/>
        <v>0</v>
      </c>
      <c r="CR26" s="2">
        <f t="shared" si="17"/>
        <v>0</v>
      </c>
      <c r="CS26" s="2">
        <f t="shared" si="17"/>
        <v>0</v>
      </c>
      <c r="CT26" s="2">
        <f t="shared" si="17"/>
        <v>0</v>
      </c>
      <c r="CU26" s="2">
        <f t="shared" si="17"/>
        <v>0</v>
      </c>
      <c r="CV26" s="2">
        <f t="shared" si="17"/>
        <v>0</v>
      </c>
      <c r="CW26" s="2">
        <f t="shared" si="17"/>
        <v>0</v>
      </c>
      <c r="CX26" s="2">
        <f t="shared" si="17"/>
        <v>0</v>
      </c>
      <c r="CY26" s="2">
        <f t="shared" si="17"/>
        <v>0</v>
      </c>
      <c r="CZ26" s="2">
        <f t="shared" si="17"/>
        <v>0</v>
      </c>
      <c r="DA26" s="2">
        <f t="shared" si="17"/>
        <v>0</v>
      </c>
      <c r="DB26" s="2">
        <f t="shared" si="17"/>
        <v>0</v>
      </c>
      <c r="DC26" s="2">
        <f t="shared" si="17"/>
        <v>0</v>
      </c>
      <c r="DD26" s="2">
        <f t="shared" si="17"/>
        <v>0</v>
      </c>
      <c r="DE26" s="2">
        <f t="shared" si="17"/>
        <v>0</v>
      </c>
      <c r="DF26" s="2">
        <f t="shared" si="17"/>
        <v>0</v>
      </c>
      <c r="DG26" s="3">
        <f t="shared" ref="DG26:EL26" si="18">DG33</f>
        <v>0</v>
      </c>
      <c r="DH26" s="3">
        <f t="shared" si="18"/>
        <v>0</v>
      </c>
      <c r="DI26" s="3">
        <f t="shared" si="18"/>
        <v>0</v>
      </c>
      <c r="DJ26" s="3">
        <f t="shared" si="18"/>
        <v>0</v>
      </c>
      <c r="DK26" s="3">
        <f t="shared" si="18"/>
        <v>0</v>
      </c>
      <c r="DL26" s="3">
        <f t="shared" si="18"/>
        <v>0</v>
      </c>
      <c r="DM26" s="3">
        <f t="shared" si="18"/>
        <v>0</v>
      </c>
      <c r="DN26" s="3">
        <f t="shared" si="18"/>
        <v>0</v>
      </c>
      <c r="DO26" s="3">
        <f t="shared" si="18"/>
        <v>0</v>
      </c>
      <c r="DP26" s="3">
        <f t="shared" si="18"/>
        <v>0</v>
      </c>
      <c r="DQ26" s="3">
        <f t="shared" si="18"/>
        <v>0</v>
      </c>
      <c r="DR26" s="3">
        <f t="shared" si="18"/>
        <v>0</v>
      </c>
      <c r="DS26" s="3">
        <f t="shared" si="18"/>
        <v>0</v>
      </c>
      <c r="DT26" s="3">
        <f t="shared" si="18"/>
        <v>0</v>
      </c>
      <c r="DU26" s="3">
        <f t="shared" si="18"/>
        <v>0</v>
      </c>
      <c r="DV26" s="3">
        <f t="shared" si="18"/>
        <v>0</v>
      </c>
      <c r="DW26" s="3">
        <f t="shared" si="18"/>
        <v>0</v>
      </c>
      <c r="DX26" s="3">
        <f t="shared" si="18"/>
        <v>0</v>
      </c>
      <c r="DY26" s="3">
        <f t="shared" si="18"/>
        <v>0</v>
      </c>
      <c r="DZ26" s="3">
        <f t="shared" si="18"/>
        <v>0</v>
      </c>
      <c r="EA26" s="3">
        <f t="shared" si="18"/>
        <v>0</v>
      </c>
      <c r="EB26" s="3">
        <f t="shared" si="18"/>
        <v>0</v>
      </c>
      <c r="EC26" s="3">
        <f t="shared" si="18"/>
        <v>0</v>
      </c>
      <c r="ED26" s="3">
        <f t="shared" si="18"/>
        <v>0</v>
      </c>
      <c r="EE26" s="3">
        <f t="shared" si="18"/>
        <v>0</v>
      </c>
      <c r="EF26" s="3">
        <f t="shared" si="18"/>
        <v>0</v>
      </c>
      <c r="EG26" s="3">
        <f t="shared" si="18"/>
        <v>0</v>
      </c>
      <c r="EH26" s="3">
        <f t="shared" si="18"/>
        <v>0</v>
      </c>
      <c r="EI26" s="3">
        <f t="shared" si="18"/>
        <v>0</v>
      </c>
      <c r="EJ26" s="3">
        <f t="shared" si="18"/>
        <v>0</v>
      </c>
      <c r="EK26" s="3">
        <f t="shared" si="18"/>
        <v>0</v>
      </c>
      <c r="EL26" s="3">
        <f t="shared" si="18"/>
        <v>0</v>
      </c>
      <c r="EM26" s="3">
        <f t="shared" ref="EM26:FR26" si="19">EM33</f>
        <v>0</v>
      </c>
      <c r="EN26" s="3">
        <f t="shared" si="19"/>
        <v>0</v>
      </c>
      <c r="EO26" s="3">
        <f t="shared" si="19"/>
        <v>0</v>
      </c>
      <c r="EP26" s="3">
        <f t="shared" si="19"/>
        <v>0</v>
      </c>
      <c r="EQ26" s="3">
        <f t="shared" si="19"/>
        <v>0</v>
      </c>
      <c r="ER26" s="3">
        <f t="shared" si="19"/>
        <v>0</v>
      </c>
      <c r="ES26" s="3">
        <f t="shared" si="19"/>
        <v>0</v>
      </c>
      <c r="ET26" s="3">
        <f t="shared" si="19"/>
        <v>0</v>
      </c>
      <c r="EU26" s="3">
        <f t="shared" si="19"/>
        <v>0</v>
      </c>
      <c r="EV26" s="3">
        <f t="shared" si="19"/>
        <v>0</v>
      </c>
      <c r="EW26" s="3">
        <f t="shared" si="19"/>
        <v>0</v>
      </c>
      <c r="EX26" s="3">
        <f t="shared" si="19"/>
        <v>0</v>
      </c>
      <c r="EY26" s="3">
        <f t="shared" si="19"/>
        <v>0</v>
      </c>
      <c r="EZ26" s="3">
        <f t="shared" si="19"/>
        <v>0</v>
      </c>
      <c r="FA26" s="3">
        <f t="shared" si="19"/>
        <v>0</v>
      </c>
      <c r="FB26" s="3">
        <f t="shared" si="19"/>
        <v>0</v>
      </c>
      <c r="FC26" s="3">
        <f t="shared" si="19"/>
        <v>0</v>
      </c>
      <c r="FD26" s="3">
        <f t="shared" si="19"/>
        <v>0</v>
      </c>
      <c r="FE26" s="3">
        <f t="shared" si="19"/>
        <v>0</v>
      </c>
      <c r="FF26" s="3">
        <f t="shared" si="19"/>
        <v>0</v>
      </c>
      <c r="FG26" s="3">
        <f t="shared" si="19"/>
        <v>0</v>
      </c>
      <c r="FH26" s="3">
        <f t="shared" si="19"/>
        <v>0</v>
      </c>
      <c r="FI26" s="3">
        <f t="shared" si="19"/>
        <v>0</v>
      </c>
      <c r="FJ26" s="3">
        <f t="shared" si="19"/>
        <v>0</v>
      </c>
      <c r="FK26" s="3">
        <f t="shared" si="19"/>
        <v>0</v>
      </c>
      <c r="FL26" s="3">
        <f t="shared" si="19"/>
        <v>0</v>
      </c>
      <c r="FM26" s="3">
        <f t="shared" si="19"/>
        <v>0</v>
      </c>
      <c r="FN26" s="3">
        <f t="shared" si="19"/>
        <v>0</v>
      </c>
      <c r="FO26" s="3">
        <f t="shared" si="19"/>
        <v>0</v>
      </c>
      <c r="FP26" s="3">
        <f t="shared" si="19"/>
        <v>0</v>
      </c>
      <c r="FQ26" s="3">
        <f t="shared" si="19"/>
        <v>0</v>
      </c>
      <c r="FR26" s="3">
        <f t="shared" si="19"/>
        <v>0</v>
      </c>
      <c r="FS26" s="3">
        <f t="shared" ref="FS26:GX26" si="20">FS33</f>
        <v>0</v>
      </c>
      <c r="FT26" s="3">
        <f t="shared" si="20"/>
        <v>0</v>
      </c>
      <c r="FU26" s="3">
        <f t="shared" si="20"/>
        <v>0</v>
      </c>
      <c r="FV26" s="3">
        <f t="shared" si="20"/>
        <v>0</v>
      </c>
      <c r="FW26" s="3">
        <f t="shared" si="20"/>
        <v>0</v>
      </c>
      <c r="FX26" s="3">
        <f t="shared" si="20"/>
        <v>0</v>
      </c>
      <c r="FY26" s="3">
        <f t="shared" si="20"/>
        <v>0</v>
      </c>
      <c r="FZ26" s="3">
        <f t="shared" si="20"/>
        <v>0</v>
      </c>
      <c r="GA26" s="3">
        <f t="shared" si="20"/>
        <v>0</v>
      </c>
      <c r="GB26" s="3">
        <f t="shared" si="20"/>
        <v>0</v>
      </c>
      <c r="GC26" s="3">
        <f t="shared" si="20"/>
        <v>0</v>
      </c>
      <c r="GD26" s="3">
        <f t="shared" si="20"/>
        <v>0</v>
      </c>
      <c r="GE26" s="3">
        <f t="shared" si="20"/>
        <v>0</v>
      </c>
      <c r="GF26" s="3">
        <f t="shared" si="20"/>
        <v>0</v>
      </c>
      <c r="GG26" s="3">
        <f t="shared" si="20"/>
        <v>0</v>
      </c>
      <c r="GH26" s="3">
        <f t="shared" si="20"/>
        <v>0</v>
      </c>
      <c r="GI26" s="3">
        <f t="shared" si="20"/>
        <v>0</v>
      </c>
      <c r="GJ26" s="3">
        <f t="shared" si="20"/>
        <v>0</v>
      </c>
      <c r="GK26" s="3">
        <f t="shared" si="20"/>
        <v>0</v>
      </c>
      <c r="GL26" s="3">
        <f t="shared" si="20"/>
        <v>0</v>
      </c>
      <c r="GM26" s="3">
        <f t="shared" si="20"/>
        <v>0</v>
      </c>
      <c r="GN26" s="3">
        <f t="shared" si="20"/>
        <v>0</v>
      </c>
      <c r="GO26" s="3">
        <f t="shared" si="20"/>
        <v>0</v>
      </c>
      <c r="GP26" s="3">
        <f t="shared" si="20"/>
        <v>0</v>
      </c>
      <c r="GQ26" s="3">
        <f t="shared" si="20"/>
        <v>0</v>
      </c>
      <c r="GR26" s="3">
        <f t="shared" si="20"/>
        <v>0</v>
      </c>
      <c r="GS26" s="3">
        <f t="shared" si="20"/>
        <v>0</v>
      </c>
      <c r="GT26" s="3">
        <f t="shared" si="20"/>
        <v>0</v>
      </c>
      <c r="GU26" s="3">
        <f t="shared" si="20"/>
        <v>0</v>
      </c>
      <c r="GV26" s="3">
        <f t="shared" si="20"/>
        <v>0</v>
      </c>
      <c r="GW26" s="3">
        <f t="shared" si="20"/>
        <v>0</v>
      </c>
      <c r="GX26" s="3">
        <f t="shared" si="20"/>
        <v>0</v>
      </c>
    </row>
    <row r="28" spans="1:245" x14ac:dyDescent="0.2">
      <c r="A28">
        <v>17</v>
      </c>
      <c r="B28">
        <v>1</v>
      </c>
      <c r="C28">
        <f>ROW(SmtRes!A11)</f>
        <v>11</v>
      </c>
      <c r="D28">
        <f>ROW(EtalonRes!A11)</f>
        <v>11</v>
      </c>
      <c r="E28" t="s">
        <v>15</v>
      </c>
      <c r="F28" t="s">
        <v>16</v>
      </c>
      <c r="G28" t="s">
        <v>17</v>
      </c>
      <c r="H28" t="s">
        <v>18</v>
      </c>
      <c r="I28">
        <v>0.08</v>
      </c>
      <c r="J28">
        <v>0</v>
      </c>
      <c r="K28">
        <v>0.08</v>
      </c>
      <c r="O28">
        <f>ROUND(CP28,2)</f>
        <v>7683.77</v>
      </c>
      <c r="P28">
        <f>ROUND(CQ28*I28,2)</f>
        <v>3095.17</v>
      </c>
      <c r="Q28">
        <f>ROUND(CR28*I28,2)</f>
        <v>1468.56</v>
      </c>
      <c r="R28">
        <f>ROUND(CS28*I28,2)</f>
        <v>547.20000000000005</v>
      </c>
      <c r="S28">
        <f>ROUND(CT28*I28,2)</f>
        <v>3120.04</v>
      </c>
      <c r="T28">
        <f>ROUND(CU28*I28,2)</f>
        <v>0</v>
      </c>
      <c r="U28">
        <f>CV28*I28</f>
        <v>6.3360000000000003</v>
      </c>
      <c r="V28">
        <f>CW28*I28</f>
        <v>0</v>
      </c>
      <c r="W28">
        <f>ROUND(CX28*I28,2)</f>
        <v>0</v>
      </c>
      <c r="X28">
        <f t="shared" ref="X28:Y31" si="21">ROUND(CY28,2)</f>
        <v>2184.0300000000002</v>
      </c>
      <c r="Y28">
        <f t="shared" si="21"/>
        <v>312</v>
      </c>
      <c r="AA28">
        <v>75703152</v>
      </c>
      <c r="AB28">
        <f>ROUND((AC28+AD28+AF28),6)</f>
        <v>96047.16</v>
      </c>
      <c r="AC28">
        <f>ROUND((ES28),6)</f>
        <v>38689.68</v>
      </c>
      <c r="AD28">
        <f>ROUND((((ET28)-(EU28))+AE28),6)</f>
        <v>18357.02</v>
      </c>
      <c r="AE28">
        <f t="shared" ref="AE28:AF31" si="22">ROUND((EU28),6)</f>
        <v>6840.04</v>
      </c>
      <c r="AF28">
        <f t="shared" si="22"/>
        <v>39000.46</v>
      </c>
      <c r="AG28">
        <f>ROUND((AP28),6)</f>
        <v>0</v>
      </c>
      <c r="AH28">
        <f t="shared" ref="AH28:AI31" si="23">(EW28)</f>
        <v>79.2</v>
      </c>
      <c r="AI28">
        <f t="shared" si="23"/>
        <v>0</v>
      </c>
      <c r="AJ28">
        <f>(AS28)</f>
        <v>0</v>
      </c>
      <c r="AK28">
        <v>96047.16</v>
      </c>
      <c r="AL28">
        <v>38689.68</v>
      </c>
      <c r="AM28">
        <v>18357.02</v>
      </c>
      <c r="AN28">
        <v>6840.04</v>
      </c>
      <c r="AO28">
        <v>39000.46</v>
      </c>
      <c r="AP28">
        <v>0</v>
      </c>
      <c r="AQ28">
        <v>79.2</v>
      </c>
      <c r="AR28">
        <v>0</v>
      </c>
      <c r="AS28">
        <v>0</v>
      </c>
      <c r="AT28">
        <v>70</v>
      </c>
      <c r="AU28">
        <v>10</v>
      </c>
      <c r="AV28">
        <v>1</v>
      </c>
      <c r="AW28">
        <v>1</v>
      </c>
      <c r="AZ28">
        <v>1</v>
      </c>
      <c r="BA28">
        <v>1</v>
      </c>
      <c r="BB28">
        <v>1</v>
      </c>
      <c r="BC28">
        <v>1</v>
      </c>
      <c r="BD28" t="s">
        <v>3</v>
      </c>
      <c r="BE28" t="s">
        <v>3</v>
      </c>
      <c r="BF28" t="s">
        <v>3</v>
      </c>
      <c r="BG28" t="s">
        <v>3</v>
      </c>
      <c r="BH28">
        <v>0</v>
      </c>
      <c r="BI28">
        <v>4</v>
      </c>
      <c r="BJ28" t="s">
        <v>19</v>
      </c>
      <c r="BM28">
        <v>0</v>
      </c>
      <c r="BN28">
        <v>75371441</v>
      </c>
      <c r="BO28" t="s">
        <v>3</v>
      </c>
      <c r="BP28">
        <v>0</v>
      </c>
      <c r="BQ28">
        <v>1</v>
      </c>
      <c r="BR28">
        <v>0</v>
      </c>
      <c r="BS28">
        <v>1</v>
      </c>
      <c r="BT28">
        <v>1</v>
      </c>
      <c r="BU28">
        <v>1</v>
      </c>
      <c r="BV28">
        <v>1</v>
      </c>
      <c r="BW28">
        <v>1</v>
      </c>
      <c r="BX28">
        <v>1</v>
      </c>
      <c r="BY28" t="s">
        <v>3</v>
      </c>
      <c r="BZ28">
        <v>70</v>
      </c>
      <c r="CA28">
        <v>10</v>
      </c>
      <c r="CB28" t="s">
        <v>3</v>
      </c>
      <c r="CE28">
        <v>0</v>
      </c>
      <c r="CF28">
        <v>0</v>
      </c>
      <c r="CG28">
        <v>0</v>
      </c>
      <c r="CM28">
        <v>0</v>
      </c>
      <c r="CN28" t="s">
        <v>3</v>
      </c>
      <c r="CO28">
        <v>0</v>
      </c>
      <c r="CP28">
        <f>(P28+Q28+S28)</f>
        <v>7683.7699999999995</v>
      </c>
      <c r="CQ28">
        <f>(AC28*BC28*AW28)</f>
        <v>38689.68</v>
      </c>
      <c r="CR28">
        <f>((((ET28)*BB28-(EU28)*BS28)+AE28*BS28)*AV28)</f>
        <v>18357.02</v>
      </c>
      <c r="CS28">
        <f>(AE28*BS28*AV28)</f>
        <v>6840.04</v>
      </c>
      <c r="CT28">
        <f>(AF28*BA28*AV28)</f>
        <v>39000.46</v>
      </c>
      <c r="CU28">
        <f>AG28</f>
        <v>0</v>
      </c>
      <c r="CV28">
        <f>(AH28*AV28)</f>
        <v>79.2</v>
      </c>
      <c r="CW28">
        <f t="shared" ref="CW28:CX31" si="24">AI28</f>
        <v>0</v>
      </c>
      <c r="CX28">
        <f t="shared" si="24"/>
        <v>0</v>
      </c>
      <c r="CY28">
        <f>((S28*BZ28)/100)</f>
        <v>2184.0279999999998</v>
      </c>
      <c r="CZ28">
        <f>((S28*CA28)/100)</f>
        <v>312.00400000000002</v>
      </c>
      <c r="DC28" t="s">
        <v>3</v>
      </c>
      <c r="DD28" t="s">
        <v>3</v>
      </c>
      <c r="DE28" t="s">
        <v>3</v>
      </c>
      <c r="DF28" t="s">
        <v>3</v>
      </c>
      <c r="DG28" t="s">
        <v>3</v>
      </c>
      <c r="DH28" t="s">
        <v>3</v>
      </c>
      <c r="DI28" t="s">
        <v>3</v>
      </c>
      <c r="DJ28" t="s">
        <v>3</v>
      </c>
      <c r="DK28" t="s">
        <v>3</v>
      </c>
      <c r="DL28" t="s">
        <v>3</v>
      </c>
      <c r="DM28" t="s">
        <v>3</v>
      </c>
      <c r="DN28">
        <v>0</v>
      </c>
      <c r="DO28">
        <v>0</v>
      </c>
      <c r="DP28">
        <v>1</v>
      </c>
      <c r="DQ28">
        <v>1</v>
      </c>
      <c r="DU28">
        <v>1007</v>
      </c>
      <c r="DV28" t="s">
        <v>18</v>
      </c>
      <c r="DW28" t="s">
        <v>18</v>
      </c>
      <c r="DX28">
        <v>1</v>
      </c>
      <c r="DZ28" t="s">
        <v>3</v>
      </c>
      <c r="EA28" t="s">
        <v>3</v>
      </c>
      <c r="EB28" t="s">
        <v>3</v>
      </c>
      <c r="EC28" t="s">
        <v>3</v>
      </c>
      <c r="EE28">
        <v>75371444</v>
      </c>
      <c r="EF28">
        <v>1</v>
      </c>
      <c r="EG28" t="s">
        <v>20</v>
      </c>
      <c r="EH28">
        <v>0</v>
      </c>
      <c r="EI28" t="s">
        <v>3</v>
      </c>
      <c r="EJ28">
        <v>4</v>
      </c>
      <c r="EK28">
        <v>0</v>
      </c>
      <c r="EL28" t="s">
        <v>21</v>
      </c>
      <c r="EM28" t="s">
        <v>22</v>
      </c>
      <c r="EO28" t="s">
        <v>3</v>
      </c>
      <c r="EQ28">
        <v>0</v>
      </c>
      <c r="ER28">
        <v>96047.16</v>
      </c>
      <c r="ES28">
        <v>38689.68</v>
      </c>
      <c r="ET28">
        <v>18357.02</v>
      </c>
      <c r="EU28">
        <v>6840.04</v>
      </c>
      <c r="EV28">
        <v>39000.46</v>
      </c>
      <c r="EW28">
        <v>79.2</v>
      </c>
      <c r="EX28">
        <v>0</v>
      </c>
      <c r="EY28">
        <v>0</v>
      </c>
      <c r="FQ28">
        <v>0</v>
      </c>
      <c r="FR28">
        <f>ROUND(IF(BI28=3,GM28,0),2)</f>
        <v>0</v>
      </c>
      <c r="FS28">
        <v>0</v>
      </c>
      <c r="FX28">
        <v>70</v>
      </c>
      <c r="FY28">
        <v>10</v>
      </c>
      <c r="GA28" t="s">
        <v>3</v>
      </c>
      <c r="GD28">
        <v>0</v>
      </c>
      <c r="GF28">
        <v>814488947</v>
      </c>
      <c r="GG28">
        <v>2</v>
      </c>
      <c r="GH28">
        <v>1</v>
      </c>
      <c r="GI28">
        <v>-2</v>
      </c>
      <c r="GJ28">
        <v>0</v>
      </c>
      <c r="GK28">
        <f>ROUND(R28*(R12)/100,2)</f>
        <v>590.98</v>
      </c>
      <c r="GL28">
        <f>ROUND(IF(AND(BH28=3,BI28=3,FS28&lt;&gt;0),P28,0),2)</f>
        <v>0</v>
      </c>
      <c r="GM28">
        <f>ROUND(O28+X28+Y28+GK28,2)+GX28</f>
        <v>10770.78</v>
      </c>
      <c r="GN28">
        <f>IF(OR(BI28=0,BI28=1),GM28-GX28,0)</f>
        <v>0</v>
      </c>
      <c r="GO28">
        <f>IF(BI28=2,GM28-GX28,0)</f>
        <v>0</v>
      </c>
      <c r="GP28">
        <f>IF(BI28=4,GM28-GX28,0)</f>
        <v>10770.78</v>
      </c>
      <c r="GR28">
        <v>0</v>
      </c>
      <c r="GS28">
        <v>0</v>
      </c>
      <c r="GT28">
        <v>0</v>
      </c>
      <c r="GU28" t="s">
        <v>3</v>
      </c>
      <c r="GV28">
        <f>ROUND((GT28),6)</f>
        <v>0</v>
      </c>
      <c r="GW28">
        <v>1</v>
      </c>
      <c r="GX28">
        <f>ROUND(HC28*I28,2)</f>
        <v>0</v>
      </c>
      <c r="HA28">
        <v>0</v>
      </c>
      <c r="HB28">
        <v>0</v>
      </c>
      <c r="HC28">
        <f>GV28*GW28</f>
        <v>0</v>
      </c>
      <c r="HE28" t="s">
        <v>3</v>
      </c>
      <c r="HF28" t="s">
        <v>3</v>
      </c>
      <c r="HM28" t="s">
        <v>3</v>
      </c>
      <c r="HN28" t="s">
        <v>3</v>
      </c>
      <c r="HO28" t="s">
        <v>3</v>
      </c>
      <c r="HP28" t="s">
        <v>3</v>
      </c>
      <c r="HQ28" t="s">
        <v>3</v>
      </c>
      <c r="IK28">
        <v>0</v>
      </c>
    </row>
    <row r="29" spans="1:245" x14ac:dyDescent="0.2">
      <c r="A29">
        <v>17</v>
      </c>
      <c r="B29">
        <v>1</v>
      </c>
      <c r="C29">
        <f>ROW(SmtRes!A14)</f>
        <v>14</v>
      </c>
      <c r="D29">
        <f>ROW(EtalonRes!A14)</f>
        <v>14</v>
      </c>
      <c r="E29" t="s">
        <v>23</v>
      </c>
      <c r="F29" t="s">
        <v>24</v>
      </c>
      <c r="G29" t="s">
        <v>25</v>
      </c>
      <c r="H29" t="s">
        <v>26</v>
      </c>
      <c r="I29">
        <f>ROUND(25/100,9)</f>
        <v>0.25</v>
      </c>
      <c r="J29">
        <v>0</v>
      </c>
      <c r="K29">
        <f>ROUND(25/100,9)</f>
        <v>0.25</v>
      </c>
      <c r="O29">
        <f>ROUND(CP29,2)</f>
        <v>29536.880000000001</v>
      </c>
      <c r="P29">
        <f>ROUND(CQ29*I29,2)</f>
        <v>2934.59</v>
      </c>
      <c r="Q29">
        <f>ROUND(CR29*I29,2)</f>
        <v>0</v>
      </c>
      <c r="R29">
        <f>ROUND(CS29*I29,2)</f>
        <v>0</v>
      </c>
      <c r="S29">
        <f>ROUND(CT29*I29,2)</f>
        <v>26602.29</v>
      </c>
      <c r="T29">
        <f>ROUND(CU29*I29,2)</f>
        <v>0</v>
      </c>
      <c r="U29">
        <f>CV29*I29</f>
        <v>53</v>
      </c>
      <c r="V29">
        <f>CW29*I29</f>
        <v>0</v>
      </c>
      <c r="W29">
        <f>ROUND(CX29*I29,2)</f>
        <v>0</v>
      </c>
      <c r="X29">
        <f t="shared" si="21"/>
        <v>18621.599999999999</v>
      </c>
      <c r="Y29">
        <f t="shared" si="21"/>
        <v>2660.23</v>
      </c>
      <c r="AA29">
        <v>75703152</v>
      </c>
      <c r="AB29">
        <f>ROUND((AC29+AD29+AF29),6)</f>
        <v>118147.52</v>
      </c>
      <c r="AC29">
        <f>ROUND((ES29),6)</f>
        <v>11738.36</v>
      </c>
      <c r="AD29">
        <f>ROUND((((ET29)-(EU29))+AE29),6)</f>
        <v>0</v>
      </c>
      <c r="AE29">
        <f t="shared" si="22"/>
        <v>0</v>
      </c>
      <c r="AF29">
        <f t="shared" si="22"/>
        <v>106409.16</v>
      </c>
      <c r="AG29">
        <f>ROUND((AP29),6)</f>
        <v>0</v>
      </c>
      <c r="AH29">
        <f t="shared" si="23"/>
        <v>212</v>
      </c>
      <c r="AI29">
        <f t="shared" si="23"/>
        <v>0</v>
      </c>
      <c r="AJ29">
        <f>(AS29)</f>
        <v>0</v>
      </c>
      <c r="AK29">
        <v>118147.52</v>
      </c>
      <c r="AL29">
        <v>11738.36</v>
      </c>
      <c r="AM29">
        <v>0</v>
      </c>
      <c r="AN29">
        <v>0</v>
      </c>
      <c r="AO29">
        <v>106409.16</v>
      </c>
      <c r="AP29">
        <v>0</v>
      </c>
      <c r="AQ29">
        <v>212</v>
      </c>
      <c r="AR29">
        <v>0</v>
      </c>
      <c r="AS29">
        <v>0</v>
      </c>
      <c r="AT29">
        <v>70</v>
      </c>
      <c r="AU29">
        <v>10</v>
      </c>
      <c r="AV29">
        <v>1</v>
      </c>
      <c r="AW29">
        <v>1</v>
      </c>
      <c r="AZ29">
        <v>1</v>
      </c>
      <c r="BA29">
        <v>1</v>
      </c>
      <c r="BB29">
        <v>1</v>
      </c>
      <c r="BC29">
        <v>1</v>
      </c>
      <c r="BD29" t="s">
        <v>3</v>
      </c>
      <c r="BE29" t="s">
        <v>3</v>
      </c>
      <c r="BF29" t="s">
        <v>3</v>
      </c>
      <c r="BG29" t="s">
        <v>3</v>
      </c>
      <c r="BH29">
        <v>0</v>
      </c>
      <c r="BI29">
        <v>4</v>
      </c>
      <c r="BJ29" t="s">
        <v>27</v>
      </c>
      <c r="BM29">
        <v>0</v>
      </c>
      <c r="BN29">
        <v>75371441</v>
      </c>
      <c r="BO29" t="s">
        <v>3</v>
      </c>
      <c r="BP29">
        <v>0</v>
      </c>
      <c r="BQ29">
        <v>1</v>
      </c>
      <c r="BR29">
        <v>0</v>
      </c>
      <c r="BS29">
        <v>1</v>
      </c>
      <c r="BT29">
        <v>1</v>
      </c>
      <c r="BU29">
        <v>1</v>
      </c>
      <c r="BV29">
        <v>1</v>
      </c>
      <c r="BW29">
        <v>1</v>
      </c>
      <c r="BX29">
        <v>1</v>
      </c>
      <c r="BY29" t="s">
        <v>3</v>
      </c>
      <c r="BZ29">
        <v>70</v>
      </c>
      <c r="CA29">
        <v>10</v>
      </c>
      <c r="CB29" t="s">
        <v>3</v>
      </c>
      <c r="CE29">
        <v>0</v>
      </c>
      <c r="CF29">
        <v>0</v>
      </c>
      <c r="CG29">
        <v>0</v>
      </c>
      <c r="CM29">
        <v>0</v>
      </c>
      <c r="CN29" t="s">
        <v>3</v>
      </c>
      <c r="CO29">
        <v>0</v>
      </c>
      <c r="CP29">
        <f>(P29+Q29+S29)</f>
        <v>29536.880000000001</v>
      </c>
      <c r="CQ29">
        <f>(AC29*BC29*AW29)</f>
        <v>11738.36</v>
      </c>
      <c r="CR29">
        <f>((((ET29)*BB29-(EU29)*BS29)+AE29*BS29)*AV29)</f>
        <v>0</v>
      </c>
      <c r="CS29">
        <f>(AE29*BS29*AV29)</f>
        <v>0</v>
      </c>
      <c r="CT29">
        <f>(AF29*BA29*AV29)</f>
        <v>106409.16</v>
      </c>
      <c r="CU29">
        <f>AG29</f>
        <v>0</v>
      </c>
      <c r="CV29">
        <f>(AH29*AV29)</f>
        <v>212</v>
      </c>
      <c r="CW29">
        <f t="shared" si="24"/>
        <v>0</v>
      </c>
      <c r="CX29">
        <f t="shared" si="24"/>
        <v>0</v>
      </c>
      <c r="CY29">
        <f>((S29*BZ29)/100)</f>
        <v>18621.602999999999</v>
      </c>
      <c r="CZ29">
        <f>((S29*CA29)/100)</f>
        <v>2660.2290000000003</v>
      </c>
      <c r="DC29" t="s">
        <v>3</v>
      </c>
      <c r="DD29" t="s">
        <v>3</v>
      </c>
      <c r="DE29" t="s">
        <v>3</v>
      </c>
      <c r="DF29" t="s">
        <v>3</v>
      </c>
      <c r="DG29" t="s">
        <v>3</v>
      </c>
      <c r="DH29" t="s">
        <v>3</v>
      </c>
      <c r="DI29" t="s">
        <v>3</v>
      </c>
      <c r="DJ29" t="s">
        <v>3</v>
      </c>
      <c r="DK29" t="s">
        <v>3</v>
      </c>
      <c r="DL29" t="s">
        <v>3</v>
      </c>
      <c r="DM29" t="s">
        <v>3</v>
      </c>
      <c r="DN29">
        <v>0</v>
      </c>
      <c r="DO29">
        <v>0</v>
      </c>
      <c r="DP29">
        <v>1</v>
      </c>
      <c r="DQ29">
        <v>1</v>
      </c>
      <c r="DU29">
        <v>1005</v>
      </c>
      <c r="DV29" t="s">
        <v>26</v>
      </c>
      <c r="DW29" t="s">
        <v>26</v>
      </c>
      <c r="DX29">
        <v>100</v>
      </c>
      <c r="DZ29" t="s">
        <v>3</v>
      </c>
      <c r="EA29" t="s">
        <v>3</v>
      </c>
      <c r="EB29" t="s">
        <v>3</v>
      </c>
      <c r="EC29" t="s">
        <v>3</v>
      </c>
      <c r="EE29">
        <v>75371444</v>
      </c>
      <c r="EF29">
        <v>1</v>
      </c>
      <c r="EG29" t="s">
        <v>20</v>
      </c>
      <c r="EH29">
        <v>0</v>
      </c>
      <c r="EI29" t="s">
        <v>3</v>
      </c>
      <c r="EJ29">
        <v>4</v>
      </c>
      <c r="EK29">
        <v>0</v>
      </c>
      <c r="EL29" t="s">
        <v>21</v>
      </c>
      <c r="EM29" t="s">
        <v>22</v>
      </c>
      <c r="EO29" t="s">
        <v>3</v>
      </c>
      <c r="EQ29">
        <v>0</v>
      </c>
      <c r="ER29">
        <v>118147.52</v>
      </c>
      <c r="ES29">
        <v>11738.36</v>
      </c>
      <c r="ET29">
        <v>0</v>
      </c>
      <c r="EU29">
        <v>0</v>
      </c>
      <c r="EV29">
        <v>106409.16</v>
      </c>
      <c r="EW29">
        <v>212</v>
      </c>
      <c r="EX29">
        <v>0</v>
      </c>
      <c r="EY29">
        <v>0</v>
      </c>
      <c r="FQ29">
        <v>0</v>
      </c>
      <c r="FR29">
        <f>ROUND(IF(BI29=3,GM29,0),2)</f>
        <v>0</v>
      </c>
      <c r="FS29">
        <v>0</v>
      </c>
      <c r="FX29">
        <v>70</v>
      </c>
      <c r="FY29">
        <v>10</v>
      </c>
      <c r="GA29" t="s">
        <v>3</v>
      </c>
      <c r="GD29">
        <v>0</v>
      </c>
      <c r="GF29">
        <v>-716973072</v>
      </c>
      <c r="GG29">
        <v>2</v>
      </c>
      <c r="GH29">
        <v>1</v>
      </c>
      <c r="GI29">
        <v>-2</v>
      </c>
      <c r="GJ29">
        <v>0</v>
      </c>
      <c r="GK29">
        <f>ROUND(R29*(R12)/100,2)</f>
        <v>0</v>
      </c>
      <c r="GL29">
        <f>ROUND(IF(AND(BH29=3,BI29=3,FS29&lt;&gt;0),P29,0),2)</f>
        <v>0</v>
      </c>
      <c r="GM29">
        <f>ROUND(O29+X29+Y29+GK29,2)+GX29</f>
        <v>50818.71</v>
      </c>
      <c r="GN29">
        <f>IF(OR(BI29=0,BI29=1),GM29-GX29,0)</f>
        <v>0</v>
      </c>
      <c r="GO29">
        <f>IF(BI29=2,GM29-GX29,0)</f>
        <v>0</v>
      </c>
      <c r="GP29">
        <f>IF(BI29=4,GM29-GX29,0)</f>
        <v>50818.71</v>
      </c>
      <c r="GR29">
        <v>0</v>
      </c>
      <c r="GS29">
        <v>0</v>
      </c>
      <c r="GT29">
        <v>0</v>
      </c>
      <c r="GU29" t="s">
        <v>3</v>
      </c>
      <c r="GV29">
        <f>ROUND((GT29),6)</f>
        <v>0</v>
      </c>
      <c r="GW29">
        <v>1</v>
      </c>
      <c r="GX29">
        <f>ROUND(HC29*I29,2)</f>
        <v>0</v>
      </c>
      <c r="HA29">
        <v>0</v>
      </c>
      <c r="HB29">
        <v>0</v>
      </c>
      <c r="HC29">
        <f>GV29*GW29</f>
        <v>0</v>
      </c>
      <c r="HE29" t="s">
        <v>3</v>
      </c>
      <c r="HF29" t="s">
        <v>3</v>
      </c>
      <c r="HM29" t="s">
        <v>3</v>
      </c>
      <c r="HN29" t="s">
        <v>3</v>
      </c>
      <c r="HO29" t="s">
        <v>3</v>
      </c>
      <c r="HP29" t="s">
        <v>3</v>
      </c>
      <c r="HQ29" t="s">
        <v>3</v>
      </c>
      <c r="IK29">
        <v>0</v>
      </c>
    </row>
    <row r="30" spans="1:245" x14ac:dyDescent="0.2">
      <c r="A30">
        <v>17</v>
      </c>
      <c r="B30">
        <v>1</v>
      </c>
      <c r="C30">
        <f>ROW(SmtRes!A20)</f>
        <v>20</v>
      </c>
      <c r="D30">
        <f>ROW(EtalonRes!A20)</f>
        <v>20</v>
      </c>
      <c r="E30" t="s">
        <v>28</v>
      </c>
      <c r="F30" t="s">
        <v>29</v>
      </c>
      <c r="G30" t="s">
        <v>30</v>
      </c>
      <c r="H30" t="s">
        <v>26</v>
      </c>
      <c r="I30">
        <f>ROUND(25/100,9)</f>
        <v>0.25</v>
      </c>
      <c r="J30">
        <v>0</v>
      </c>
      <c r="K30">
        <f>ROUND(25/100,9)</f>
        <v>0.25</v>
      </c>
      <c r="O30">
        <f>ROUND(CP30,2)</f>
        <v>5143.1499999999996</v>
      </c>
      <c r="P30">
        <f>ROUND(CQ30*I30,2)</f>
        <v>3203</v>
      </c>
      <c r="Q30">
        <f>ROUND(CR30*I30,2)</f>
        <v>0</v>
      </c>
      <c r="R30">
        <f>ROUND(CS30*I30,2)</f>
        <v>0</v>
      </c>
      <c r="S30">
        <f>ROUND(CT30*I30,2)</f>
        <v>1940.15</v>
      </c>
      <c r="T30">
        <f>ROUND(CU30*I30,2)</f>
        <v>0</v>
      </c>
      <c r="U30">
        <f>CV30*I30</f>
        <v>3.9824999999999999</v>
      </c>
      <c r="V30">
        <f>CW30*I30</f>
        <v>0</v>
      </c>
      <c r="W30">
        <f>ROUND(CX30*I30,2)</f>
        <v>0</v>
      </c>
      <c r="X30">
        <f t="shared" si="21"/>
        <v>1358.11</v>
      </c>
      <c r="Y30">
        <f t="shared" si="21"/>
        <v>194.02</v>
      </c>
      <c r="AA30">
        <v>75703152</v>
      </c>
      <c r="AB30">
        <f>ROUND((AC30+AD30+AF30),6)</f>
        <v>20572.580000000002</v>
      </c>
      <c r="AC30">
        <f>ROUND((ES30),6)</f>
        <v>12812</v>
      </c>
      <c r="AD30">
        <f>ROUND((((ET30)-(EU30))+AE30),6)</f>
        <v>0</v>
      </c>
      <c r="AE30">
        <f t="shared" si="22"/>
        <v>0</v>
      </c>
      <c r="AF30">
        <f t="shared" si="22"/>
        <v>7760.58</v>
      </c>
      <c r="AG30">
        <f>ROUND((AP30),6)</f>
        <v>0</v>
      </c>
      <c r="AH30">
        <f t="shared" si="23"/>
        <v>15.93</v>
      </c>
      <c r="AI30">
        <f t="shared" si="23"/>
        <v>0</v>
      </c>
      <c r="AJ30">
        <f>(AS30)</f>
        <v>0</v>
      </c>
      <c r="AK30">
        <v>20572.580000000002</v>
      </c>
      <c r="AL30">
        <v>12812</v>
      </c>
      <c r="AM30">
        <v>0</v>
      </c>
      <c r="AN30">
        <v>0</v>
      </c>
      <c r="AO30">
        <v>7760.58</v>
      </c>
      <c r="AP30">
        <v>0</v>
      </c>
      <c r="AQ30">
        <v>15.93</v>
      </c>
      <c r="AR30">
        <v>0</v>
      </c>
      <c r="AS30">
        <v>0</v>
      </c>
      <c r="AT30">
        <v>70</v>
      </c>
      <c r="AU30">
        <v>10</v>
      </c>
      <c r="AV30">
        <v>1</v>
      </c>
      <c r="AW30">
        <v>1</v>
      </c>
      <c r="AZ30">
        <v>1</v>
      </c>
      <c r="BA30">
        <v>1</v>
      </c>
      <c r="BB30">
        <v>1</v>
      </c>
      <c r="BC30">
        <v>1</v>
      </c>
      <c r="BD30" t="s">
        <v>3</v>
      </c>
      <c r="BE30" t="s">
        <v>3</v>
      </c>
      <c r="BF30" t="s">
        <v>3</v>
      </c>
      <c r="BG30" t="s">
        <v>3</v>
      </c>
      <c r="BH30">
        <v>0</v>
      </c>
      <c r="BI30">
        <v>4</v>
      </c>
      <c r="BJ30" t="s">
        <v>31</v>
      </c>
      <c r="BM30">
        <v>0</v>
      </c>
      <c r="BN30">
        <v>75371441</v>
      </c>
      <c r="BO30" t="s">
        <v>3</v>
      </c>
      <c r="BP30">
        <v>0</v>
      </c>
      <c r="BQ30">
        <v>1</v>
      </c>
      <c r="BR30">
        <v>0</v>
      </c>
      <c r="BS30">
        <v>1</v>
      </c>
      <c r="BT30">
        <v>1</v>
      </c>
      <c r="BU30">
        <v>1</v>
      </c>
      <c r="BV30">
        <v>1</v>
      </c>
      <c r="BW30">
        <v>1</v>
      </c>
      <c r="BX30">
        <v>1</v>
      </c>
      <c r="BY30" t="s">
        <v>3</v>
      </c>
      <c r="BZ30">
        <v>70</v>
      </c>
      <c r="CA30">
        <v>10</v>
      </c>
      <c r="CB30" t="s">
        <v>3</v>
      </c>
      <c r="CE30">
        <v>0</v>
      </c>
      <c r="CF30">
        <v>0</v>
      </c>
      <c r="CG30">
        <v>0</v>
      </c>
      <c r="CM30">
        <v>0</v>
      </c>
      <c r="CN30" t="s">
        <v>3</v>
      </c>
      <c r="CO30">
        <v>0</v>
      </c>
      <c r="CP30">
        <f>(P30+Q30+S30)</f>
        <v>5143.1499999999996</v>
      </c>
      <c r="CQ30">
        <f>(AC30*BC30*AW30)</f>
        <v>12812</v>
      </c>
      <c r="CR30">
        <f>((((ET30)*BB30-(EU30)*BS30)+AE30*BS30)*AV30)</f>
        <v>0</v>
      </c>
      <c r="CS30">
        <f>(AE30*BS30*AV30)</f>
        <v>0</v>
      </c>
      <c r="CT30">
        <f>(AF30*BA30*AV30)</f>
        <v>7760.58</v>
      </c>
      <c r="CU30">
        <f>AG30</f>
        <v>0</v>
      </c>
      <c r="CV30">
        <f>(AH30*AV30)</f>
        <v>15.93</v>
      </c>
      <c r="CW30">
        <f t="shared" si="24"/>
        <v>0</v>
      </c>
      <c r="CX30">
        <f t="shared" si="24"/>
        <v>0</v>
      </c>
      <c r="CY30">
        <f>((S30*BZ30)/100)</f>
        <v>1358.105</v>
      </c>
      <c r="CZ30">
        <f>((S30*CA30)/100)</f>
        <v>194.01499999999999</v>
      </c>
      <c r="DC30" t="s">
        <v>3</v>
      </c>
      <c r="DD30" t="s">
        <v>3</v>
      </c>
      <c r="DE30" t="s">
        <v>3</v>
      </c>
      <c r="DF30" t="s">
        <v>3</v>
      </c>
      <c r="DG30" t="s">
        <v>3</v>
      </c>
      <c r="DH30" t="s">
        <v>3</v>
      </c>
      <c r="DI30" t="s">
        <v>3</v>
      </c>
      <c r="DJ30" t="s">
        <v>3</v>
      </c>
      <c r="DK30" t="s">
        <v>3</v>
      </c>
      <c r="DL30" t="s">
        <v>3</v>
      </c>
      <c r="DM30" t="s">
        <v>3</v>
      </c>
      <c r="DN30">
        <v>0</v>
      </c>
      <c r="DO30">
        <v>0</v>
      </c>
      <c r="DP30">
        <v>1</v>
      </c>
      <c r="DQ30">
        <v>1</v>
      </c>
      <c r="DU30">
        <v>1005</v>
      </c>
      <c r="DV30" t="s">
        <v>26</v>
      </c>
      <c r="DW30" t="s">
        <v>26</v>
      </c>
      <c r="DX30">
        <v>100</v>
      </c>
      <c r="DZ30" t="s">
        <v>3</v>
      </c>
      <c r="EA30" t="s">
        <v>3</v>
      </c>
      <c r="EB30" t="s">
        <v>3</v>
      </c>
      <c r="EC30" t="s">
        <v>3</v>
      </c>
      <c r="EE30">
        <v>75371444</v>
      </c>
      <c r="EF30">
        <v>1</v>
      </c>
      <c r="EG30" t="s">
        <v>20</v>
      </c>
      <c r="EH30">
        <v>0</v>
      </c>
      <c r="EI30" t="s">
        <v>3</v>
      </c>
      <c r="EJ30">
        <v>4</v>
      </c>
      <c r="EK30">
        <v>0</v>
      </c>
      <c r="EL30" t="s">
        <v>21</v>
      </c>
      <c r="EM30" t="s">
        <v>22</v>
      </c>
      <c r="EO30" t="s">
        <v>3</v>
      </c>
      <c r="EQ30">
        <v>0</v>
      </c>
      <c r="ER30">
        <v>20572.580000000002</v>
      </c>
      <c r="ES30">
        <v>12812</v>
      </c>
      <c r="ET30">
        <v>0</v>
      </c>
      <c r="EU30">
        <v>0</v>
      </c>
      <c r="EV30">
        <v>7760.58</v>
      </c>
      <c r="EW30">
        <v>15.93</v>
      </c>
      <c r="EX30">
        <v>0</v>
      </c>
      <c r="EY30">
        <v>0</v>
      </c>
      <c r="FQ30">
        <v>0</v>
      </c>
      <c r="FR30">
        <f>ROUND(IF(BI30=3,GM30,0),2)</f>
        <v>0</v>
      </c>
      <c r="FS30">
        <v>0</v>
      </c>
      <c r="FX30">
        <v>70</v>
      </c>
      <c r="FY30">
        <v>10</v>
      </c>
      <c r="GA30" t="s">
        <v>3</v>
      </c>
      <c r="GD30">
        <v>0</v>
      </c>
      <c r="GF30">
        <v>-194572406</v>
      </c>
      <c r="GG30">
        <v>2</v>
      </c>
      <c r="GH30">
        <v>1</v>
      </c>
      <c r="GI30">
        <v>-2</v>
      </c>
      <c r="GJ30">
        <v>0</v>
      </c>
      <c r="GK30">
        <f>ROUND(R30*(R12)/100,2)</f>
        <v>0</v>
      </c>
      <c r="GL30">
        <f>ROUND(IF(AND(BH30=3,BI30=3,FS30&lt;&gt;0),P30,0),2)</f>
        <v>0</v>
      </c>
      <c r="GM30">
        <f>ROUND(O30+X30+Y30+GK30,2)+GX30</f>
        <v>6695.28</v>
      </c>
      <c r="GN30">
        <f>IF(OR(BI30=0,BI30=1),GM30-GX30,0)</f>
        <v>0</v>
      </c>
      <c r="GO30">
        <f>IF(BI30=2,GM30-GX30,0)</f>
        <v>0</v>
      </c>
      <c r="GP30">
        <f>IF(BI30=4,GM30-GX30,0)</f>
        <v>6695.28</v>
      </c>
      <c r="GR30">
        <v>0</v>
      </c>
      <c r="GS30">
        <v>0</v>
      </c>
      <c r="GT30">
        <v>0</v>
      </c>
      <c r="GU30" t="s">
        <v>3</v>
      </c>
      <c r="GV30">
        <f>ROUND((GT30),6)</f>
        <v>0</v>
      </c>
      <c r="GW30">
        <v>1</v>
      </c>
      <c r="GX30">
        <f>ROUND(HC30*I30,2)</f>
        <v>0</v>
      </c>
      <c r="HA30">
        <v>0</v>
      </c>
      <c r="HB30">
        <v>0</v>
      </c>
      <c r="HC30">
        <f>GV30*GW30</f>
        <v>0</v>
      </c>
      <c r="HE30" t="s">
        <v>3</v>
      </c>
      <c r="HF30" t="s">
        <v>3</v>
      </c>
      <c r="HM30" t="s">
        <v>3</v>
      </c>
      <c r="HN30" t="s">
        <v>3</v>
      </c>
      <c r="HO30" t="s">
        <v>3</v>
      </c>
      <c r="HP30" t="s">
        <v>3</v>
      </c>
      <c r="HQ30" t="s">
        <v>3</v>
      </c>
      <c r="IK30">
        <v>0</v>
      </c>
    </row>
    <row r="31" spans="1:245" x14ac:dyDescent="0.2">
      <c r="A31">
        <v>17</v>
      </c>
      <c r="B31">
        <v>1</v>
      </c>
      <c r="C31">
        <f>ROW(SmtRes!A31)</f>
        <v>31</v>
      </c>
      <c r="D31">
        <f>ROW(EtalonRes!A31)</f>
        <v>31</v>
      </c>
      <c r="E31" t="s">
        <v>32</v>
      </c>
      <c r="F31" t="s">
        <v>33</v>
      </c>
      <c r="G31" t="s">
        <v>34</v>
      </c>
      <c r="H31" t="s">
        <v>26</v>
      </c>
      <c r="I31">
        <f>ROUND(105/100,9)</f>
        <v>1.05</v>
      </c>
      <c r="J31">
        <v>0</v>
      </c>
      <c r="K31">
        <f>ROUND(105/100,9)</f>
        <v>1.05</v>
      </c>
      <c r="O31">
        <f>ROUND(CP31,2)</f>
        <v>36271.94</v>
      </c>
      <c r="P31">
        <f>ROUND(CQ31*I31,2)</f>
        <v>12909.63</v>
      </c>
      <c r="Q31">
        <f>ROUND(CR31*I31,2)</f>
        <v>1.53</v>
      </c>
      <c r="R31">
        <f>ROUND(CS31*I31,2)</f>
        <v>0.02</v>
      </c>
      <c r="S31">
        <f>ROUND(CT31*I31,2)</f>
        <v>23360.78</v>
      </c>
      <c r="T31">
        <f>ROUND(CU31*I31,2)</f>
        <v>0</v>
      </c>
      <c r="U31">
        <f>CV31*I31</f>
        <v>52.783500000000004</v>
      </c>
      <c r="V31">
        <f>CW31*I31</f>
        <v>0</v>
      </c>
      <c r="W31">
        <f>ROUND(CX31*I31,2)</f>
        <v>0</v>
      </c>
      <c r="X31">
        <f t="shared" si="21"/>
        <v>16352.55</v>
      </c>
      <c r="Y31">
        <f t="shared" si="21"/>
        <v>2336.08</v>
      </c>
      <c r="AA31">
        <v>75703152</v>
      </c>
      <c r="AB31">
        <f>ROUND((AC31+AD31+AF31),6)</f>
        <v>34544.71</v>
      </c>
      <c r="AC31">
        <f>ROUND((ES31),6)</f>
        <v>12294.89</v>
      </c>
      <c r="AD31">
        <f>ROUND((((ET31)-(EU31))+AE31),6)</f>
        <v>1.46</v>
      </c>
      <c r="AE31">
        <f t="shared" si="22"/>
        <v>0.02</v>
      </c>
      <c r="AF31">
        <f t="shared" si="22"/>
        <v>22248.36</v>
      </c>
      <c r="AG31">
        <f>ROUND((AP31),6)</f>
        <v>0</v>
      </c>
      <c r="AH31">
        <f t="shared" si="23"/>
        <v>50.27</v>
      </c>
      <c r="AI31">
        <f t="shared" si="23"/>
        <v>0</v>
      </c>
      <c r="AJ31">
        <f>(AS31)</f>
        <v>0</v>
      </c>
      <c r="AK31">
        <v>34544.71</v>
      </c>
      <c r="AL31">
        <v>12294.89</v>
      </c>
      <c r="AM31">
        <v>1.46</v>
      </c>
      <c r="AN31">
        <v>0.02</v>
      </c>
      <c r="AO31">
        <v>22248.36</v>
      </c>
      <c r="AP31">
        <v>0</v>
      </c>
      <c r="AQ31">
        <v>50.27</v>
      </c>
      <c r="AR31">
        <v>0</v>
      </c>
      <c r="AS31">
        <v>0</v>
      </c>
      <c r="AT31">
        <v>70</v>
      </c>
      <c r="AU31">
        <v>10</v>
      </c>
      <c r="AV31">
        <v>1</v>
      </c>
      <c r="AW31">
        <v>1</v>
      </c>
      <c r="AZ31">
        <v>1</v>
      </c>
      <c r="BA31">
        <v>1</v>
      </c>
      <c r="BB31">
        <v>1</v>
      </c>
      <c r="BC31">
        <v>1</v>
      </c>
      <c r="BD31" t="s">
        <v>3</v>
      </c>
      <c r="BE31" t="s">
        <v>3</v>
      </c>
      <c r="BF31" t="s">
        <v>3</v>
      </c>
      <c r="BG31" t="s">
        <v>3</v>
      </c>
      <c r="BH31">
        <v>0</v>
      </c>
      <c r="BI31">
        <v>4</v>
      </c>
      <c r="BJ31" t="s">
        <v>35</v>
      </c>
      <c r="BM31">
        <v>0</v>
      </c>
      <c r="BN31">
        <v>75371441</v>
      </c>
      <c r="BO31" t="s">
        <v>3</v>
      </c>
      <c r="BP31">
        <v>0</v>
      </c>
      <c r="BQ31">
        <v>1</v>
      </c>
      <c r="BR31">
        <v>0</v>
      </c>
      <c r="BS31">
        <v>1</v>
      </c>
      <c r="BT31">
        <v>1</v>
      </c>
      <c r="BU31">
        <v>1</v>
      </c>
      <c r="BV31">
        <v>1</v>
      </c>
      <c r="BW31">
        <v>1</v>
      </c>
      <c r="BX31">
        <v>1</v>
      </c>
      <c r="BY31" t="s">
        <v>3</v>
      </c>
      <c r="BZ31">
        <v>70</v>
      </c>
      <c r="CA31">
        <v>10</v>
      </c>
      <c r="CB31" t="s">
        <v>3</v>
      </c>
      <c r="CE31">
        <v>0</v>
      </c>
      <c r="CF31">
        <v>0</v>
      </c>
      <c r="CG31">
        <v>0</v>
      </c>
      <c r="CM31">
        <v>0</v>
      </c>
      <c r="CN31" t="s">
        <v>3</v>
      </c>
      <c r="CO31">
        <v>0</v>
      </c>
      <c r="CP31">
        <f>(P31+Q31+S31)</f>
        <v>36271.94</v>
      </c>
      <c r="CQ31">
        <f>(AC31*BC31*AW31)</f>
        <v>12294.89</v>
      </c>
      <c r="CR31">
        <f>((((ET31)*BB31-(EU31)*BS31)+AE31*BS31)*AV31)</f>
        <v>1.46</v>
      </c>
      <c r="CS31">
        <f>(AE31*BS31*AV31)</f>
        <v>0.02</v>
      </c>
      <c r="CT31">
        <f>(AF31*BA31*AV31)</f>
        <v>22248.36</v>
      </c>
      <c r="CU31">
        <f>AG31</f>
        <v>0</v>
      </c>
      <c r="CV31">
        <f>(AH31*AV31)</f>
        <v>50.27</v>
      </c>
      <c r="CW31">
        <f t="shared" si="24"/>
        <v>0</v>
      </c>
      <c r="CX31">
        <f t="shared" si="24"/>
        <v>0</v>
      </c>
      <c r="CY31">
        <f>((S31*BZ31)/100)</f>
        <v>16352.545999999998</v>
      </c>
      <c r="CZ31">
        <f>((S31*CA31)/100)</f>
        <v>2336.078</v>
      </c>
      <c r="DC31" t="s">
        <v>3</v>
      </c>
      <c r="DD31" t="s">
        <v>3</v>
      </c>
      <c r="DE31" t="s">
        <v>3</v>
      </c>
      <c r="DF31" t="s">
        <v>3</v>
      </c>
      <c r="DG31" t="s">
        <v>3</v>
      </c>
      <c r="DH31" t="s">
        <v>3</v>
      </c>
      <c r="DI31" t="s">
        <v>3</v>
      </c>
      <c r="DJ31" t="s">
        <v>3</v>
      </c>
      <c r="DK31" t="s">
        <v>3</v>
      </c>
      <c r="DL31" t="s">
        <v>3</v>
      </c>
      <c r="DM31" t="s">
        <v>3</v>
      </c>
      <c r="DN31">
        <v>0</v>
      </c>
      <c r="DO31">
        <v>0</v>
      </c>
      <c r="DP31">
        <v>1</v>
      </c>
      <c r="DQ31">
        <v>1</v>
      </c>
      <c r="DU31">
        <v>1005</v>
      </c>
      <c r="DV31" t="s">
        <v>26</v>
      </c>
      <c r="DW31" t="s">
        <v>26</v>
      </c>
      <c r="DX31">
        <v>100</v>
      </c>
      <c r="DZ31" t="s">
        <v>3</v>
      </c>
      <c r="EA31" t="s">
        <v>3</v>
      </c>
      <c r="EB31" t="s">
        <v>3</v>
      </c>
      <c r="EC31" t="s">
        <v>3</v>
      </c>
      <c r="EE31">
        <v>75371444</v>
      </c>
      <c r="EF31">
        <v>1</v>
      </c>
      <c r="EG31" t="s">
        <v>20</v>
      </c>
      <c r="EH31">
        <v>0</v>
      </c>
      <c r="EI31" t="s">
        <v>3</v>
      </c>
      <c r="EJ31">
        <v>4</v>
      </c>
      <c r="EK31">
        <v>0</v>
      </c>
      <c r="EL31" t="s">
        <v>21</v>
      </c>
      <c r="EM31" t="s">
        <v>22</v>
      </c>
      <c r="EO31" t="s">
        <v>3</v>
      </c>
      <c r="EQ31">
        <v>0</v>
      </c>
      <c r="ER31">
        <v>34544.71</v>
      </c>
      <c r="ES31">
        <v>12294.89</v>
      </c>
      <c r="ET31">
        <v>1.46</v>
      </c>
      <c r="EU31">
        <v>0.02</v>
      </c>
      <c r="EV31">
        <v>22248.36</v>
      </c>
      <c r="EW31">
        <v>50.27</v>
      </c>
      <c r="EX31">
        <v>0</v>
      </c>
      <c r="EY31">
        <v>0</v>
      </c>
      <c r="FQ31">
        <v>0</v>
      </c>
      <c r="FR31">
        <f>ROUND(IF(BI31=3,GM31,0),2)</f>
        <v>0</v>
      </c>
      <c r="FS31">
        <v>0</v>
      </c>
      <c r="FX31">
        <v>70</v>
      </c>
      <c r="FY31">
        <v>10</v>
      </c>
      <c r="GA31" t="s">
        <v>3</v>
      </c>
      <c r="GD31">
        <v>0</v>
      </c>
      <c r="GF31">
        <v>-644016035</v>
      </c>
      <c r="GG31">
        <v>2</v>
      </c>
      <c r="GH31">
        <v>1</v>
      </c>
      <c r="GI31">
        <v>-2</v>
      </c>
      <c r="GJ31">
        <v>0</v>
      </c>
      <c r="GK31">
        <f>ROUND(R31*(R12)/100,2)</f>
        <v>0.02</v>
      </c>
      <c r="GL31">
        <f>ROUND(IF(AND(BH31=3,BI31=3,FS31&lt;&gt;0),P31,0),2)</f>
        <v>0</v>
      </c>
      <c r="GM31">
        <f>ROUND(O31+X31+Y31+GK31,2)+GX31</f>
        <v>54960.59</v>
      </c>
      <c r="GN31">
        <f>IF(OR(BI31=0,BI31=1),GM31-GX31,0)</f>
        <v>0</v>
      </c>
      <c r="GO31">
        <f>IF(BI31=2,GM31-GX31,0)</f>
        <v>0</v>
      </c>
      <c r="GP31">
        <f>IF(BI31=4,GM31-GX31,0)</f>
        <v>54960.59</v>
      </c>
      <c r="GR31">
        <v>0</v>
      </c>
      <c r="GS31">
        <v>0</v>
      </c>
      <c r="GT31">
        <v>0</v>
      </c>
      <c r="GU31" t="s">
        <v>3</v>
      </c>
      <c r="GV31">
        <f>ROUND((GT31),6)</f>
        <v>0</v>
      </c>
      <c r="GW31">
        <v>1</v>
      </c>
      <c r="GX31">
        <f>ROUND(HC31*I31,2)</f>
        <v>0</v>
      </c>
      <c r="HA31">
        <v>0</v>
      </c>
      <c r="HB31">
        <v>0</v>
      </c>
      <c r="HC31">
        <f>GV31*GW31</f>
        <v>0</v>
      </c>
      <c r="HE31" t="s">
        <v>3</v>
      </c>
      <c r="HF31" t="s">
        <v>3</v>
      </c>
      <c r="HM31" t="s">
        <v>3</v>
      </c>
      <c r="HN31" t="s">
        <v>3</v>
      </c>
      <c r="HO31" t="s">
        <v>3</v>
      </c>
      <c r="HP31" t="s">
        <v>3</v>
      </c>
      <c r="HQ31" t="s">
        <v>3</v>
      </c>
      <c r="IK31">
        <v>0</v>
      </c>
    </row>
    <row r="33" spans="1:206" x14ac:dyDescent="0.2">
      <c r="A33" s="2">
        <v>51</v>
      </c>
      <c r="B33" s="2">
        <f>B24</f>
        <v>1</v>
      </c>
      <c r="C33" s="2">
        <f>A24</f>
        <v>4</v>
      </c>
      <c r="D33" s="2">
        <f>ROW(A24)</f>
        <v>24</v>
      </c>
      <c r="E33" s="2"/>
      <c r="F33" s="2" t="str">
        <f>IF(F24&lt;&gt;"",F24,"")</f>
        <v>Новый раздел</v>
      </c>
      <c r="G33" s="2" t="str">
        <f>IF(G24&lt;&gt;"",G24,"")</f>
        <v>Фасад</v>
      </c>
      <c r="H33" s="2">
        <v>0</v>
      </c>
      <c r="I33" s="2"/>
      <c r="J33" s="2"/>
      <c r="K33" s="2"/>
      <c r="L33" s="2"/>
      <c r="M33" s="2"/>
      <c r="N33" s="2"/>
      <c r="O33" s="2">
        <f t="shared" ref="O33:T33" si="25">ROUND(AB33,2)</f>
        <v>78635.740000000005</v>
      </c>
      <c r="P33" s="2">
        <f t="shared" si="25"/>
        <v>22142.39</v>
      </c>
      <c r="Q33" s="2">
        <f t="shared" si="25"/>
        <v>1470.09</v>
      </c>
      <c r="R33" s="2">
        <f t="shared" si="25"/>
        <v>547.22</v>
      </c>
      <c r="S33" s="2">
        <f t="shared" si="25"/>
        <v>55023.26</v>
      </c>
      <c r="T33" s="2">
        <f t="shared" si="25"/>
        <v>0</v>
      </c>
      <c r="U33" s="2">
        <f>AH33</f>
        <v>116.102</v>
      </c>
      <c r="V33" s="2">
        <f>AI33</f>
        <v>0</v>
      </c>
      <c r="W33" s="2">
        <f>ROUND(AJ33,2)</f>
        <v>0</v>
      </c>
      <c r="X33" s="2">
        <f>ROUND(AK33,2)</f>
        <v>38516.29</v>
      </c>
      <c r="Y33" s="2">
        <f>ROUND(AL33,2)</f>
        <v>5502.33</v>
      </c>
      <c r="Z33" s="2"/>
      <c r="AA33" s="2"/>
      <c r="AB33" s="2">
        <f>ROUND(SUMIF(AA28:AA31,"=75703152",O28:O31),2)</f>
        <v>78635.740000000005</v>
      </c>
      <c r="AC33" s="2">
        <f>ROUND(SUMIF(AA28:AA31,"=75703152",P28:P31),2)</f>
        <v>22142.39</v>
      </c>
      <c r="AD33" s="2">
        <f>ROUND(SUMIF(AA28:AA31,"=75703152",Q28:Q31),2)</f>
        <v>1470.09</v>
      </c>
      <c r="AE33" s="2">
        <f>ROUND(SUMIF(AA28:AA31,"=75703152",R28:R31),2)</f>
        <v>547.22</v>
      </c>
      <c r="AF33" s="2">
        <f>ROUND(SUMIF(AA28:AA31,"=75703152",S28:S31),2)</f>
        <v>55023.26</v>
      </c>
      <c r="AG33" s="2">
        <f>ROUND(SUMIF(AA28:AA31,"=75703152",T28:T31),2)</f>
        <v>0</v>
      </c>
      <c r="AH33" s="2">
        <f>SUMIF(AA28:AA31,"=75703152",U28:U31)</f>
        <v>116.102</v>
      </c>
      <c r="AI33" s="2">
        <f>SUMIF(AA28:AA31,"=75703152",V28:V31)</f>
        <v>0</v>
      </c>
      <c r="AJ33" s="2">
        <f>ROUND(SUMIF(AA28:AA31,"=75703152",W28:W31),2)</f>
        <v>0</v>
      </c>
      <c r="AK33" s="2">
        <f>ROUND(SUMIF(AA28:AA31,"=75703152",X28:X31),2)</f>
        <v>38516.29</v>
      </c>
      <c r="AL33" s="2">
        <f>ROUND(SUMIF(AA28:AA31,"=75703152",Y28:Y31),2)</f>
        <v>5502.33</v>
      </c>
      <c r="AM33" s="2"/>
      <c r="AN33" s="2"/>
      <c r="AO33" s="2">
        <f t="shared" ref="AO33:BD33" si="26">ROUND(BX33,2)</f>
        <v>0</v>
      </c>
      <c r="AP33" s="2">
        <f t="shared" si="26"/>
        <v>0</v>
      </c>
      <c r="AQ33" s="2">
        <f t="shared" si="26"/>
        <v>0</v>
      </c>
      <c r="AR33" s="2">
        <f t="shared" si="26"/>
        <v>123245.36</v>
      </c>
      <c r="AS33" s="2">
        <f t="shared" si="26"/>
        <v>0</v>
      </c>
      <c r="AT33" s="2">
        <f t="shared" si="26"/>
        <v>0</v>
      </c>
      <c r="AU33" s="2">
        <f t="shared" si="26"/>
        <v>123245.36</v>
      </c>
      <c r="AV33" s="2">
        <f t="shared" si="26"/>
        <v>22142.39</v>
      </c>
      <c r="AW33" s="2">
        <f t="shared" si="26"/>
        <v>22142.39</v>
      </c>
      <c r="AX33" s="2">
        <f t="shared" si="26"/>
        <v>0</v>
      </c>
      <c r="AY33" s="2">
        <f t="shared" si="26"/>
        <v>22142.39</v>
      </c>
      <c r="AZ33" s="2">
        <f t="shared" si="26"/>
        <v>0</v>
      </c>
      <c r="BA33" s="2">
        <f t="shared" si="26"/>
        <v>0</v>
      </c>
      <c r="BB33" s="2">
        <f t="shared" si="26"/>
        <v>0</v>
      </c>
      <c r="BC33" s="2">
        <f t="shared" si="26"/>
        <v>0</v>
      </c>
      <c r="BD33" s="2">
        <f t="shared" si="26"/>
        <v>0</v>
      </c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>
        <f>ROUND(SUMIF(AA28:AA31,"=75703152",FQ28:FQ31),2)</f>
        <v>0</v>
      </c>
      <c r="BY33" s="2">
        <f>ROUND(SUMIF(AA28:AA31,"=75703152",FR28:FR31),2)</f>
        <v>0</v>
      </c>
      <c r="BZ33" s="2">
        <f>ROUND(SUMIF(AA28:AA31,"=75703152",GL28:GL31),2)</f>
        <v>0</v>
      </c>
      <c r="CA33" s="2">
        <f>ROUND(SUMIF(AA28:AA31,"=75703152",GM28:GM31),2)</f>
        <v>123245.36</v>
      </c>
      <c r="CB33" s="2">
        <f>ROUND(SUMIF(AA28:AA31,"=75703152",GN28:GN31),2)</f>
        <v>0</v>
      </c>
      <c r="CC33" s="2">
        <f>ROUND(SUMIF(AA28:AA31,"=75703152",GO28:GO31),2)</f>
        <v>0</v>
      </c>
      <c r="CD33" s="2">
        <f>ROUND(SUMIF(AA28:AA31,"=75703152",GP28:GP31),2)</f>
        <v>123245.36</v>
      </c>
      <c r="CE33" s="2">
        <f>AC33-BX33</f>
        <v>22142.39</v>
      </c>
      <c r="CF33" s="2">
        <f>AC33-BY33</f>
        <v>22142.39</v>
      </c>
      <c r="CG33" s="2">
        <f>BX33-BZ33</f>
        <v>0</v>
      </c>
      <c r="CH33" s="2">
        <f>AC33-BX33-BY33+BZ33</f>
        <v>22142.39</v>
      </c>
      <c r="CI33" s="2">
        <f>BY33-BZ33</f>
        <v>0</v>
      </c>
      <c r="CJ33" s="2">
        <f>ROUND(SUMIF(AA28:AA31,"=75703152",GX28:GX31),2)</f>
        <v>0</v>
      </c>
      <c r="CK33" s="2">
        <f>ROUND(SUMIF(AA28:AA31,"=75703152",GY28:GY31),2)</f>
        <v>0</v>
      </c>
      <c r="CL33" s="2">
        <f>ROUND(SUMIF(AA28:AA31,"=75703152",GZ28:GZ31),2)</f>
        <v>0</v>
      </c>
      <c r="CM33" s="2">
        <f>ROUND(SUMIF(AA28:AA31,"=75703152",HD28:HD31),2)</f>
        <v>0</v>
      </c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3"/>
      <c r="DS33" s="3"/>
      <c r="DT33" s="3"/>
      <c r="DU33" s="3"/>
      <c r="DV33" s="3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  <c r="EN33" s="3"/>
      <c r="EO33" s="3"/>
      <c r="EP33" s="3"/>
      <c r="EQ33" s="3"/>
      <c r="ER33" s="3"/>
      <c r="ES33" s="3"/>
      <c r="ET33" s="3"/>
      <c r="EU33" s="3"/>
      <c r="EV33" s="3"/>
      <c r="EW33" s="3"/>
      <c r="EX33" s="3"/>
      <c r="EY33" s="3"/>
      <c r="EZ33" s="3"/>
      <c r="FA33" s="3"/>
      <c r="FB33" s="3"/>
      <c r="FC33" s="3"/>
      <c r="FD33" s="3"/>
      <c r="FE33" s="3"/>
      <c r="FF33" s="3"/>
      <c r="FG33" s="3"/>
      <c r="FH33" s="3"/>
      <c r="FI33" s="3"/>
      <c r="FJ33" s="3"/>
      <c r="FK33" s="3"/>
      <c r="FL33" s="3"/>
      <c r="FM33" s="3"/>
      <c r="FN33" s="3"/>
      <c r="FO33" s="3"/>
      <c r="FP33" s="3"/>
      <c r="FQ33" s="3"/>
      <c r="FR33" s="3"/>
      <c r="FS33" s="3"/>
      <c r="FT33" s="3"/>
      <c r="FU33" s="3"/>
      <c r="FV33" s="3"/>
      <c r="FW33" s="3"/>
      <c r="FX33" s="3"/>
      <c r="FY33" s="3"/>
      <c r="FZ33" s="3"/>
      <c r="GA33" s="3"/>
      <c r="GB33" s="3"/>
      <c r="GC33" s="3"/>
      <c r="GD33" s="3"/>
      <c r="GE33" s="3"/>
      <c r="GF33" s="3"/>
      <c r="GG33" s="3"/>
      <c r="GH33" s="3"/>
      <c r="GI33" s="3"/>
      <c r="GJ33" s="3"/>
      <c r="GK33" s="3"/>
      <c r="GL33" s="3"/>
      <c r="GM33" s="3"/>
      <c r="GN33" s="3"/>
      <c r="GO33" s="3"/>
      <c r="GP33" s="3"/>
      <c r="GQ33" s="3"/>
      <c r="GR33" s="3"/>
      <c r="GS33" s="3"/>
      <c r="GT33" s="3"/>
      <c r="GU33" s="3"/>
      <c r="GV33" s="3"/>
      <c r="GW33" s="3"/>
      <c r="GX33" s="3">
        <v>0</v>
      </c>
    </row>
    <row r="35" spans="1:206" x14ac:dyDescent="0.2">
      <c r="A35" s="4">
        <v>50</v>
      </c>
      <c r="B35" s="4">
        <v>0</v>
      </c>
      <c r="C35" s="4">
        <v>0</v>
      </c>
      <c r="D35" s="4">
        <v>1</v>
      </c>
      <c r="E35" s="4">
        <v>201</v>
      </c>
      <c r="F35" s="4">
        <f>ROUND(Source!O33,O35)</f>
        <v>78635.740000000005</v>
      </c>
      <c r="G35" s="4" t="s">
        <v>36</v>
      </c>
      <c r="H35" s="4" t="s">
        <v>37</v>
      </c>
      <c r="I35" s="4"/>
      <c r="J35" s="4"/>
      <c r="K35" s="4">
        <v>201</v>
      </c>
      <c r="L35" s="4">
        <v>1</v>
      </c>
      <c r="M35" s="4">
        <v>3</v>
      </c>
      <c r="N35" s="4" t="s">
        <v>3</v>
      </c>
      <c r="O35" s="4">
        <v>2</v>
      </c>
      <c r="P35" s="4"/>
      <c r="Q35" s="4"/>
      <c r="R35" s="4"/>
      <c r="S35" s="4"/>
      <c r="T35" s="4"/>
      <c r="U35" s="4"/>
      <c r="V35" s="4"/>
      <c r="W35" s="4">
        <v>78635.740000000005</v>
      </c>
      <c r="X35" s="4">
        <v>1</v>
      </c>
      <c r="Y35" s="4">
        <v>78635.740000000005</v>
      </c>
      <c r="Z35" s="4"/>
      <c r="AA35" s="4"/>
      <c r="AB35" s="4"/>
    </row>
    <row r="36" spans="1:206" x14ac:dyDescent="0.2">
      <c r="A36" s="4">
        <v>50</v>
      </c>
      <c r="B36" s="4">
        <v>0</v>
      </c>
      <c r="C36" s="4">
        <v>0</v>
      </c>
      <c r="D36" s="4">
        <v>1</v>
      </c>
      <c r="E36" s="4">
        <v>202</v>
      </c>
      <c r="F36" s="4">
        <f>ROUND(Source!P33,O36)</f>
        <v>22142.39</v>
      </c>
      <c r="G36" s="4" t="s">
        <v>38</v>
      </c>
      <c r="H36" s="4" t="s">
        <v>39</v>
      </c>
      <c r="I36" s="4"/>
      <c r="J36" s="4"/>
      <c r="K36" s="4">
        <v>202</v>
      </c>
      <c r="L36" s="4">
        <v>2</v>
      </c>
      <c r="M36" s="4">
        <v>3</v>
      </c>
      <c r="N36" s="4" t="s">
        <v>3</v>
      </c>
      <c r="O36" s="4">
        <v>2</v>
      </c>
      <c r="P36" s="4"/>
      <c r="Q36" s="4"/>
      <c r="R36" s="4"/>
      <c r="S36" s="4"/>
      <c r="T36" s="4"/>
      <c r="U36" s="4"/>
      <c r="V36" s="4"/>
      <c r="W36" s="4">
        <v>22142.39</v>
      </c>
      <c r="X36" s="4">
        <v>1</v>
      </c>
      <c r="Y36" s="4">
        <v>22142.39</v>
      </c>
      <c r="Z36" s="4"/>
      <c r="AA36" s="4"/>
      <c r="AB36" s="4"/>
    </row>
    <row r="37" spans="1:206" x14ac:dyDescent="0.2">
      <c r="A37" s="4">
        <v>50</v>
      </c>
      <c r="B37" s="4">
        <v>0</v>
      </c>
      <c r="C37" s="4">
        <v>0</v>
      </c>
      <c r="D37" s="4">
        <v>1</v>
      </c>
      <c r="E37" s="4">
        <v>222</v>
      </c>
      <c r="F37" s="4">
        <f>ROUND(Source!AO33,O37)</f>
        <v>0</v>
      </c>
      <c r="G37" s="4" t="s">
        <v>40</v>
      </c>
      <c r="H37" s="4" t="s">
        <v>41</v>
      </c>
      <c r="I37" s="4"/>
      <c r="J37" s="4"/>
      <c r="K37" s="4">
        <v>222</v>
      </c>
      <c r="L37" s="4">
        <v>3</v>
      </c>
      <c r="M37" s="4">
        <v>3</v>
      </c>
      <c r="N37" s="4" t="s">
        <v>3</v>
      </c>
      <c r="O37" s="4">
        <v>2</v>
      </c>
      <c r="P37" s="4"/>
      <c r="Q37" s="4"/>
      <c r="R37" s="4"/>
      <c r="S37" s="4"/>
      <c r="T37" s="4"/>
      <c r="U37" s="4"/>
      <c r="V37" s="4"/>
      <c r="W37" s="4">
        <v>0</v>
      </c>
      <c r="X37" s="4">
        <v>1</v>
      </c>
      <c r="Y37" s="4">
        <v>0</v>
      </c>
      <c r="Z37" s="4"/>
      <c r="AA37" s="4"/>
      <c r="AB37" s="4"/>
    </row>
    <row r="38" spans="1:206" x14ac:dyDescent="0.2">
      <c r="A38" s="4">
        <v>50</v>
      </c>
      <c r="B38" s="4">
        <v>0</v>
      </c>
      <c r="C38" s="4">
        <v>0</v>
      </c>
      <c r="D38" s="4">
        <v>1</v>
      </c>
      <c r="E38" s="4">
        <v>225</v>
      </c>
      <c r="F38" s="4">
        <f>ROUND(Source!AV33,O38)</f>
        <v>22142.39</v>
      </c>
      <c r="G38" s="4" t="s">
        <v>42</v>
      </c>
      <c r="H38" s="4" t="s">
        <v>43</v>
      </c>
      <c r="I38" s="4"/>
      <c r="J38" s="4"/>
      <c r="K38" s="4">
        <v>225</v>
      </c>
      <c r="L38" s="4">
        <v>4</v>
      </c>
      <c r="M38" s="4">
        <v>3</v>
      </c>
      <c r="N38" s="4" t="s">
        <v>3</v>
      </c>
      <c r="O38" s="4">
        <v>2</v>
      </c>
      <c r="P38" s="4"/>
      <c r="Q38" s="4"/>
      <c r="R38" s="4"/>
      <c r="S38" s="4"/>
      <c r="T38" s="4"/>
      <c r="U38" s="4"/>
      <c r="V38" s="4"/>
      <c r="W38" s="4">
        <v>22142.39</v>
      </c>
      <c r="X38" s="4">
        <v>1</v>
      </c>
      <c r="Y38" s="4">
        <v>22142.39</v>
      </c>
      <c r="Z38" s="4"/>
      <c r="AA38" s="4"/>
      <c r="AB38" s="4"/>
    </row>
    <row r="39" spans="1:206" x14ac:dyDescent="0.2">
      <c r="A39" s="4">
        <v>50</v>
      </c>
      <c r="B39" s="4">
        <v>0</v>
      </c>
      <c r="C39" s="4">
        <v>0</v>
      </c>
      <c r="D39" s="4">
        <v>1</v>
      </c>
      <c r="E39" s="4">
        <v>226</v>
      </c>
      <c r="F39" s="4">
        <f>ROUND(Source!AW33,O39)</f>
        <v>22142.39</v>
      </c>
      <c r="G39" s="4" t="s">
        <v>44</v>
      </c>
      <c r="H39" s="4" t="s">
        <v>45</v>
      </c>
      <c r="I39" s="4"/>
      <c r="J39" s="4"/>
      <c r="K39" s="4">
        <v>226</v>
      </c>
      <c r="L39" s="4">
        <v>5</v>
      </c>
      <c r="M39" s="4">
        <v>3</v>
      </c>
      <c r="N39" s="4" t="s">
        <v>3</v>
      </c>
      <c r="O39" s="4">
        <v>2</v>
      </c>
      <c r="P39" s="4"/>
      <c r="Q39" s="4"/>
      <c r="R39" s="4"/>
      <c r="S39" s="4"/>
      <c r="T39" s="4"/>
      <c r="U39" s="4"/>
      <c r="V39" s="4"/>
      <c r="W39" s="4">
        <v>22142.39</v>
      </c>
      <c r="X39" s="4">
        <v>1</v>
      </c>
      <c r="Y39" s="4">
        <v>22142.39</v>
      </c>
      <c r="Z39" s="4"/>
      <c r="AA39" s="4"/>
      <c r="AB39" s="4"/>
    </row>
    <row r="40" spans="1:206" x14ac:dyDescent="0.2">
      <c r="A40" s="4">
        <v>50</v>
      </c>
      <c r="B40" s="4">
        <v>0</v>
      </c>
      <c r="C40" s="4">
        <v>0</v>
      </c>
      <c r="D40" s="4">
        <v>1</v>
      </c>
      <c r="E40" s="4">
        <v>227</v>
      </c>
      <c r="F40" s="4">
        <f>ROUND(Source!AX33,O40)</f>
        <v>0</v>
      </c>
      <c r="G40" s="4" t="s">
        <v>46</v>
      </c>
      <c r="H40" s="4" t="s">
        <v>47</v>
      </c>
      <c r="I40" s="4"/>
      <c r="J40" s="4"/>
      <c r="K40" s="4">
        <v>227</v>
      </c>
      <c r="L40" s="4">
        <v>6</v>
      </c>
      <c r="M40" s="4">
        <v>3</v>
      </c>
      <c r="N40" s="4" t="s">
        <v>3</v>
      </c>
      <c r="O40" s="4">
        <v>2</v>
      </c>
      <c r="P40" s="4"/>
      <c r="Q40" s="4"/>
      <c r="R40" s="4"/>
      <c r="S40" s="4"/>
      <c r="T40" s="4"/>
      <c r="U40" s="4"/>
      <c r="V40" s="4"/>
      <c r="W40" s="4">
        <v>0</v>
      </c>
      <c r="X40" s="4">
        <v>1</v>
      </c>
      <c r="Y40" s="4">
        <v>0</v>
      </c>
      <c r="Z40" s="4"/>
      <c r="AA40" s="4"/>
      <c r="AB40" s="4"/>
    </row>
    <row r="41" spans="1:206" x14ac:dyDescent="0.2">
      <c r="A41" s="4">
        <v>50</v>
      </c>
      <c r="B41" s="4">
        <v>0</v>
      </c>
      <c r="C41" s="4">
        <v>0</v>
      </c>
      <c r="D41" s="4">
        <v>1</v>
      </c>
      <c r="E41" s="4">
        <v>228</v>
      </c>
      <c r="F41" s="4">
        <f>ROUND(Source!AY33,O41)</f>
        <v>22142.39</v>
      </c>
      <c r="G41" s="4" t="s">
        <v>48</v>
      </c>
      <c r="H41" s="4" t="s">
        <v>49</v>
      </c>
      <c r="I41" s="4"/>
      <c r="J41" s="4"/>
      <c r="K41" s="4">
        <v>228</v>
      </c>
      <c r="L41" s="4">
        <v>7</v>
      </c>
      <c r="M41" s="4">
        <v>3</v>
      </c>
      <c r="N41" s="4" t="s">
        <v>3</v>
      </c>
      <c r="O41" s="4">
        <v>2</v>
      </c>
      <c r="P41" s="4"/>
      <c r="Q41" s="4"/>
      <c r="R41" s="4"/>
      <c r="S41" s="4"/>
      <c r="T41" s="4"/>
      <c r="U41" s="4"/>
      <c r="V41" s="4"/>
      <c r="W41" s="4">
        <v>22142.39</v>
      </c>
      <c r="X41" s="4">
        <v>1</v>
      </c>
      <c r="Y41" s="4">
        <v>22142.39</v>
      </c>
      <c r="Z41" s="4"/>
      <c r="AA41" s="4"/>
      <c r="AB41" s="4"/>
    </row>
    <row r="42" spans="1:206" x14ac:dyDescent="0.2">
      <c r="A42" s="4">
        <v>50</v>
      </c>
      <c r="B42" s="4">
        <v>0</v>
      </c>
      <c r="C42" s="4">
        <v>0</v>
      </c>
      <c r="D42" s="4">
        <v>1</v>
      </c>
      <c r="E42" s="4">
        <v>216</v>
      </c>
      <c r="F42" s="4">
        <f>ROUND(Source!AP33,O42)</f>
        <v>0</v>
      </c>
      <c r="G42" s="4" t="s">
        <v>50</v>
      </c>
      <c r="H42" s="4" t="s">
        <v>51</v>
      </c>
      <c r="I42" s="4"/>
      <c r="J42" s="4"/>
      <c r="K42" s="4">
        <v>216</v>
      </c>
      <c r="L42" s="4">
        <v>8</v>
      </c>
      <c r="M42" s="4">
        <v>3</v>
      </c>
      <c r="N42" s="4" t="s">
        <v>3</v>
      </c>
      <c r="O42" s="4">
        <v>2</v>
      </c>
      <c r="P42" s="4"/>
      <c r="Q42" s="4"/>
      <c r="R42" s="4"/>
      <c r="S42" s="4"/>
      <c r="T42" s="4"/>
      <c r="U42" s="4"/>
      <c r="V42" s="4"/>
      <c r="W42" s="4">
        <v>0</v>
      </c>
      <c r="X42" s="4">
        <v>1</v>
      </c>
      <c r="Y42" s="4">
        <v>0</v>
      </c>
      <c r="Z42" s="4"/>
      <c r="AA42" s="4"/>
      <c r="AB42" s="4"/>
    </row>
    <row r="43" spans="1:206" x14ac:dyDescent="0.2">
      <c r="A43" s="4">
        <v>50</v>
      </c>
      <c r="B43" s="4">
        <v>0</v>
      </c>
      <c r="C43" s="4">
        <v>0</v>
      </c>
      <c r="D43" s="4">
        <v>1</v>
      </c>
      <c r="E43" s="4">
        <v>223</v>
      </c>
      <c r="F43" s="4">
        <f>ROUND(Source!AQ33,O43)</f>
        <v>0</v>
      </c>
      <c r="G43" s="4" t="s">
        <v>52</v>
      </c>
      <c r="H43" s="4" t="s">
        <v>53</v>
      </c>
      <c r="I43" s="4"/>
      <c r="J43" s="4"/>
      <c r="K43" s="4">
        <v>223</v>
      </c>
      <c r="L43" s="4">
        <v>9</v>
      </c>
      <c r="M43" s="4">
        <v>3</v>
      </c>
      <c r="N43" s="4" t="s">
        <v>3</v>
      </c>
      <c r="O43" s="4">
        <v>2</v>
      </c>
      <c r="P43" s="4"/>
      <c r="Q43" s="4"/>
      <c r="R43" s="4"/>
      <c r="S43" s="4"/>
      <c r="T43" s="4"/>
      <c r="U43" s="4"/>
      <c r="V43" s="4"/>
      <c r="W43" s="4">
        <v>0</v>
      </c>
      <c r="X43" s="4">
        <v>1</v>
      </c>
      <c r="Y43" s="4">
        <v>0</v>
      </c>
      <c r="Z43" s="4"/>
      <c r="AA43" s="4"/>
      <c r="AB43" s="4"/>
    </row>
    <row r="44" spans="1:206" x14ac:dyDescent="0.2">
      <c r="A44" s="4">
        <v>50</v>
      </c>
      <c r="B44" s="4">
        <v>0</v>
      </c>
      <c r="C44" s="4">
        <v>0</v>
      </c>
      <c r="D44" s="4">
        <v>1</v>
      </c>
      <c r="E44" s="4">
        <v>229</v>
      </c>
      <c r="F44" s="4">
        <f>ROUND(Source!AZ33,O44)</f>
        <v>0</v>
      </c>
      <c r="G44" s="4" t="s">
        <v>54</v>
      </c>
      <c r="H44" s="4" t="s">
        <v>55</v>
      </c>
      <c r="I44" s="4"/>
      <c r="J44" s="4"/>
      <c r="K44" s="4">
        <v>229</v>
      </c>
      <c r="L44" s="4">
        <v>10</v>
      </c>
      <c r="M44" s="4">
        <v>3</v>
      </c>
      <c r="N44" s="4" t="s">
        <v>3</v>
      </c>
      <c r="O44" s="4">
        <v>2</v>
      </c>
      <c r="P44" s="4"/>
      <c r="Q44" s="4"/>
      <c r="R44" s="4"/>
      <c r="S44" s="4"/>
      <c r="T44" s="4"/>
      <c r="U44" s="4"/>
      <c r="V44" s="4"/>
      <c r="W44" s="4">
        <v>0</v>
      </c>
      <c r="X44" s="4">
        <v>1</v>
      </c>
      <c r="Y44" s="4">
        <v>0</v>
      </c>
      <c r="Z44" s="4"/>
      <c r="AA44" s="4"/>
      <c r="AB44" s="4"/>
    </row>
    <row r="45" spans="1:206" x14ac:dyDescent="0.2">
      <c r="A45" s="4">
        <v>50</v>
      </c>
      <c r="B45" s="4">
        <v>0</v>
      </c>
      <c r="C45" s="4">
        <v>0</v>
      </c>
      <c r="D45" s="4">
        <v>1</v>
      </c>
      <c r="E45" s="4">
        <v>203</v>
      </c>
      <c r="F45" s="4">
        <f>ROUND(Source!Q33,O45)</f>
        <v>1470.09</v>
      </c>
      <c r="G45" s="4" t="s">
        <v>56</v>
      </c>
      <c r="H45" s="4" t="s">
        <v>57</v>
      </c>
      <c r="I45" s="4"/>
      <c r="J45" s="4"/>
      <c r="K45" s="4">
        <v>203</v>
      </c>
      <c r="L45" s="4">
        <v>11</v>
      </c>
      <c r="M45" s="4">
        <v>3</v>
      </c>
      <c r="N45" s="4" t="s">
        <v>3</v>
      </c>
      <c r="O45" s="4">
        <v>2</v>
      </c>
      <c r="P45" s="4"/>
      <c r="Q45" s="4"/>
      <c r="R45" s="4"/>
      <c r="S45" s="4"/>
      <c r="T45" s="4"/>
      <c r="U45" s="4"/>
      <c r="V45" s="4"/>
      <c r="W45" s="4">
        <v>1470.09</v>
      </c>
      <c r="X45" s="4">
        <v>1</v>
      </c>
      <c r="Y45" s="4">
        <v>1470.09</v>
      </c>
      <c r="Z45" s="4"/>
      <c r="AA45" s="4"/>
      <c r="AB45" s="4"/>
    </row>
    <row r="46" spans="1:206" x14ac:dyDescent="0.2">
      <c r="A46" s="4">
        <v>50</v>
      </c>
      <c r="B46" s="4">
        <v>0</v>
      </c>
      <c r="C46" s="4">
        <v>0</v>
      </c>
      <c r="D46" s="4">
        <v>1</v>
      </c>
      <c r="E46" s="4">
        <v>231</v>
      </c>
      <c r="F46" s="4">
        <f>ROUND(Source!BB33,O46)</f>
        <v>0</v>
      </c>
      <c r="G46" s="4" t="s">
        <v>58</v>
      </c>
      <c r="H46" s="4" t="s">
        <v>59</v>
      </c>
      <c r="I46" s="4"/>
      <c r="J46" s="4"/>
      <c r="K46" s="4">
        <v>231</v>
      </c>
      <c r="L46" s="4">
        <v>12</v>
      </c>
      <c r="M46" s="4">
        <v>3</v>
      </c>
      <c r="N46" s="4" t="s">
        <v>3</v>
      </c>
      <c r="O46" s="4">
        <v>2</v>
      </c>
      <c r="P46" s="4"/>
      <c r="Q46" s="4"/>
      <c r="R46" s="4"/>
      <c r="S46" s="4"/>
      <c r="T46" s="4"/>
      <c r="U46" s="4"/>
      <c r="V46" s="4"/>
      <c r="W46" s="4">
        <v>0</v>
      </c>
      <c r="X46" s="4">
        <v>1</v>
      </c>
      <c r="Y46" s="4">
        <v>0</v>
      </c>
      <c r="Z46" s="4"/>
      <c r="AA46" s="4"/>
      <c r="AB46" s="4"/>
    </row>
    <row r="47" spans="1:206" x14ac:dyDescent="0.2">
      <c r="A47" s="4">
        <v>50</v>
      </c>
      <c r="B47" s="4">
        <v>0</v>
      </c>
      <c r="C47" s="4">
        <v>0</v>
      </c>
      <c r="D47" s="4">
        <v>1</v>
      </c>
      <c r="E47" s="4">
        <v>204</v>
      </c>
      <c r="F47" s="4">
        <f>ROUND(Source!R33,O47)</f>
        <v>547.22</v>
      </c>
      <c r="G47" s="4" t="s">
        <v>60</v>
      </c>
      <c r="H47" s="4" t="s">
        <v>61</v>
      </c>
      <c r="I47" s="4"/>
      <c r="J47" s="4"/>
      <c r="K47" s="4">
        <v>204</v>
      </c>
      <c r="L47" s="4">
        <v>13</v>
      </c>
      <c r="M47" s="4">
        <v>3</v>
      </c>
      <c r="N47" s="4" t="s">
        <v>3</v>
      </c>
      <c r="O47" s="4">
        <v>2</v>
      </c>
      <c r="P47" s="4"/>
      <c r="Q47" s="4"/>
      <c r="R47" s="4"/>
      <c r="S47" s="4"/>
      <c r="T47" s="4"/>
      <c r="U47" s="4"/>
      <c r="V47" s="4"/>
      <c r="W47" s="4">
        <v>547.22</v>
      </c>
      <c r="X47" s="4">
        <v>1</v>
      </c>
      <c r="Y47" s="4">
        <v>547.22</v>
      </c>
      <c r="Z47" s="4"/>
      <c r="AA47" s="4"/>
      <c r="AB47" s="4"/>
    </row>
    <row r="48" spans="1:206" x14ac:dyDescent="0.2">
      <c r="A48" s="4">
        <v>50</v>
      </c>
      <c r="B48" s="4">
        <v>0</v>
      </c>
      <c r="C48" s="4">
        <v>0</v>
      </c>
      <c r="D48" s="4">
        <v>1</v>
      </c>
      <c r="E48" s="4">
        <v>205</v>
      </c>
      <c r="F48" s="4">
        <f>ROUND(Source!S33,O48)</f>
        <v>55023.26</v>
      </c>
      <c r="G48" s="4" t="s">
        <v>62</v>
      </c>
      <c r="H48" s="4" t="s">
        <v>63</v>
      </c>
      <c r="I48" s="4"/>
      <c r="J48" s="4"/>
      <c r="K48" s="4">
        <v>205</v>
      </c>
      <c r="L48" s="4">
        <v>14</v>
      </c>
      <c r="M48" s="4">
        <v>3</v>
      </c>
      <c r="N48" s="4" t="s">
        <v>3</v>
      </c>
      <c r="O48" s="4">
        <v>2</v>
      </c>
      <c r="P48" s="4"/>
      <c r="Q48" s="4"/>
      <c r="R48" s="4"/>
      <c r="S48" s="4"/>
      <c r="T48" s="4"/>
      <c r="U48" s="4"/>
      <c r="V48" s="4"/>
      <c r="W48" s="4">
        <v>55023.26</v>
      </c>
      <c r="X48" s="4">
        <v>1</v>
      </c>
      <c r="Y48" s="4">
        <v>55023.26</v>
      </c>
      <c r="Z48" s="4"/>
      <c r="AA48" s="4"/>
      <c r="AB48" s="4"/>
    </row>
    <row r="49" spans="1:88" x14ac:dyDescent="0.2">
      <c r="A49" s="4">
        <v>50</v>
      </c>
      <c r="B49" s="4">
        <v>0</v>
      </c>
      <c r="C49" s="4">
        <v>0</v>
      </c>
      <c r="D49" s="4">
        <v>1</v>
      </c>
      <c r="E49" s="4">
        <v>232</v>
      </c>
      <c r="F49" s="4">
        <f>ROUND(Source!BC33,O49)</f>
        <v>0</v>
      </c>
      <c r="G49" s="4" t="s">
        <v>64</v>
      </c>
      <c r="H49" s="4" t="s">
        <v>65</v>
      </c>
      <c r="I49" s="4"/>
      <c r="J49" s="4"/>
      <c r="K49" s="4">
        <v>232</v>
      </c>
      <c r="L49" s="4">
        <v>15</v>
      </c>
      <c r="M49" s="4">
        <v>3</v>
      </c>
      <c r="N49" s="4" t="s">
        <v>3</v>
      </c>
      <c r="O49" s="4">
        <v>2</v>
      </c>
      <c r="P49" s="4"/>
      <c r="Q49" s="4"/>
      <c r="R49" s="4"/>
      <c r="S49" s="4"/>
      <c r="T49" s="4"/>
      <c r="U49" s="4"/>
      <c r="V49" s="4"/>
      <c r="W49" s="4">
        <v>0</v>
      </c>
      <c r="X49" s="4">
        <v>1</v>
      </c>
      <c r="Y49" s="4">
        <v>0</v>
      </c>
      <c r="Z49" s="4"/>
      <c r="AA49" s="4"/>
      <c r="AB49" s="4"/>
    </row>
    <row r="50" spans="1:88" x14ac:dyDescent="0.2">
      <c r="A50" s="4">
        <v>50</v>
      </c>
      <c r="B50" s="4">
        <v>0</v>
      </c>
      <c r="C50" s="4">
        <v>0</v>
      </c>
      <c r="D50" s="4">
        <v>1</v>
      </c>
      <c r="E50" s="4">
        <v>214</v>
      </c>
      <c r="F50" s="4">
        <f>ROUND(Source!AS33,O50)</f>
        <v>0</v>
      </c>
      <c r="G50" s="4" t="s">
        <v>66</v>
      </c>
      <c r="H50" s="4" t="s">
        <v>67</v>
      </c>
      <c r="I50" s="4"/>
      <c r="J50" s="4"/>
      <c r="K50" s="4">
        <v>214</v>
      </c>
      <c r="L50" s="4">
        <v>16</v>
      </c>
      <c r="M50" s="4">
        <v>3</v>
      </c>
      <c r="N50" s="4" t="s">
        <v>3</v>
      </c>
      <c r="O50" s="4">
        <v>2</v>
      </c>
      <c r="P50" s="4"/>
      <c r="Q50" s="4"/>
      <c r="R50" s="4"/>
      <c r="S50" s="4"/>
      <c r="T50" s="4"/>
      <c r="U50" s="4"/>
      <c r="V50" s="4"/>
      <c r="W50" s="4">
        <v>0</v>
      </c>
      <c r="X50" s="4">
        <v>1</v>
      </c>
      <c r="Y50" s="4">
        <v>0</v>
      </c>
      <c r="Z50" s="4"/>
      <c r="AA50" s="4"/>
      <c r="AB50" s="4"/>
    </row>
    <row r="51" spans="1:88" x14ac:dyDescent="0.2">
      <c r="A51" s="4">
        <v>50</v>
      </c>
      <c r="B51" s="4">
        <v>0</v>
      </c>
      <c r="C51" s="4">
        <v>0</v>
      </c>
      <c r="D51" s="4">
        <v>1</v>
      </c>
      <c r="E51" s="4">
        <v>215</v>
      </c>
      <c r="F51" s="4">
        <f>ROUND(Source!AT33,O51)</f>
        <v>0</v>
      </c>
      <c r="G51" s="4" t="s">
        <v>68</v>
      </c>
      <c r="H51" s="4" t="s">
        <v>69</v>
      </c>
      <c r="I51" s="4"/>
      <c r="J51" s="4"/>
      <c r="K51" s="4">
        <v>215</v>
      </c>
      <c r="L51" s="4">
        <v>17</v>
      </c>
      <c r="M51" s="4">
        <v>3</v>
      </c>
      <c r="N51" s="4" t="s">
        <v>3</v>
      </c>
      <c r="O51" s="4">
        <v>2</v>
      </c>
      <c r="P51" s="4"/>
      <c r="Q51" s="4"/>
      <c r="R51" s="4"/>
      <c r="S51" s="4"/>
      <c r="T51" s="4"/>
      <c r="U51" s="4"/>
      <c r="V51" s="4"/>
      <c r="W51" s="4">
        <v>0</v>
      </c>
      <c r="X51" s="4">
        <v>1</v>
      </c>
      <c r="Y51" s="4">
        <v>0</v>
      </c>
      <c r="Z51" s="4"/>
      <c r="AA51" s="4"/>
      <c r="AB51" s="4"/>
    </row>
    <row r="52" spans="1:88" x14ac:dyDescent="0.2">
      <c r="A52" s="4">
        <v>50</v>
      </c>
      <c r="B52" s="4">
        <v>0</v>
      </c>
      <c r="C52" s="4">
        <v>0</v>
      </c>
      <c r="D52" s="4">
        <v>1</v>
      </c>
      <c r="E52" s="4">
        <v>217</v>
      </c>
      <c r="F52" s="4">
        <f>ROUND(Source!AU33,O52)</f>
        <v>123245.36</v>
      </c>
      <c r="G52" s="4" t="s">
        <v>70</v>
      </c>
      <c r="H52" s="4" t="s">
        <v>71</v>
      </c>
      <c r="I52" s="4"/>
      <c r="J52" s="4"/>
      <c r="K52" s="4">
        <v>217</v>
      </c>
      <c r="L52" s="4">
        <v>18</v>
      </c>
      <c r="M52" s="4">
        <v>3</v>
      </c>
      <c r="N52" s="4" t="s">
        <v>3</v>
      </c>
      <c r="O52" s="4">
        <v>2</v>
      </c>
      <c r="P52" s="4"/>
      <c r="Q52" s="4"/>
      <c r="R52" s="4"/>
      <c r="S52" s="4"/>
      <c r="T52" s="4"/>
      <c r="U52" s="4"/>
      <c r="V52" s="4"/>
      <c r="W52" s="4">
        <v>123245.36</v>
      </c>
      <c r="X52" s="4">
        <v>1</v>
      </c>
      <c r="Y52" s="4">
        <v>123245.36</v>
      </c>
      <c r="Z52" s="4"/>
      <c r="AA52" s="4"/>
      <c r="AB52" s="4"/>
    </row>
    <row r="53" spans="1:88" x14ac:dyDescent="0.2">
      <c r="A53" s="4">
        <v>50</v>
      </c>
      <c r="B53" s="4">
        <v>0</v>
      </c>
      <c r="C53" s="4">
        <v>0</v>
      </c>
      <c r="D53" s="4">
        <v>1</v>
      </c>
      <c r="E53" s="4">
        <v>230</v>
      </c>
      <c r="F53" s="4">
        <f>ROUND(Source!BA33,O53)</f>
        <v>0</v>
      </c>
      <c r="G53" s="4" t="s">
        <v>72</v>
      </c>
      <c r="H53" s="4" t="s">
        <v>73</v>
      </c>
      <c r="I53" s="4"/>
      <c r="J53" s="4"/>
      <c r="K53" s="4">
        <v>230</v>
      </c>
      <c r="L53" s="4">
        <v>19</v>
      </c>
      <c r="M53" s="4">
        <v>3</v>
      </c>
      <c r="N53" s="4" t="s">
        <v>3</v>
      </c>
      <c r="O53" s="4">
        <v>2</v>
      </c>
      <c r="P53" s="4"/>
      <c r="Q53" s="4"/>
      <c r="R53" s="4"/>
      <c r="S53" s="4"/>
      <c r="T53" s="4"/>
      <c r="U53" s="4"/>
      <c r="V53" s="4"/>
      <c r="W53" s="4">
        <v>0</v>
      </c>
      <c r="X53" s="4">
        <v>1</v>
      </c>
      <c r="Y53" s="4">
        <v>0</v>
      </c>
      <c r="Z53" s="4"/>
      <c r="AA53" s="4"/>
      <c r="AB53" s="4"/>
    </row>
    <row r="54" spans="1:88" x14ac:dyDescent="0.2">
      <c r="A54" s="4">
        <v>50</v>
      </c>
      <c r="B54" s="4">
        <v>0</v>
      </c>
      <c r="C54" s="4">
        <v>0</v>
      </c>
      <c r="D54" s="4">
        <v>1</v>
      </c>
      <c r="E54" s="4">
        <v>206</v>
      </c>
      <c r="F54" s="4">
        <f>ROUND(Source!T33,O54)</f>
        <v>0</v>
      </c>
      <c r="G54" s="4" t="s">
        <v>74</v>
      </c>
      <c r="H54" s="4" t="s">
        <v>75</v>
      </c>
      <c r="I54" s="4"/>
      <c r="J54" s="4"/>
      <c r="K54" s="4">
        <v>206</v>
      </c>
      <c r="L54" s="4">
        <v>20</v>
      </c>
      <c r="M54" s="4">
        <v>3</v>
      </c>
      <c r="N54" s="4" t="s">
        <v>3</v>
      </c>
      <c r="O54" s="4">
        <v>2</v>
      </c>
      <c r="P54" s="4"/>
      <c r="Q54" s="4"/>
      <c r="R54" s="4"/>
      <c r="S54" s="4"/>
      <c r="T54" s="4"/>
      <c r="U54" s="4"/>
      <c r="V54" s="4"/>
      <c r="W54" s="4">
        <v>0</v>
      </c>
      <c r="X54" s="4">
        <v>1</v>
      </c>
      <c r="Y54" s="4">
        <v>0</v>
      </c>
      <c r="Z54" s="4"/>
      <c r="AA54" s="4"/>
      <c r="AB54" s="4"/>
    </row>
    <row r="55" spans="1:88" x14ac:dyDescent="0.2">
      <c r="A55" s="4">
        <v>50</v>
      </c>
      <c r="B55" s="4">
        <v>0</v>
      </c>
      <c r="C55" s="4">
        <v>0</v>
      </c>
      <c r="D55" s="4">
        <v>1</v>
      </c>
      <c r="E55" s="4">
        <v>207</v>
      </c>
      <c r="F55" s="4">
        <f>Source!U33</f>
        <v>116.102</v>
      </c>
      <c r="G55" s="4" t="s">
        <v>76</v>
      </c>
      <c r="H55" s="4" t="s">
        <v>77</v>
      </c>
      <c r="I55" s="4"/>
      <c r="J55" s="4"/>
      <c r="K55" s="4">
        <v>207</v>
      </c>
      <c r="L55" s="4">
        <v>21</v>
      </c>
      <c r="M55" s="4">
        <v>3</v>
      </c>
      <c r="N55" s="4" t="s">
        <v>3</v>
      </c>
      <c r="O55" s="4">
        <v>-1</v>
      </c>
      <c r="P55" s="4"/>
      <c r="Q55" s="4"/>
      <c r="R55" s="4"/>
      <c r="S55" s="4"/>
      <c r="T55" s="4"/>
      <c r="U55" s="4"/>
      <c r="V55" s="4"/>
      <c r="W55" s="4">
        <v>116.102</v>
      </c>
      <c r="X55" s="4">
        <v>1</v>
      </c>
      <c r="Y55" s="4">
        <v>116.102</v>
      </c>
      <c r="Z55" s="4"/>
      <c r="AA55" s="4"/>
      <c r="AB55" s="4"/>
    </row>
    <row r="56" spans="1:88" x14ac:dyDescent="0.2">
      <c r="A56" s="4">
        <v>50</v>
      </c>
      <c r="B56" s="4">
        <v>0</v>
      </c>
      <c r="C56" s="4">
        <v>0</v>
      </c>
      <c r="D56" s="4">
        <v>1</v>
      </c>
      <c r="E56" s="4">
        <v>208</v>
      </c>
      <c r="F56" s="4">
        <f>Source!V33</f>
        <v>0</v>
      </c>
      <c r="G56" s="4" t="s">
        <v>78</v>
      </c>
      <c r="H56" s="4" t="s">
        <v>79</v>
      </c>
      <c r="I56" s="4"/>
      <c r="J56" s="4"/>
      <c r="K56" s="4">
        <v>208</v>
      </c>
      <c r="L56" s="4">
        <v>22</v>
      </c>
      <c r="M56" s="4">
        <v>3</v>
      </c>
      <c r="N56" s="4" t="s">
        <v>3</v>
      </c>
      <c r="O56" s="4">
        <v>-1</v>
      </c>
      <c r="P56" s="4"/>
      <c r="Q56" s="4"/>
      <c r="R56" s="4"/>
      <c r="S56" s="4"/>
      <c r="T56" s="4"/>
      <c r="U56" s="4"/>
      <c r="V56" s="4"/>
      <c r="W56" s="4">
        <v>0</v>
      </c>
      <c r="X56" s="4">
        <v>1</v>
      </c>
      <c r="Y56" s="4">
        <v>0</v>
      </c>
      <c r="Z56" s="4"/>
      <c r="AA56" s="4"/>
      <c r="AB56" s="4"/>
    </row>
    <row r="57" spans="1:88" x14ac:dyDescent="0.2">
      <c r="A57" s="4">
        <v>50</v>
      </c>
      <c r="B57" s="4">
        <v>0</v>
      </c>
      <c r="C57" s="4">
        <v>0</v>
      </c>
      <c r="D57" s="4">
        <v>1</v>
      </c>
      <c r="E57" s="4">
        <v>209</v>
      </c>
      <c r="F57" s="4">
        <f>ROUND(Source!W33,O57)</f>
        <v>0</v>
      </c>
      <c r="G57" s="4" t="s">
        <v>80</v>
      </c>
      <c r="H57" s="4" t="s">
        <v>81</v>
      </c>
      <c r="I57" s="4"/>
      <c r="J57" s="4"/>
      <c r="K57" s="4">
        <v>209</v>
      </c>
      <c r="L57" s="4">
        <v>23</v>
      </c>
      <c r="M57" s="4">
        <v>3</v>
      </c>
      <c r="N57" s="4" t="s">
        <v>3</v>
      </c>
      <c r="O57" s="4">
        <v>2</v>
      </c>
      <c r="P57" s="4"/>
      <c r="Q57" s="4"/>
      <c r="R57" s="4"/>
      <c r="S57" s="4"/>
      <c r="T57" s="4"/>
      <c r="U57" s="4"/>
      <c r="V57" s="4"/>
      <c r="W57" s="4">
        <v>0</v>
      </c>
      <c r="X57" s="4">
        <v>1</v>
      </c>
      <c r="Y57" s="4">
        <v>0</v>
      </c>
      <c r="Z57" s="4"/>
      <c r="AA57" s="4"/>
      <c r="AB57" s="4"/>
    </row>
    <row r="58" spans="1:88" x14ac:dyDescent="0.2">
      <c r="A58" s="4">
        <v>50</v>
      </c>
      <c r="B58" s="4">
        <v>0</v>
      </c>
      <c r="C58" s="4">
        <v>0</v>
      </c>
      <c r="D58" s="4">
        <v>1</v>
      </c>
      <c r="E58" s="4">
        <v>233</v>
      </c>
      <c r="F58" s="4">
        <f>ROUND(Source!BD33,O58)</f>
        <v>0</v>
      </c>
      <c r="G58" s="4" t="s">
        <v>82</v>
      </c>
      <c r="H58" s="4" t="s">
        <v>83</v>
      </c>
      <c r="I58" s="4"/>
      <c r="J58" s="4"/>
      <c r="K58" s="4">
        <v>233</v>
      </c>
      <c r="L58" s="4">
        <v>24</v>
      </c>
      <c r="M58" s="4">
        <v>3</v>
      </c>
      <c r="N58" s="4" t="s">
        <v>3</v>
      </c>
      <c r="O58" s="4">
        <v>2</v>
      </c>
      <c r="P58" s="4"/>
      <c r="Q58" s="4"/>
      <c r="R58" s="4"/>
      <c r="S58" s="4"/>
      <c r="T58" s="4"/>
      <c r="U58" s="4"/>
      <c r="V58" s="4"/>
      <c r="W58" s="4">
        <v>0</v>
      </c>
      <c r="X58" s="4">
        <v>1</v>
      </c>
      <c r="Y58" s="4">
        <v>0</v>
      </c>
      <c r="Z58" s="4"/>
      <c r="AA58" s="4"/>
      <c r="AB58" s="4"/>
    </row>
    <row r="59" spans="1:88" x14ac:dyDescent="0.2">
      <c r="A59" s="4">
        <v>50</v>
      </c>
      <c r="B59" s="4">
        <v>0</v>
      </c>
      <c r="C59" s="4">
        <v>0</v>
      </c>
      <c r="D59" s="4">
        <v>1</v>
      </c>
      <c r="E59" s="4">
        <v>210</v>
      </c>
      <c r="F59" s="4">
        <f>ROUND(Source!X33,O59)</f>
        <v>38516.29</v>
      </c>
      <c r="G59" s="4" t="s">
        <v>84</v>
      </c>
      <c r="H59" s="4" t="s">
        <v>85</v>
      </c>
      <c r="I59" s="4"/>
      <c r="J59" s="4"/>
      <c r="K59" s="4">
        <v>210</v>
      </c>
      <c r="L59" s="4">
        <v>25</v>
      </c>
      <c r="M59" s="4">
        <v>3</v>
      </c>
      <c r="N59" s="4" t="s">
        <v>3</v>
      </c>
      <c r="O59" s="4">
        <v>2</v>
      </c>
      <c r="P59" s="4"/>
      <c r="Q59" s="4"/>
      <c r="R59" s="4"/>
      <c r="S59" s="4"/>
      <c r="T59" s="4"/>
      <c r="U59" s="4"/>
      <c r="V59" s="4"/>
      <c r="W59" s="4">
        <v>38516.29</v>
      </c>
      <c r="X59" s="4">
        <v>1</v>
      </c>
      <c r="Y59" s="4">
        <v>38516.29</v>
      </c>
      <c r="Z59" s="4"/>
      <c r="AA59" s="4"/>
      <c r="AB59" s="4"/>
    </row>
    <row r="60" spans="1:88" x14ac:dyDescent="0.2">
      <c r="A60" s="4">
        <v>50</v>
      </c>
      <c r="B60" s="4">
        <v>0</v>
      </c>
      <c r="C60" s="4">
        <v>0</v>
      </c>
      <c r="D60" s="4">
        <v>1</v>
      </c>
      <c r="E60" s="4">
        <v>211</v>
      </c>
      <c r="F60" s="4">
        <f>ROUND(Source!Y33,O60)</f>
        <v>5502.33</v>
      </c>
      <c r="G60" s="4" t="s">
        <v>86</v>
      </c>
      <c r="H60" s="4" t="s">
        <v>87</v>
      </c>
      <c r="I60" s="4"/>
      <c r="J60" s="4"/>
      <c r="K60" s="4">
        <v>211</v>
      </c>
      <c r="L60" s="4">
        <v>26</v>
      </c>
      <c r="M60" s="4">
        <v>3</v>
      </c>
      <c r="N60" s="4" t="s">
        <v>3</v>
      </c>
      <c r="O60" s="4">
        <v>2</v>
      </c>
      <c r="P60" s="4"/>
      <c r="Q60" s="4"/>
      <c r="R60" s="4"/>
      <c r="S60" s="4"/>
      <c r="T60" s="4"/>
      <c r="U60" s="4"/>
      <c r="V60" s="4"/>
      <c r="W60" s="4">
        <v>5502.33</v>
      </c>
      <c r="X60" s="4">
        <v>1</v>
      </c>
      <c r="Y60" s="4">
        <v>5502.33</v>
      </c>
      <c r="Z60" s="4"/>
      <c r="AA60" s="4"/>
      <c r="AB60" s="4"/>
    </row>
    <row r="61" spans="1:88" x14ac:dyDescent="0.2">
      <c r="A61" s="4">
        <v>50</v>
      </c>
      <c r="B61" s="4">
        <v>0</v>
      </c>
      <c r="C61" s="4">
        <v>0</v>
      </c>
      <c r="D61" s="4">
        <v>1</v>
      </c>
      <c r="E61" s="4">
        <v>224</v>
      </c>
      <c r="F61" s="4">
        <f>ROUND(Source!AR33,O61)</f>
        <v>123245.36</v>
      </c>
      <c r="G61" s="4" t="s">
        <v>88</v>
      </c>
      <c r="H61" s="4" t="s">
        <v>89</v>
      </c>
      <c r="I61" s="4"/>
      <c r="J61" s="4"/>
      <c r="K61" s="4">
        <v>224</v>
      </c>
      <c r="L61" s="4">
        <v>27</v>
      </c>
      <c r="M61" s="4">
        <v>3</v>
      </c>
      <c r="N61" s="4" t="s">
        <v>3</v>
      </c>
      <c r="O61" s="4">
        <v>2</v>
      </c>
      <c r="P61" s="4"/>
      <c r="Q61" s="4"/>
      <c r="R61" s="4"/>
      <c r="S61" s="4"/>
      <c r="T61" s="4"/>
      <c r="U61" s="4"/>
      <c r="V61" s="4"/>
      <c r="W61" s="4">
        <v>123245.36</v>
      </c>
      <c r="X61" s="4">
        <v>1</v>
      </c>
      <c r="Y61" s="4">
        <v>123245.36</v>
      </c>
      <c r="Z61" s="4"/>
      <c r="AA61" s="4"/>
      <c r="AB61" s="4"/>
    </row>
    <row r="63" spans="1:88" x14ac:dyDescent="0.2">
      <c r="A63" s="1">
        <v>4</v>
      </c>
      <c r="B63" s="1">
        <v>1</v>
      </c>
      <c r="C63" s="1"/>
      <c r="D63" s="1">
        <f>ROW(A73)</f>
        <v>73</v>
      </c>
      <c r="E63" s="1"/>
      <c r="F63" s="1" t="s">
        <v>13</v>
      </c>
      <c r="G63" s="1" t="s">
        <v>90</v>
      </c>
      <c r="H63" s="1" t="s">
        <v>3</v>
      </c>
      <c r="I63" s="1">
        <v>0</v>
      </c>
      <c r="J63" s="1"/>
      <c r="K63" s="1">
        <v>-1</v>
      </c>
      <c r="L63" s="1"/>
      <c r="M63" s="1" t="s">
        <v>3</v>
      </c>
      <c r="N63" s="1"/>
      <c r="O63" s="1"/>
      <c r="P63" s="1"/>
      <c r="Q63" s="1"/>
      <c r="R63" s="1"/>
      <c r="S63" s="1">
        <v>0</v>
      </c>
      <c r="T63" s="1"/>
      <c r="U63" s="1" t="s">
        <v>3</v>
      </c>
      <c r="V63" s="1">
        <v>0</v>
      </c>
      <c r="W63" s="1"/>
      <c r="X63" s="1"/>
      <c r="Y63" s="1"/>
      <c r="Z63" s="1"/>
      <c r="AA63" s="1"/>
      <c r="AB63" s="1" t="s">
        <v>3</v>
      </c>
      <c r="AC63" s="1" t="s">
        <v>3</v>
      </c>
      <c r="AD63" s="1" t="s">
        <v>3</v>
      </c>
      <c r="AE63" s="1" t="s">
        <v>3</v>
      </c>
      <c r="AF63" s="1" t="s">
        <v>3</v>
      </c>
      <c r="AG63" s="1" t="s">
        <v>3</v>
      </c>
      <c r="AH63" s="1"/>
      <c r="AI63" s="1"/>
      <c r="AJ63" s="1"/>
      <c r="AK63" s="1"/>
      <c r="AL63" s="1"/>
      <c r="AM63" s="1"/>
      <c r="AN63" s="1"/>
      <c r="AO63" s="1"/>
      <c r="AP63" s="1" t="s">
        <v>3</v>
      </c>
      <c r="AQ63" s="1" t="s">
        <v>3</v>
      </c>
      <c r="AR63" s="1" t="s">
        <v>3</v>
      </c>
      <c r="AS63" s="1"/>
      <c r="AT63" s="1"/>
      <c r="AU63" s="1"/>
      <c r="AV63" s="1"/>
      <c r="AW63" s="1"/>
      <c r="AX63" s="1"/>
      <c r="AY63" s="1"/>
      <c r="AZ63" s="1" t="s">
        <v>3</v>
      </c>
      <c r="BA63" s="1"/>
      <c r="BB63" s="1" t="s">
        <v>3</v>
      </c>
      <c r="BC63" s="1" t="s">
        <v>3</v>
      </c>
      <c r="BD63" s="1" t="s">
        <v>3</v>
      </c>
      <c r="BE63" s="1" t="s">
        <v>3</v>
      </c>
      <c r="BF63" s="1" t="s">
        <v>3</v>
      </c>
      <c r="BG63" s="1" t="s">
        <v>3</v>
      </c>
      <c r="BH63" s="1" t="s">
        <v>3</v>
      </c>
      <c r="BI63" s="1" t="s">
        <v>3</v>
      </c>
      <c r="BJ63" s="1" t="s">
        <v>3</v>
      </c>
      <c r="BK63" s="1" t="s">
        <v>3</v>
      </c>
      <c r="BL63" s="1" t="s">
        <v>3</v>
      </c>
      <c r="BM63" s="1" t="s">
        <v>3</v>
      </c>
      <c r="BN63" s="1" t="s">
        <v>3</v>
      </c>
      <c r="BO63" s="1" t="s">
        <v>3</v>
      </c>
      <c r="BP63" s="1" t="s">
        <v>3</v>
      </c>
      <c r="BQ63" s="1"/>
      <c r="BR63" s="1"/>
      <c r="BS63" s="1"/>
      <c r="BT63" s="1"/>
      <c r="BU63" s="1"/>
      <c r="BV63" s="1"/>
      <c r="BW63" s="1"/>
      <c r="BX63" s="1">
        <v>0</v>
      </c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>
        <v>0</v>
      </c>
    </row>
    <row r="65" spans="1:245" x14ac:dyDescent="0.2">
      <c r="A65" s="2">
        <v>52</v>
      </c>
      <c r="B65" s="2">
        <f t="shared" ref="B65:G65" si="27">B73</f>
        <v>1</v>
      </c>
      <c r="C65" s="2">
        <f t="shared" si="27"/>
        <v>4</v>
      </c>
      <c r="D65" s="2">
        <f t="shared" si="27"/>
        <v>63</v>
      </c>
      <c r="E65" s="2">
        <f t="shared" si="27"/>
        <v>0</v>
      </c>
      <c r="F65" s="2" t="str">
        <f t="shared" si="27"/>
        <v>Новый раздел</v>
      </c>
      <c r="G65" s="2" t="str">
        <f t="shared" si="27"/>
        <v>Кровля (козырек)</v>
      </c>
      <c r="H65" s="2"/>
      <c r="I65" s="2"/>
      <c r="J65" s="2"/>
      <c r="K65" s="2"/>
      <c r="L65" s="2"/>
      <c r="M65" s="2"/>
      <c r="N65" s="2"/>
      <c r="O65" s="2">
        <f t="shared" ref="O65:AT65" si="28">O73</f>
        <v>73692.45</v>
      </c>
      <c r="P65" s="2">
        <f t="shared" si="28"/>
        <v>46234.83</v>
      </c>
      <c r="Q65" s="2">
        <f t="shared" si="28"/>
        <v>3735.75</v>
      </c>
      <c r="R65" s="2">
        <f t="shared" si="28"/>
        <v>1928.15</v>
      </c>
      <c r="S65" s="2">
        <f t="shared" si="28"/>
        <v>23721.87</v>
      </c>
      <c r="T65" s="2">
        <f t="shared" si="28"/>
        <v>0</v>
      </c>
      <c r="U65" s="2">
        <f t="shared" si="28"/>
        <v>47.286000000000001</v>
      </c>
      <c r="V65" s="2">
        <f t="shared" si="28"/>
        <v>0</v>
      </c>
      <c r="W65" s="2">
        <f t="shared" si="28"/>
        <v>0</v>
      </c>
      <c r="X65" s="2">
        <f t="shared" si="28"/>
        <v>16605.3</v>
      </c>
      <c r="Y65" s="2">
        <f t="shared" si="28"/>
        <v>2372.19</v>
      </c>
      <c r="Z65" s="2">
        <f t="shared" si="28"/>
        <v>0</v>
      </c>
      <c r="AA65" s="2">
        <f t="shared" si="28"/>
        <v>0</v>
      </c>
      <c r="AB65" s="2">
        <f t="shared" si="28"/>
        <v>73692.45</v>
      </c>
      <c r="AC65" s="2">
        <f t="shared" si="28"/>
        <v>46234.83</v>
      </c>
      <c r="AD65" s="2">
        <f t="shared" si="28"/>
        <v>3735.75</v>
      </c>
      <c r="AE65" s="2">
        <f t="shared" si="28"/>
        <v>1928.15</v>
      </c>
      <c r="AF65" s="2">
        <f t="shared" si="28"/>
        <v>23721.87</v>
      </c>
      <c r="AG65" s="2">
        <f t="shared" si="28"/>
        <v>0</v>
      </c>
      <c r="AH65" s="2">
        <f t="shared" si="28"/>
        <v>47.286000000000001</v>
      </c>
      <c r="AI65" s="2">
        <f t="shared" si="28"/>
        <v>0</v>
      </c>
      <c r="AJ65" s="2">
        <f t="shared" si="28"/>
        <v>0</v>
      </c>
      <c r="AK65" s="2">
        <f t="shared" si="28"/>
        <v>16605.3</v>
      </c>
      <c r="AL65" s="2">
        <f t="shared" si="28"/>
        <v>2372.19</v>
      </c>
      <c r="AM65" s="2">
        <f t="shared" si="28"/>
        <v>0</v>
      </c>
      <c r="AN65" s="2">
        <f t="shared" si="28"/>
        <v>0</v>
      </c>
      <c r="AO65" s="2">
        <f t="shared" si="28"/>
        <v>0</v>
      </c>
      <c r="AP65" s="2">
        <f t="shared" si="28"/>
        <v>0</v>
      </c>
      <c r="AQ65" s="2">
        <f t="shared" si="28"/>
        <v>0</v>
      </c>
      <c r="AR65" s="2">
        <f t="shared" si="28"/>
        <v>94752.34</v>
      </c>
      <c r="AS65" s="2">
        <f t="shared" si="28"/>
        <v>0</v>
      </c>
      <c r="AT65" s="2">
        <f t="shared" si="28"/>
        <v>0</v>
      </c>
      <c r="AU65" s="2">
        <f t="shared" ref="AU65:BZ65" si="29">AU73</f>
        <v>94752.34</v>
      </c>
      <c r="AV65" s="2">
        <f t="shared" si="29"/>
        <v>46234.83</v>
      </c>
      <c r="AW65" s="2">
        <f t="shared" si="29"/>
        <v>46234.83</v>
      </c>
      <c r="AX65" s="2">
        <f t="shared" si="29"/>
        <v>0</v>
      </c>
      <c r="AY65" s="2">
        <f t="shared" si="29"/>
        <v>46234.83</v>
      </c>
      <c r="AZ65" s="2">
        <f t="shared" si="29"/>
        <v>0</v>
      </c>
      <c r="BA65" s="2">
        <f t="shared" si="29"/>
        <v>0</v>
      </c>
      <c r="BB65" s="2">
        <f t="shared" si="29"/>
        <v>0</v>
      </c>
      <c r="BC65" s="2">
        <f t="shared" si="29"/>
        <v>0</v>
      </c>
      <c r="BD65" s="2">
        <f t="shared" si="29"/>
        <v>0</v>
      </c>
      <c r="BE65" s="2">
        <f t="shared" si="29"/>
        <v>0</v>
      </c>
      <c r="BF65" s="2">
        <f t="shared" si="29"/>
        <v>0</v>
      </c>
      <c r="BG65" s="2">
        <f t="shared" si="29"/>
        <v>0</v>
      </c>
      <c r="BH65" s="2">
        <f t="shared" si="29"/>
        <v>0</v>
      </c>
      <c r="BI65" s="2">
        <f t="shared" si="29"/>
        <v>0</v>
      </c>
      <c r="BJ65" s="2">
        <f t="shared" si="29"/>
        <v>0</v>
      </c>
      <c r="BK65" s="2">
        <f t="shared" si="29"/>
        <v>0</v>
      </c>
      <c r="BL65" s="2">
        <f t="shared" si="29"/>
        <v>0</v>
      </c>
      <c r="BM65" s="2">
        <f t="shared" si="29"/>
        <v>0</v>
      </c>
      <c r="BN65" s="2">
        <f t="shared" si="29"/>
        <v>0</v>
      </c>
      <c r="BO65" s="2">
        <f t="shared" si="29"/>
        <v>0</v>
      </c>
      <c r="BP65" s="2">
        <f t="shared" si="29"/>
        <v>0</v>
      </c>
      <c r="BQ65" s="2">
        <f t="shared" si="29"/>
        <v>0</v>
      </c>
      <c r="BR65" s="2">
        <f t="shared" si="29"/>
        <v>0</v>
      </c>
      <c r="BS65" s="2">
        <f t="shared" si="29"/>
        <v>0</v>
      </c>
      <c r="BT65" s="2">
        <f t="shared" si="29"/>
        <v>0</v>
      </c>
      <c r="BU65" s="2">
        <f t="shared" si="29"/>
        <v>0</v>
      </c>
      <c r="BV65" s="2">
        <f t="shared" si="29"/>
        <v>0</v>
      </c>
      <c r="BW65" s="2">
        <f t="shared" si="29"/>
        <v>0</v>
      </c>
      <c r="BX65" s="2">
        <f t="shared" si="29"/>
        <v>0</v>
      </c>
      <c r="BY65" s="2">
        <f t="shared" si="29"/>
        <v>0</v>
      </c>
      <c r="BZ65" s="2">
        <f t="shared" si="29"/>
        <v>0</v>
      </c>
      <c r="CA65" s="2">
        <f t="shared" ref="CA65:DF65" si="30">CA73</f>
        <v>94752.34</v>
      </c>
      <c r="CB65" s="2">
        <f t="shared" si="30"/>
        <v>0</v>
      </c>
      <c r="CC65" s="2">
        <f t="shared" si="30"/>
        <v>0</v>
      </c>
      <c r="CD65" s="2">
        <f t="shared" si="30"/>
        <v>94752.34</v>
      </c>
      <c r="CE65" s="2">
        <f t="shared" si="30"/>
        <v>46234.83</v>
      </c>
      <c r="CF65" s="2">
        <f t="shared" si="30"/>
        <v>46234.83</v>
      </c>
      <c r="CG65" s="2">
        <f t="shared" si="30"/>
        <v>0</v>
      </c>
      <c r="CH65" s="2">
        <f t="shared" si="30"/>
        <v>46234.83</v>
      </c>
      <c r="CI65" s="2">
        <f t="shared" si="30"/>
        <v>0</v>
      </c>
      <c r="CJ65" s="2">
        <f t="shared" si="30"/>
        <v>0</v>
      </c>
      <c r="CK65" s="2">
        <f t="shared" si="30"/>
        <v>0</v>
      </c>
      <c r="CL65" s="2">
        <f t="shared" si="30"/>
        <v>0</v>
      </c>
      <c r="CM65" s="2">
        <f t="shared" si="30"/>
        <v>0</v>
      </c>
      <c r="CN65" s="2">
        <f t="shared" si="30"/>
        <v>0</v>
      </c>
      <c r="CO65" s="2">
        <f t="shared" si="30"/>
        <v>0</v>
      </c>
      <c r="CP65" s="2">
        <f t="shared" si="30"/>
        <v>0</v>
      </c>
      <c r="CQ65" s="2">
        <f t="shared" si="30"/>
        <v>0</v>
      </c>
      <c r="CR65" s="2">
        <f t="shared" si="30"/>
        <v>0</v>
      </c>
      <c r="CS65" s="2">
        <f t="shared" si="30"/>
        <v>0</v>
      </c>
      <c r="CT65" s="2">
        <f t="shared" si="30"/>
        <v>0</v>
      </c>
      <c r="CU65" s="2">
        <f t="shared" si="30"/>
        <v>0</v>
      </c>
      <c r="CV65" s="2">
        <f t="shared" si="30"/>
        <v>0</v>
      </c>
      <c r="CW65" s="2">
        <f t="shared" si="30"/>
        <v>0</v>
      </c>
      <c r="CX65" s="2">
        <f t="shared" si="30"/>
        <v>0</v>
      </c>
      <c r="CY65" s="2">
        <f t="shared" si="30"/>
        <v>0</v>
      </c>
      <c r="CZ65" s="2">
        <f t="shared" si="30"/>
        <v>0</v>
      </c>
      <c r="DA65" s="2">
        <f t="shared" si="30"/>
        <v>0</v>
      </c>
      <c r="DB65" s="2">
        <f t="shared" si="30"/>
        <v>0</v>
      </c>
      <c r="DC65" s="2">
        <f t="shared" si="30"/>
        <v>0</v>
      </c>
      <c r="DD65" s="2">
        <f t="shared" si="30"/>
        <v>0</v>
      </c>
      <c r="DE65" s="2">
        <f t="shared" si="30"/>
        <v>0</v>
      </c>
      <c r="DF65" s="2">
        <f t="shared" si="30"/>
        <v>0</v>
      </c>
      <c r="DG65" s="3">
        <f t="shared" ref="DG65:EL65" si="31">DG73</f>
        <v>0</v>
      </c>
      <c r="DH65" s="3">
        <f t="shared" si="31"/>
        <v>0</v>
      </c>
      <c r="DI65" s="3">
        <f t="shared" si="31"/>
        <v>0</v>
      </c>
      <c r="DJ65" s="3">
        <f t="shared" si="31"/>
        <v>0</v>
      </c>
      <c r="DK65" s="3">
        <f t="shared" si="31"/>
        <v>0</v>
      </c>
      <c r="DL65" s="3">
        <f t="shared" si="31"/>
        <v>0</v>
      </c>
      <c r="DM65" s="3">
        <f t="shared" si="31"/>
        <v>0</v>
      </c>
      <c r="DN65" s="3">
        <f t="shared" si="31"/>
        <v>0</v>
      </c>
      <c r="DO65" s="3">
        <f t="shared" si="31"/>
        <v>0</v>
      </c>
      <c r="DP65" s="3">
        <f t="shared" si="31"/>
        <v>0</v>
      </c>
      <c r="DQ65" s="3">
        <f t="shared" si="31"/>
        <v>0</v>
      </c>
      <c r="DR65" s="3">
        <f t="shared" si="31"/>
        <v>0</v>
      </c>
      <c r="DS65" s="3">
        <f t="shared" si="31"/>
        <v>0</v>
      </c>
      <c r="DT65" s="3">
        <f t="shared" si="31"/>
        <v>0</v>
      </c>
      <c r="DU65" s="3">
        <f t="shared" si="31"/>
        <v>0</v>
      </c>
      <c r="DV65" s="3">
        <f t="shared" si="31"/>
        <v>0</v>
      </c>
      <c r="DW65" s="3">
        <f t="shared" si="31"/>
        <v>0</v>
      </c>
      <c r="DX65" s="3">
        <f t="shared" si="31"/>
        <v>0</v>
      </c>
      <c r="DY65" s="3">
        <f t="shared" si="31"/>
        <v>0</v>
      </c>
      <c r="DZ65" s="3">
        <f t="shared" si="31"/>
        <v>0</v>
      </c>
      <c r="EA65" s="3">
        <f t="shared" si="31"/>
        <v>0</v>
      </c>
      <c r="EB65" s="3">
        <f t="shared" si="31"/>
        <v>0</v>
      </c>
      <c r="EC65" s="3">
        <f t="shared" si="31"/>
        <v>0</v>
      </c>
      <c r="ED65" s="3">
        <f t="shared" si="31"/>
        <v>0</v>
      </c>
      <c r="EE65" s="3">
        <f t="shared" si="31"/>
        <v>0</v>
      </c>
      <c r="EF65" s="3">
        <f t="shared" si="31"/>
        <v>0</v>
      </c>
      <c r="EG65" s="3">
        <f t="shared" si="31"/>
        <v>0</v>
      </c>
      <c r="EH65" s="3">
        <f t="shared" si="31"/>
        <v>0</v>
      </c>
      <c r="EI65" s="3">
        <f t="shared" si="31"/>
        <v>0</v>
      </c>
      <c r="EJ65" s="3">
        <f t="shared" si="31"/>
        <v>0</v>
      </c>
      <c r="EK65" s="3">
        <f t="shared" si="31"/>
        <v>0</v>
      </c>
      <c r="EL65" s="3">
        <f t="shared" si="31"/>
        <v>0</v>
      </c>
      <c r="EM65" s="3">
        <f t="shared" ref="EM65:FR65" si="32">EM73</f>
        <v>0</v>
      </c>
      <c r="EN65" s="3">
        <f t="shared" si="32"/>
        <v>0</v>
      </c>
      <c r="EO65" s="3">
        <f t="shared" si="32"/>
        <v>0</v>
      </c>
      <c r="EP65" s="3">
        <f t="shared" si="32"/>
        <v>0</v>
      </c>
      <c r="EQ65" s="3">
        <f t="shared" si="32"/>
        <v>0</v>
      </c>
      <c r="ER65" s="3">
        <f t="shared" si="32"/>
        <v>0</v>
      </c>
      <c r="ES65" s="3">
        <f t="shared" si="32"/>
        <v>0</v>
      </c>
      <c r="ET65" s="3">
        <f t="shared" si="32"/>
        <v>0</v>
      </c>
      <c r="EU65" s="3">
        <f t="shared" si="32"/>
        <v>0</v>
      </c>
      <c r="EV65" s="3">
        <f t="shared" si="32"/>
        <v>0</v>
      </c>
      <c r="EW65" s="3">
        <f t="shared" si="32"/>
        <v>0</v>
      </c>
      <c r="EX65" s="3">
        <f t="shared" si="32"/>
        <v>0</v>
      </c>
      <c r="EY65" s="3">
        <f t="shared" si="32"/>
        <v>0</v>
      </c>
      <c r="EZ65" s="3">
        <f t="shared" si="32"/>
        <v>0</v>
      </c>
      <c r="FA65" s="3">
        <f t="shared" si="32"/>
        <v>0</v>
      </c>
      <c r="FB65" s="3">
        <f t="shared" si="32"/>
        <v>0</v>
      </c>
      <c r="FC65" s="3">
        <f t="shared" si="32"/>
        <v>0</v>
      </c>
      <c r="FD65" s="3">
        <f t="shared" si="32"/>
        <v>0</v>
      </c>
      <c r="FE65" s="3">
        <f t="shared" si="32"/>
        <v>0</v>
      </c>
      <c r="FF65" s="3">
        <f t="shared" si="32"/>
        <v>0</v>
      </c>
      <c r="FG65" s="3">
        <f t="shared" si="32"/>
        <v>0</v>
      </c>
      <c r="FH65" s="3">
        <f t="shared" si="32"/>
        <v>0</v>
      </c>
      <c r="FI65" s="3">
        <f t="shared" si="32"/>
        <v>0</v>
      </c>
      <c r="FJ65" s="3">
        <f t="shared" si="32"/>
        <v>0</v>
      </c>
      <c r="FK65" s="3">
        <f t="shared" si="32"/>
        <v>0</v>
      </c>
      <c r="FL65" s="3">
        <f t="shared" si="32"/>
        <v>0</v>
      </c>
      <c r="FM65" s="3">
        <f t="shared" si="32"/>
        <v>0</v>
      </c>
      <c r="FN65" s="3">
        <f t="shared" si="32"/>
        <v>0</v>
      </c>
      <c r="FO65" s="3">
        <f t="shared" si="32"/>
        <v>0</v>
      </c>
      <c r="FP65" s="3">
        <f t="shared" si="32"/>
        <v>0</v>
      </c>
      <c r="FQ65" s="3">
        <f t="shared" si="32"/>
        <v>0</v>
      </c>
      <c r="FR65" s="3">
        <f t="shared" si="32"/>
        <v>0</v>
      </c>
      <c r="FS65" s="3">
        <f t="shared" ref="FS65:GX65" si="33">FS73</f>
        <v>0</v>
      </c>
      <c r="FT65" s="3">
        <f t="shared" si="33"/>
        <v>0</v>
      </c>
      <c r="FU65" s="3">
        <f t="shared" si="33"/>
        <v>0</v>
      </c>
      <c r="FV65" s="3">
        <f t="shared" si="33"/>
        <v>0</v>
      </c>
      <c r="FW65" s="3">
        <f t="shared" si="33"/>
        <v>0</v>
      </c>
      <c r="FX65" s="3">
        <f t="shared" si="33"/>
        <v>0</v>
      </c>
      <c r="FY65" s="3">
        <f t="shared" si="33"/>
        <v>0</v>
      </c>
      <c r="FZ65" s="3">
        <f t="shared" si="33"/>
        <v>0</v>
      </c>
      <c r="GA65" s="3">
        <f t="shared" si="33"/>
        <v>0</v>
      </c>
      <c r="GB65" s="3">
        <f t="shared" si="33"/>
        <v>0</v>
      </c>
      <c r="GC65" s="3">
        <f t="shared" si="33"/>
        <v>0</v>
      </c>
      <c r="GD65" s="3">
        <f t="shared" si="33"/>
        <v>0</v>
      </c>
      <c r="GE65" s="3">
        <f t="shared" si="33"/>
        <v>0</v>
      </c>
      <c r="GF65" s="3">
        <f t="shared" si="33"/>
        <v>0</v>
      </c>
      <c r="GG65" s="3">
        <f t="shared" si="33"/>
        <v>0</v>
      </c>
      <c r="GH65" s="3">
        <f t="shared" si="33"/>
        <v>0</v>
      </c>
      <c r="GI65" s="3">
        <f t="shared" si="33"/>
        <v>0</v>
      </c>
      <c r="GJ65" s="3">
        <f t="shared" si="33"/>
        <v>0</v>
      </c>
      <c r="GK65" s="3">
        <f t="shared" si="33"/>
        <v>0</v>
      </c>
      <c r="GL65" s="3">
        <f t="shared" si="33"/>
        <v>0</v>
      </c>
      <c r="GM65" s="3">
        <f t="shared" si="33"/>
        <v>0</v>
      </c>
      <c r="GN65" s="3">
        <f t="shared" si="33"/>
        <v>0</v>
      </c>
      <c r="GO65" s="3">
        <f t="shared" si="33"/>
        <v>0</v>
      </c>
      <c r="GP65" s="3">
        <f t="shared" si="33"/>
        <v>0</v>
      </c>
      <c r="GQ65" s="3">
        <f t="shared" si="33"/>
        <v>0</v>
      </c>
      <c r="GR65" s="3">
        <f t="shared" si="33"/>
        <v>0</v>
      </c>
      <c r="GS65" s="3">
        <f t="shared" si="33"/>
        <v>0</v>
      </c>
      <c r="GT65" s="3">
        <f t="shared" si="33"/>
        <v>0</v>
      </c>
      <c r="GU65" s="3">
        <f t="shared" si="33"/>
        <v>0</v>
      </c>
      <c r="GV65" s="3">
        <f t="shared" si="33"/>
        <v>0</v>
      </c>
      <c r="GW65" s="3">
        <f t="shared" si="33"/>
        <v>0</v>
      </c>
      <c r="GX65" s="3">
        <f t="shared" si="33"/>
        <v>0</v>
      </c>
    </row>
    <row r="67" spans="1:245" x14ac:dyDescent="0.2">
      <c r="A67">
        <v>17</v>
      </c>
      <c r="B67">
        <v>1</v>
      </c>
      <c r="C67">
        <f>ROW(SmtRes!A33)</f>
        <v>33</v>
      </c>
      <c r="D67">
        <f>ROW(EtalonRes!A33)</f>
        <v>33</v>
      </c>
      <c r="E67" t="s">
        <v>91</v>
      </c>
      <c r="F67" t="s">
        <v>92</v>
      </c>
      <c r="G67" t="s">
        <v>93</v>
      </c>
      <c r="H67" t="s">
        <v>26</v>
      </c>
      <c r="I67">
        <f>ROUND(50/100,9)</f>
        <v>0.5</v>
      </c>
      <c r="J67">
        <v>0</v>
      </c>
      <c r="K67">
        <f>ROUND(50/100,9)</f>
        <v>0.5</v>
      </c>
      <c r="O67">
        <f>ROUND(CP67,2)</f>
        <v>3709.73</v>
      </c>
      <c r="P67">
        <f>ROUND(CQ67*I67,2)</f>
        <v>0</v>
      </c>
      <c r="Q67">
        <f>ROUND(CR67*I67,2)</f>
        <v>0</v>
      </c>
      <c r="R67">
        <f>ROUND(CS67*I67,2)</f>
        <v>0</v>
      </c>
      <c r="S67">
        <f>ROUND(CT67*I67,2)</f>
        <v>3709.73</v>
      </c>
      <c r="T67">
        <f>ROUND(CU67*I67,2)</f>
        <v>0</v>
      </c>
      <c r="U67">
        <f>CV67*I67</f>
        <v>8.7050000000000001</v>
      </c>
      <c r="V67">
        <f>CW67*I67</f>
        <v>0</v>
      </c>
      <c r="W67">
        <f>ROUND(CX67*I67,2)</f>
        <v>0</v>
      </c>
      <c r="X67">
        <f t="shared" ref="X67:Y71" si="34">ROUND(CY67,2)</f>
        <v>2596.81</v>
      </c>
      <c r="Y67">
        <f t="shared" si="34"/>
        <v>370.97</v>
      </c>
      <c r="AA67">
        <v>75703152</v>
      </c>
      <c r="AB67">
        <f>ROUND((AC67+AD67+AF67),6)</f>
        <v>7419.45</v>
      </c>
      <c r="AC67">
        <f>ROUND((ES67),6)</f>
        <v>0</v>
      </c>
      <c r="AD67">
        <f>ROUND((((ET67)-(EU67))+AE67),6)</f>
        <v>0</v>
      </c>
      <c r="AE67">
        <f t="shared" ref="AE67:AF69" si="35">ROUND((EU67),6)</f>
        <v>0</v>
      </c>
      <c r="AF67">
        <f t="shared" si="35"/>
        <v>7419.45</v>
      </c>
      <c r="AG67">
        <f>ROUND((AP67),6)</f>
        <v>0</v>
      </c>
      <c r="AH67">
        <f t="shared" ref="AH67:AI69" si="36">(EW67)</f>
        <v>17.41</v>
      </c>
      <c r="AI67">
        <f t="shared" si="36"/>
        <v>0</v>
      </c>
      <c r="AJ67">
        <f>(AS67)</f>
        <v>0</v>
      </c>
      <c r="AK67">
        <v>7419.45</v>
      </c>
      <c r="AL67">
        <v>0</v>
      </c>
      <c r="AM67">
        <v>0</v>
      </c>
      <c r="AN67">
        <v>0</v>
      </c>
      <c r="AO67">
        <v>7419.45</v>
      </c>
      <c r="AP67">
        <v>0</v>
      </c>
      <c r="AQ67">
        <v>17.41</v>
      </c>
      <c r="AR67">
        <v>0</v>
      </c>
      <c r="AS67">
        <v>0</v>
      </c>
      <c r="AT67">
        <v>70</v>
      </c>
      <c r="AU67">
        <v>10</v>
      </c>
      <c r="AV67">
        <v>1</v>
      </c>
      <c r="AW67">
        <v>1</v>
      </c>
      <c r="AZ67">
        <v>1</v>
      </c>
      <c r="BA67">
        <v>1</v>
      </c>
      <c r="BB67">
        <v>1</v>
      </c>
      <c r="BC67">
        <v>1</v>
      </c>
      <c r="BD67" t="s">
        <v>3</v>
      </c>
      <c r="BE67" t="s">
        <v>3</v>
      </c>
      <c r="BF67" t="s">
        <v>3</v>
      </c>
      <c r="BG67" t="s">
        <v>3</v>
      </c>
      <c r="BH67">
        <v>0</v>
      </c>
      <c r="BI67">
        <v>4</v>
      </c>
      <c r="BJ67" t="s">
        <v>94</v>
      </c>
      <c r="BM67">
        <v>0</v>
      </c>
      <c r="BN67">
        <v>75371441</v>
      </c>
      <c r="BO67" t="s">
        <v>3</v>
      </c>
      <c r="BP67">
        <v>0</v>
      </c>
      <c r="BQ67">
        <v>1</v>
      </c>
      <c r="BR67">
        <v>0</v>
      </c>
      <c r="BS67">
        <v>1</v>
      </c>
      <c r="BT67">
        <v>1</v>
      </c>
      <c r="BU67">
        <v>1</v>
      </c>
      <c r="BV67">
        <v>1</v>
      </c>
      <c r="BW67">
        <v>1</v>
      </c>
      <c r="BX67">
        <v>1</v>
      </c>
      <c r="BY67" t="s">
        <v>3</v>
      </c>
      <c r="BZ67">
        <v>70</v>
      </c>
      <c r="CA67">
        <v>10</v>
      </c>
      <c r="CB67" t="s">
        <v>3</v>
      </c>
      <c r="CE67">
        <v>0</v>
      </c>
      <c r="CF67">
        <v>0</v>
      </c>
      <c r="CG67">
        <v>0</v>
      </c>
      <c r="CM67">
        <v>0</v>
      </c>
      <c r="CN67" t="s">
        <v>3</v>
      </c>
      <c r="CO67">
        <v>0</v>
      </c>
      <c r="CP67">
        <f>(P67+Q67+S67)</f>
        <v>3709.73</v>
      </c>
      <c r="CQ67">
        <f>(AC67*BC67*AW67)</f>
        <v>0</v>
      </c>
      <c r="CR67">
        <f>((((ET67)*BB67-(EU67)*BS67)+AE67*BS67)*AV67)</f>
        <v>0</v>
      </c>
      <c r="CS67">
        <f>(AE67*BS67*AV67)</f>
        <v>0</v>
      </c>
      <c r="CT67">
        <f>(AF67*BA67*AV67)</f>
        <v>7419.45</v>
      </c>
      <c r="CU67">
        <f>AG67</f>
        <v>0</v>
      </c>
      <c r="CV67">
        <f>(AH67*AV67)</f>
        <v>17.41</v>
      </c>
      <c r="CW67">
        <f t="shared" ref="CW67:CX71" si="37">AI67</f>
        <v>0</v>
      </c>
      <c r="CX67">
        <f t="shared" si="37"/>
        <v>0</v>
      </c>
      <c r="CY67">
        <f>((S67*BZ67)/100)</f>
        <v>2596.8110000000001</v>
      </c>
      <c r="CZ67">
        <f>((S67*CA67)/100)</f>
        <v>370.97300000000001</v>
      </c>
      <c r="DC67" t="s">
        <v>3</v>
      </c>
      <c r="DD67" t="s">
        <v>3</v>
      </c>
      <c r="DE67" t="s">
        <v>3</v>
      </c>
      <c r="DF67" t="s">
        <v>3</v>
      </c>
      <c r="DG67" t="s">
        <v>3</v>
      </c>
      <c r="DH67" t="s">
        <v>3</v>
      </c>
      <c r="DI67" t="s">
        <v>3</v>
      </c>
      <c r="DJ67" t="s">
        <v>3</v>
      </c>
      <c r="DK67" t="s">
        <v>3</v>
      </c>
      <c r="DL67" t="s">
        <v>3</v>
      </c>
      <c r="DM67" t="s">
        <v>3</v>
      </c>
      <c r="DN67">
        <v>0</v>
      </c>
      <c r="DO67">
        <v>0</v>
      </c>
      <c r="DP67">
        <v>1</v>
      </c>
      <c r="DQ67">
        <v>1</v>
      </c>
      <c r="DU67">
        <v>1005</v>
      </c>
      <c r="DV67" t="s">
        <v>26</v>
      </c>
      <c r="DW67" t="s">
        <v>26</v>
      </c>
      <c r="DX67">
        <v>100</v>
      </c>
      <c r="DZ67" t="s">
        <v>3</v>
      </c>
      <c r="EA67" t="s">
        <v>3</v>
      </c>
      <c r="EB67" t="s">
        <v>3</v>
      </c>
      <c r="EC67" t="s">
        <v>3</v>
      </c>
      <c r="EE67">
        <v>75371444</v>
      </c>
      <c r="EF67">
        <v>1</v>
      </c>
      <c r="EG67" t="s">
        <v>20</v>
      </c>
      <c r="EH67">
        <v>0</v>
      </c>
      <c r="EI67" t="s">
        <v>3</v>
      </c>
      <c r="EJ67">
        <v>4</v>
      </c>
      <c r="EK67">
        <v>0</v>
      </c>
      <c r="EL67" t="s">
        <v>21</v>
      </c>
      <c r="EM67" t="s">
        <v>22</v>
      </c>
      <c r="EO67" t="s">
        <v>3</v>
      </c>
      <c r="EQ67">
        <v>0</v>
      </c>
      <c r="ER67">
        <v>7419.45</v>
      </c>
      <c r="ES67">
        <v>0</v>
      </c>
      <c r="ET67">
        <v>0</v>
      </c>
      <c r="EU67">
        <v>0</v>
      </c>
      <c r="EV67">
        <v>7419.45</v>
      </c>
      <c r="EW67">
        <v>17.41</v>
      </c>
      <c r="EX67">
        <v>0</v>
      </c>
      <c r="EY67">
        <v>0</v>
      </c>
      <c r="FQ67">
        <v>0</v>
      </c>
      <c r="FR67">
        <f>ROUND(IF(BI67=3,GM67,0),2)</f>
        <v>0</v>
      </c>
      <c r="FS67">
        <v>0</v>
      </c>
      <c r="FX67">
        <v>70</v>
      </c>
      <c r="FY67">
        <v>10</v>
      </c>
      <c r="GA67" t="s">
        <v>3</v>
      </c>
      <c r="GD67">
        <v>0</v>
      </c>
      <c r="GF67">
        <v>-339560270</v>
      </c>
      <c r="GG67">
        <v>2</v>
      </c>
      <c r="GH67">
        <v>1</v>
      </c>
      <c r="GI67">
        <v>-2</v>
      </c>
      <c r="GJ67">
        <v>0</v>
      </c>
      <c r="GK67">
        <f>ROUND(R67*(R12)/100,2)</f>
        <v>0</v>
      </c>
      <c r="GL67">
        <f>ROUND(IF(AND(BH67=3,BI67=3,FS67&lt;&gt;0),P67,0),2)</f>
        <v>0</v>
      </c>
      <c r="GM67">
        <f>ROUND(O67+X67+Y67+GK67,2)+GX67</f>
        <v>6677.51</v>
      </c>
      <c r="GN67">
        <f>IF(OR(BI67=0,BI67=1),GM67-GX67,0)</f>
        <v>0</v>
      </c>
      <c r="GO67">
        <f>IF(BI67=2,GM67-GX67,0)</f>
        <v>0</v>
      </c>
      <c r="GP67">
        <f>IF(BI67=4,GM67-GX67,0)</f>
        <v>6677.51</v>
      </c>
      <c r="GR67">
        <v>0</v>
      </c>
      <c r="GS67">
        <v>0</v>
      </c>
      <c r="GT67">
        <v>0</v>
      </c>
      <c r="GU67" t="s">
        <v>3</v>
      </c>
      <c r="GV67">
        <f>ROUND((GT67),6)</f>
        <v>0</v>
      </c>
      <c r="GW67">
        <v>1</v>
      </c>
      <c r="GX67">
        <f>ROUND(HC67*I67,2)</f>
        <v>0</v>
      </c>
      <c r="HA67">
        <v>0</v>
      </c>
      <c r="HB67">
        <v>0</v>
      </c>
      <c r="HC67">
        <f>GV67*GW67</f>
        <v>0</v>
      </c>
      <c r="HE67" t="s">
        <v>3</v>
      </c>
      <c r="HF67" t="s">
        <v>3</v>
      </c>
      <c r="HM67" t="s">
        <v>3</v>
      </c>
      <c r="HN67" t="s">
        <v>3</v>
      </c>
      <c r="HO67" t="s">
        <v>3</v>
      </c>
      <c r="HP67" t="s">
        <v>3</v>
      </c>
      <c r="HQ67" t="s">
        <v>3</v>
      </c>
      <c r="IK67">
        <v>0</v>
      </c>
    </row>
    <row r="68" spans="1:245" x14ac:dyDescent="0.2">
      <c r="A68">
        <v>17</v>
      </c>
      <c r="B68">
        <v>1</v>
      </c>
      <c r="C68">
        <f>ROW(SmtRes!A37)</f>
        <v>37</v>
      </c>
      <c r="D68">
        <f>ROW(EtalonRes!A37)</f>
        <v>37</v>
      </c>
      <c r="E68" t="s">
        <v>95</v>
      </c>
      <c r="F68" t="s">
        <v>96</v>
      </c>
      <c r="G68" t="s">
        <v>97</v>
      </c>
      <c r="H68" t="s">
        <v>26</v>
      </c>
      <c r="I68">
        <f>ROUND(15/100,9)</f>
        <v>0.15</v>
      </c>
      <c r="J68">
        <v>0</v>
      </c>
      <c r="K68">
        <f>ROUND(15/100,9)</f>
        <v>0.15</v>
      </c>
      <c r="O68">
        <f>ROUND(CP68,2)</f>
        <v>1635.03</v>
      </c>
      <c r="P68">
        <f>ROUND(CQ68*I68,2)</f>
        <v>0</v>
      </c>
      <c r="Q68">
        <f>ROUND(CR68*I68,2)</f>
        <v>28.44</v>
      </c>
      <c r="R68">
        <f>ROUND(CS68*I68,2)</f>
        <v>0.14000000000000001</v>
      </c>
      <c r="S68">
        <f>ROUND(CT68*I68,2)</f>
        <v>1606.59</v>
      </c>
      <c r="T68">
        <f>ROUND(CU68*I68,2)</f>
        <v>0</v>
      </c>
      <c r="U68">
        <f>CV68*I68</f>
        <v>3.69</v>
      </c>
      <c r="V68">
        <f>CW68*I68</f>
        <v>0</v>
      </c>
      <c r="W68">
        <f>ROUND(CX68*I68,2)</f>
        <v>0</v>
      </c>
      <c r="X68">
        <f t="shared" si="34"/>
        <v>1124.6099999999999</v>
      </c>
      <c r="Y68">
        <f t="shared" si="34"/>
        <v>160.66</v>
      </c>
      <c r="AA68">
        <v>75703152</v>
      </c>
      <c r="AB68">
        <f>ROUND((AC68+AD68+AF68),6)</f>
        <v>10900.18</v>
      </c>
      <c r="AC68">
        <f>ROUND((ES68),6)</f>
        <v>0</v>
      </c>
      <c r="AD68">
        <f>ROUND((((ET68)-(EU68))+AE68),6)</f>
        <v>189.59</v>
      </c>
      <c r="AE68">
        <f t="shared" si="35"/>
        <v>0.94</v>
      </c>
      <c r="AF68">
        <f t="shared" si="35"/>
        <v>10710.59</v>
      </c>
      <c r="AG68">
        <f>ROUND((AP68),6)</f>
        <v>0</v>
      </c>
      <c r="AH68">
        <f t="shared" si="36"/>
        <v>24.6</v>
      </c>
      <c r="AI68">
        <f t="shared" si="36"/>
        <v>0</v>
      </c>
      <c r="AJ68">
        <f>(AS68)</f>
        <v>0</v>
      </c>
      <c r="AK68">
        <v>10900.18</v>
      </c>
      <c r="AL68">
        <v>0</v>
      </c>
      <c r="AM68">
        <v>189.59</v>
      </c>
      <c r="AN68">
        <v>0.94</v>
      </c>
      <c r="AO68">
        <v>10710.59</v>
      </c>
      <c r="AP68">
        <v>0</v>
      </c>
      <c r="AQ68">
        <v>24.6</v>
      </c>
      <c r="AR68">
        <v>0</v>
      </c>
      <c r="AS68">
        <v>0</v>
      </c>
      <c r="AT68">
        <v>70</v>
      </c>
      <c r="AU68">
        <v>10</v>
      </c>
      <c r="AV68">
        <v>1</v>
      </c>
      <c r="AW68">
        <v>1</v>
      </c>
      <c r="AZ68">
        <v>1</v>
      </c>
      <c r="BA68">
        <v>1</v>
      </c>
      <c r="BB68">
        <v>1</v>
      </c>
      <c r="BC68">
        <v>1</v>
      </c>
      <c r="BD68" t="s">
        <v>3</v>
      </c>
      <c r="BE68" t="s">
        <v>3</v>
      </c>
      <c r="BF68" t="s">
        <v>3</v>
      </c>
      <c r="BG68" t="s">
        <v>3</v>
      </c>
      <c r="BH68">
        <v>0</v>
      </c>
      <c r="BI68">
        <v>4</v>
      </c>
      <c r="BJ68" t="s">
        <v>98</v>
      </c>
      <c r="BM68">
        <v>0</v>
      </c>
      <c r="BN68">
        <v>75371441</v>
      </c>
      <c r="BO68" t="s">
        <v>3</v>
      </c>
      <c r="BP68">
        <v>0</v>
      </c>
      <c r="BQ68">
        <v>1</v>
      </c>
      <c r="BR68">
        <v>0</v>
      </c>
      <c r="BS68">
        <v>1</v>
      </c>
      <c r="BT68">
        <v>1</v>
      </c>
      <c r="BU68">
        <v>1</v>
      </c>
      <c r="BV68">
        <v>1</v>
      </c>
      <c r="BW68">
        <v>1</v>
      </c>
      <c r="BX68">
        <v>1</v>
      </c>
      <c r="BY68" t="s">
        <v>3</v>
      </c>
      <c r="BZ68">
        <v>70</v>
      </c>
      <c r="CA68">
        <v>10</v>
      </c>
      <c r="CB68" t="s">
        <v>3</v>
      </c>
      <c r="CE68">
        <v>0</v>
      </c>
      <c r="CF68">
        <v>0</v>
      </c>
      <c r="CG68">
        <v>0</v>
      </c>
      <c r="CM68">
        <v>0</v>
      </c>
      <c r="CN68" t="s">
        <v>3</v>
      </c>
      <c r="CO68">
        <v>0</v>
      </c>
      <c r="CP68">
        <f>(P68+Q68+S68)</f>
        <v>1635.03</v>
      </c>
      <c r="CQ68">
        <f>(AC68*BC68*AW68)</f>
        <v>0</v>
      </c>
      <c r="CR68">
        <f>((((ET68)*BB68-(EU68)*BS68)+AE68*BS68)*AV68)</f>
        <v>189.59</v>
      </c>
      <c r="CS68">
        <f>(AE68*BS68*AV68)</f>
        <v>0.94</v>
      </c>
      <c r="CT68">
        <f>(AF68*BA68*AV68)</f>
        <v>10710.59</v>
      </c>
      <c r="CU68">
        <f>AG68</f>
        <v>0</v>
      </c>
      <c r="CV68">
        <f>(AH68*AV68)</f>
        <v>24.6</v>
      </c>
      <c r="CW68">
        <f t="shared" si="37"/>
        <v>0</v>
      </c>
      <c r="CX68">
        <f t="shared" si="37"/>
        <v>0</v>
      </c>
      <c r="CY68">
        <f>((S68*BZ68)/100)</f>
        <v>1124.6129999999998</v>
      </c>
      <c r="CZ68">
        <f>((S68*CA68)/100)</f>
        <v>160.65899999999999</v>
      </c>
      <c r="DC68" t="s">
        <v>3</v>
      </c>
      <c r="DD68" t="s">
        <v>3</v>
      </c>
      <c r="DE68" t="s">
        <v>3</v>
      </c>
      <c r="DF68" t="s">
        <v>3</v>
      </c>
      <c r="DG68" t="s">
        <v>3</v>
      </c>
      <c r="DH68" t="s">
        <v>3</v>
      </c>
      <c r="DI68" t="s">
        <v>3</v>
      </c>
      <c r="DJ68" t="s">
        <v>3</v>
      </c>
      <c r="DK68" t="s">
        <v>3</v>
      </c>
      <c r="DL68" t="s">
        <v>3</v>
      </c>
      <c r="DM68" t="s">
        <v>3</v>
      </c>
      <c r="DN68">
        <v>0</v>
      </c>
      <c r="DO68">
        <v>0</v>
      </c>
      <c r="DP68">
        <v>1</v>
      </c>
      <c r="DQ68">
        <v>1</v>
      </c>
      <c r="DU68">
        <v>1005</v>
      </c>
      <c r="DV68" t="s">
        <v>26</v>
      </c>
      <c r="DW68" t="s">
        <v>26</v>
      </c>
      <c r="DX68">
        <v>100</v>
      </c>
      <c r="DZ68" t="s">
        <v>3</v>
      </c>
      <c r="EA68" t="s">
        <v>3</v>
      </c>
      <c r="EB68" t="s">
        <v>3</v>
      </c>
      <c r="EC68" t="s">
        <v>3</v>
      </c>
      <c r="EE68">
        <v>75371444</v>
      </c>
      <c r="EF68">
        <v>1</v>
      </c>
      <c r="EG68" t="s">
        <v>20</v>
      </c>
      <c r="EH68">
        <v>0</v>
      </c>
      <c r="EI68" t="s">
        <v>3</v>
      </c>
      <c r="EJ68">
        <v>4</v>
      </c>
      <c r="EK68">
        <v>0</v>
      </c>
      <c r="EL68" t="s">
        <v>21</v>
      </c>
      <c r="EM68" t="s">
        <v>22</v>
      </c>
      <c r="EO68" t="s">
        <v>3</v>
      </c>
      <c r="EQ68">
        <v>0</v>
      </c>
      <c r="ER68">
        <v>10900.18</v>
      </c>
      <c r="ES68">
        <v>0</v>
      </c>
      <c r="ET68">
        <v>189.59</v>
      </c>
      <c r="EU68">
        <v>0.94</v>
      </c>
      <c r="EV68">
        <v>10710.59</v>
      </c>
      <c r="EW68">
        <v>24.6</v>
      </c>
      <c r="EX68">
        <v>0</v>
      </c>
      <c r="EY68">
        <v>0</v>
      </c>
      <c r="FQ68">
        <v>0</v>
      </c>
      <c r="FR68">
        <f>ROUND(IF(BI68=3,GM68,0),2)</f>
        <v>0</v>
      </c>
      <c r="FS68">
        <v>0</v>
      </c>
      <c r="FX68">
        <v>70</v>
      </c>
      <c r="FY68">
        <v>10</v>
      </c>
      <c r="GA68" t="s">
        <v>3</v>
      </c>
      <c r="GD68">
        <v>0</v>
      </c>
      <c r="GF68">
        <v>-477590774</v>
      </c>
      <c r="GG68">
        <v>2</v>
      </c>
      <c r="GH68">
        <v>1</v>
      </c>
      <c r="GI68">
        <v>-2</v>
      </c>
      <c r="GJ68">
        <v>0</v>
      </c>
      <c r="GK68">
        <f>ROUND(R68*(R12)/100,2)</f>
        <v>0.15</v>
      </c>
      <c r="GL68">
        <f>ROUND(IF(AND(BH68=3,BI68=3,FS68&lt;&gt;0),P68,0),2)</f>
        <v>0</v>
      </c>
      <c r="GM68">
        <f>ROUND(O68+X68+Y68+GK68,2)+GX68</f>
        <v>2920.45</v>
      </c>
      <c r="GN68">
        <f>IF(OR(BI68=0,BI68=1),GM68-GX68,0)</f>
        <v>0</v>
      </c>
      <c r="GO68">
        <f>IF(BI68=2,GM68-GX68,0)</f>
        <v>0</v>
      </c>
      <c r="GP68">
        <f>IF(BI68=4,GM68-GX68,0)</f>
        <v>2920.45</v>
      </c>
      <c r="GR68">
        <v>0</v>
      </c>
      <c r="GS68">
        <v>0</v>
      </c>
      <c r="GT68">
        <v>0</v>
      </c>
      <c r="GU68" t="s">
        <v>3</v>
      </c>
      <c r="GV68">
        <f>ROUND((GT68),6)</f>
        <v>0</v>
      </c>
      <c r="GW68">
        <v>1</v>
      </c>
      <c r="GX68">
        <f>ROUND(HC68*I68,2)</f>
        <v>0</v>
      </c>
      <c r="HA68">
        <v>0</v>
      </c>
      <c r="HB68">
        <v>0</v>
      </c>
      <c r="HC68">
        <f>GV68*GW68</f>
        <v>0</v>
      </c>
      <c r="HE68" t="s">
        <v>3</v>
      </c>
      <c r="HF68" t="s">
        <v>3</v>
      </c>
      <c r="HM68" t="s">
        <v>3</v>
      </c>
      <c r="HN68" t="s">
        <v>3</v>
      </c>
      <c r="HO68" t="s">
        <v>3</v>
      </c>
      <c r="HP68" t="s">
        <v>3</v>
      </c>
      <c r="HQ68" t="s">
        <v>3</v>
      </c>
      <c r="IK68">
        <v>0</v>
      </c>
    </row>
    <row r="69" spans="1:245" x14ac:dyDescent="0.2">
      <c r="A69">
        <v>17</v>
      </c>
      <c r="B69">
        <v>1</v>
      </c>
      <c r="C69">
        <f>ROW(SmtRes!A41)</f>
        <v>41</v>
      </c>
      <c r="D69">
        <f>ROW(EtalonRes!A41)</f>
        <v>41</v>
      </c>
      <c r="E69" t="s">
        <v>99</v>
      </c>
      <c r="F69" t="s">
        <v>100</v>
      </c>
      <c r="G69" t="s">
        <v>101</v>
      </c>
      <c r="H69" t="s">
        <v>26</v>
      </c>
      <c r="I69">
        <f>ROUND(15/100,9)</f>
        <v>0.15</v>
      </c>
      <c r="J69">
        <v>0</v>
      </c>
      <c r="K69">
        <f>ROUND(15/100,9)</f>
        <v>0.15</v>
      </c>
      <c r="O69">
        <f>ROUND(CP69,2)</f>
        <v>2948.63</v>
      </c>
      <c r="P69">
        <f>ROUND(CQ69*I69,2)</f>
        <v>1220.3699999999999</v>
      </c>
      <c r="Q69">
        <f>ROUND(CR69*I69,2)</f>
        <v>58.19</v>
      </c>
      <c r="R69">
        <f>ROUND(CS69*I69,2)</f>
        <v>14.39</v>
      </c>
      <c r="S69">
        <f>ROUND(CT69*I69,2)</f>
        <v>1670.07</v>
      </c>
      <c r="T69">
        <f>ROUND(CU69*I69,2)</f>
        <v>0</v>
      </c>
      <c r="U69">
        <f>CV69*I69</f>
        <v>4.1909999999999998</v>
      </c>
      <c r="V69">
        <f>CW69*I69</f>
        <v>0</v>
      </c>
      <c r="W69">
        <f>ROUND(CX69*I69,2)</f>
        <v>0</v>
      </c>
      <c r="X69">
        <f t="shared" si="34"/>
        <v>1169.05</v>
      </c>
      <c r="Y69">
        <f t="shared" si="34"/>
        <v>167.01</v>
      </c>
      <c r="AA69">
        <v>75703152</v>
      </c>
      <c r="AB69">
        <f>ROUND((AC69+AD69+AF69),6)</f>
        <v>19657.54</v>
      </c>
      <c r="AC69">
        <f>ROUND((ES69),6)</f>
        <v>8135.77</v>
      </c>
      <c r="AD69">
        <f>ROUND((((ET69)-(EU69))+AE69),6)</f>
        <v>387.96</v>
      </c>
      <c r="AE69">
        <f t="shared" si="35"/>
        <v>95.92</v>
      </c>
      <c r="AF69">
        <f t="shared" si="35"/>
        <v>11133.81</v>
      </c>
      <c r="AG69">
        <f>ROUND((AP69),6)</f>
        <v>0</v>
      </c>
      <c r="AH69">
        <f t="shared" si="36"/>
        <v>27.94</v>
      </c>
      <c r="AI69">
        <f t="shared" si="36"/>
        <v>0</v>
      </c>
      <c r="AJ69">
        <f>(AS69)</f>
        <v>0</v>
      </c>
      <c r="AK69">
        <v>19657.54</v>
      </c>
      <c r="AL69">
        <v>8135.77</v>
      </c>
      <c r="AM69">
        <v>387.96</v>
      </c>
      <c r="AN69">
        <v>95.92</v>
      </c>
      <c r="AO69">
        <v>11133.81</v>
      </c>
      <c r="AP69">
        <v>0</v>
      </c>
      <c r="AQ69">
        <v>27.94</v>
      </c>
      <c r="AR69">
        <v>0</v>
      </c>
      <c r="AS69">
        <v>0</v>
      </c>
      <c r="AT69">
        <v>70</v>
      </c>
      <c r="AU69">
        <v>10</v>
      </c>
      <c r="AV69">
        <v>1</v>
      </c>
      <c r="AW69">
        <v>1</v>
      </c>
      <c r="AZ69">
        <v>1</v>
      </c>
      <c r="BA69">
        <v>1</v>
      </c>
      <c r="BB69">
        <v>1</v>
      </c>
      <c r="BC69">
        <v>1</v>
      </c>
      <c r="BD69" t="s">
        <v>3</v>
      </c>
      <c r="BE69" t="s">
        <v>3</v>
      </c>
      <c r="BF69" t="s">
        <v>3</v>
      </c>
      <c r="BG69" t="s">
        <v>3</v>
      </c>
      <c r="BH69">
        <v>0</v>
      </c>
      <c r="BI69">
        <v>4</v>
      </c>
      <c r="BJ69" t="s">
        <v>102</v>
      </c>
      <c r="BM69">
        <v>0</v>
      </c>
      <c r="BN69">
        <v>75371441</v>
      </c>
      <c r="BO69" t="s">
        <v>3</v>
      </c>
      <c r="BP69">
        <v>0</v>
      </c>
      <c r="BQ69">
        <v>1</v>
      </c>
      <c r="BR69">
        <v>0</v>
      </c>
      <c r="BS69">
        <v>1</v>
      </c>
      <c r="BT69">
        <v>1</v>
      </c>
      <c r="BU69">
        <v>1</v>
      </c>
      <c r="BV69">
        <v>1</v>
      </c>
      <c r="BW69">
        <v>1</v>
      </c>
      <c r="BX69">
        <v>1</v>
      </c>
      <c r="BY69" t="s">
        <v>3</v>
      </c>
      <c r="BZ69">
        <v>70</v>
      </c>
      <c r="CA69">
        <v>10</v>
      </c>
      <c r="CB69" t="s">
        <v>3</v>
      </c>
      <c r="CE69">
        <v>0</v>
      </c>
      <c r="CF69">
        <v>0</v>
      </c>
      <c r="CG69">
        <v>0</v>
      </c>
      <c r="CM69">
        <v>0</v>
      </c>
      <c r="CN69" t="s">
        <v>3</v>
      </c>
      <c r="CO69">
        <v>0</v>
      </c>
      <c r="CP69">
        <f>(P69+Q69+S69)</f>
        <v>2948.63</v>
      </c>
      <c r="CQ69">
        <f>(AC69*BC69*AW69)</f>
        <v>8135.77</v>
      </c>
      <c r="CR69">
        <f>((((ET69)*BB69-(EU69)*BS69)+AE69*BS69)*AV69)</f>
        <v>387.96</v>
      </c>
      <c r="CS69">
        <f>(AE69*BS69*AV69)</f>
        <v>95.92</v>
      </c>
      <c r="CT69">
        <f>(AF69*BA69*AV69)</f>
        <v>11133.81</v>
      </c>
      <c r="CU69">
        <f>AG69</f>
        <v>0</v>
      </c>
      <c r="CV69">
        <f>(AH69*AV69)</f>
        <v>27.94</v>
      </c>
      <c r="CW69">
        <f t="shared" si="37"/>
        <v>0</v>
      </c>
      <c r="CX69">
        <f t="shared" si="37"/>
        <v>0</v>
      </c>
      <c r="CY69">
        <f>((S69*BZ69)/100)</f>
        <v>1169.049</v>
      </c>
      <c r="CZ69">
        <f>((S69*CA69)/100)</f>
        <v>167.00700000000001</v>
      </c>
      <c r="DC69" t="s">
        <v>3</v>
      </c>
      <c r="DD69" t="s">
        <v>3</v>
      </c>
      <c r="DE69" t="s">
        <v>3</v>
      </c>
      <c r="DF69" t="s">
        <v>3</v>
      </c>
      <c r="DG69" t="s">
        <v>3</v>
      </c>
      <c r="DH69" t="s">
        <v>3</v>
      </c>
      <c r="DI69" t="s">
        <v>3</v>
      </c>
      <c r="DJ69" t="s">
        <v>3</v>
      </c>
      <c r="DK69" t="s">
        <v>3</v>
      </c>
      <c r="DL69" t="s">
        <v>3</v>
      </c>
      <c r="DM69" t="s">
        <v>3</v>
      </c>
      <c r="DN69">
        <v>0</v>
      </c>
      <c r="DO69">
        <v>0</v>
      </c>
      <c r="DP69">
        <v>1</v>
      </c>
      <c r="DQ69">
        <v>1</v>
      </c>
      <c r="DU69">
        <v>1005</v>
      </c>
      <c r="DV69" t="s">
        <v>26</v>
      </c>
      <c r="DW69" t="s">
        <v>26</v>
      </c>
      <c r="DX69">
        <v>100</v>
      </c>
      <c r="DZ69" t="s">
        <v>3</v>
      </c>
      <c r="EA69" t="s">
        <v>3</v>
      </c>
      <c r="EB69" t="s">
        <v>3</v>
      </c>
      <c r="EC69" t="s">
        <v>3</v>
      </c>
      <c r="EE69">
        <v>75371444</v>
      </c>
      <c r="EF69">
        <v>1</v>
      </c>
      <c r="EG69" t="s">
        <v>20</v>
      </c>
      <c r="EH69">
        <v>0</v>
      </c>
      <c r="EI69" t="s">
        <v>3</v>
      </c>
      <c r="EJ69">
        <v>4</v>
      </c>
      <c r="EK69">
        <v>0</v>
      </c>
      <c r="EL69" t="s">
        <v>21</v>
      </c>
      <c r="EM69" t="s">
        <v>22</v>
      </c>
      <c r="EO69" t="s">
        <v>3</v>
      </c>
      <c r="EQ69">
        <v>0</v>
      </c>
      <c r="ER69">
        <v>19657.54</v>
      </c>
      <c r="ES69">
        <v>8135.77</v>
      </c>
      <c r="ET69">
        <v>387.96</v>
      </c>
      <c r="EU69">
        <v>95.92</v>
      </c>
      <c r="EV69">
        <v>11133.81</v>
      </c>
      <c r="EW69">
        <v>27.94</v>
      </c>
      <c r="EX69">
        <v>0</v>
      </c>
      <c r="EY69">
        <v>0</v>
      </c>
      <c r="FQ69">
        <v>0</v>
      </c>
      <c r="FR69">
        <f>ROUND(IF(BI69=3,GM69,0),2)</f>
        <v>0</v>
      </c>
      <c r="FS69">
        <v>0</v>
      </c>
      <c r="FX69">
        <v>70</v>
      </c>
      <c r="FY69">
        <v>10</v>
      </c>
      <c r="GA69" t="s">
        <v>3</v>
      </c>
      <c r="GD69">
        <v>0</v>
      </c>
      <c r="GF69">
        <v>-1745462711</v>
      </c>
      <c r="GG69">
        <v>2</v>
      </c>
      <c r="GH69">
        <v>1</v>
      </c>
      <c r="GI69">
        <v>-2</v>
      </c>
      <c r="GJ69">
        <v>0</v>
      </c>
      <c r="GK69">
        <f>ROUND(R69*(R12)/100,2)</f>
        <v>15.54</v>
      </c>
      <c r="GL69">
        <f>ROUND(IF(AND(BH69=3,BI69=3,FS69&lt;&gt;0),P69,0),2)</f>
        <v>0</v>
      </c>
      <c r="GM69">
        <f>ROUND(O69+X69+Y69+GK69,2)+GX69</f>
        <v>4300.2299999999996</v>
      </c>
      <c r="GN69">
        <f>IF(OR(BI69=0,BI69=1),GM69-GX69,0)</f>
        <v>0</v>
      </c>
      <c r="GO69">
        <f>IF(BI69=2,GM69-GX69,0)</f>
        <v>0</v>
      </c>
      <c r="GP69">
        <f>IF(BI69=4,GM69-GX69,0)</f>
        <v>4300.2299999999996</v>
      </c>
      <c r="GR69">
        <v>0</v>
      </c>
      <c r="GS69">
        <v>0</v>
      </c>
      <c r="GT69">
        <v>0</v>
      </c>
      <c r="GU69" t="s">
        <v>3</v>
      </c>
      <c r="GV69">
        <f>ROUND((GT69),6)</f>
        <v>0</v>
      </c>
      <c r="GW69">
        <v>1</v>
      </c>
      <c r="GX69">
        <f>ROUND(HC69*I69,2)</f>
        <v>0</v>
      </c>
      <c r="HA69">
        <v>0</v>
      </c>
      <c r="HB69">
        <v>0</v>
      </c>
      <c r="HC69">
        <f>GV69*GW69</f>
        <v>0</v>
      </c>
      <c r="HE69" t="s">
        <v>3</v>
      </c>
      <c r="HF69" t="s">
        <v>3</v>
      </c>
      <c r="HM69" t="s">
        <v>3</v>
      </c>
      <c r="HN69" t="s">
        <v>3</v>
      </c>
      <c r="HO69" t="s">
        <v>3</v>
      </c>
      <c r="HP69" t="s">
        <v>3</v>
      </c>
      <c r="HQ69" t="s">
        <v>3</v>
      </c>
      <c r="IK69">
        <v>0</v>
      </c>
    </row>
    <row r="70" spans="1:245" x14ac:dyDescent="0.2">
      <c r="A70">
        <v>17</v>
      </c>
      <c r="B70">
        <v>1</v>
      </c>
      <c r="C70">
        <f>ROW(SmtRes!A43)</f>
        <v>43</v>
      </c>
      <c r="D70">
        <f>ROW(EtalonRes!A43)</f>
        <v>43</v>
      </c>
      <c r="E70" t="s">
        <v>103</v>
      </c>
      <c r="F70" t="s">
        <v>104</v>
      </c>
      <c r="G70" t="s">
        <v>105</v>
      </c>
      <c r="H70" t="s">
        <v>26</v>
      </c>
      <c r="I70">
        <f>ROUND(15/100,9)</f>
        <v>0.15</v>
      </c>
      <c r="J70">
        <v>0</v>
      </c>
      <c r="K70">
        <f>ROUND(15/100,9)</f>
        <v>0.15</v>
      </c>
      <c r="O70">
        <f>ROUND(CP70,2)</f>
        <v>1279.19</v>
      </c>
      <c r="P70">
        <f>ROUND(CQ70*I70,2)</f>
        <v>1191.5999999999999</v>
      </c>
      <c r="Q70">
        <f>ROUND(CR70*I70,2)</f>
        <v>0</v>
      </c>
      <c r="R70">
        <f>ROUND(CS70*I70,2)</f>
        <v>0</v>
      </c>
      <c r="S70">
        <f>ROUND(CT70*I70,2)</f>
        <v>87.59</v>
      </c>
      <c r="T70">
        <f>ROUND(CU70*I70,2)</f>
        <v>0</v>
      </c>
      <c r="U70">
        <f>CV70*I70</f>
        <v>0.22499999999999998</v>
      </c>
      <c r="V70">
        <f>CW70*I70</f>
        <v>0</v>
      </c>
      <c r="W70">
        <f>ROUND(CX70*I70,2)</f>
        <v>0</v>
      </c>
      <c r="X70">
        <f t="shared" si="34"/>
        <v>61.31</v>
      </c>
      <c r="Y70">
        <f t="shared" si="34"/>
        <v>8.76</v>
      </c>
      <c r="AA70">
        <v>75703152</v>
      </c>
      <c r="AB70">
        <f>ROUND((AC70+AD70+AF70),6)</f>
        <v>8527.9500000000007</v>
      </c>
      <c r="AC70">
        <f>ROUND(((ES70*15)),6)</f>
        <v>7944</v>
      </c>
      <c r="AD70">
        <f>ROUND(((((ET70*15))-((EU70*15)))+AE70),6)</f>
        <v>0</v>
      </c>
      <c r="AE70">
        <f>ROUND(((EU70*15)),6)</f>
        <v>0</v>
      </c>
      <c r="AF70">
        <f>ROUND(((EV70*15)),6)</f>
        <v>583.95000000000005</v>
      </c>
      <c r="AG70">
        <f>ROUND((AP70),6)</f>
        <v>0</v>
      </c>
      <c r="AH70">
        <f>((EW70*15))</f>
        <v>1.5</v>
      </c>
      <c r="AI70">
        <f>((EX70*15))</f>
        <v>0</v>
      </c>
      <c r="AJ70">
        <f>(AS70)</f>
        <v>0</v>
      </c>
      <c r="AK70">
        <v>568.53</v>
      </c>
      <c r="AL70">
        <v>529.6</v>
      </c>
      <c r="AM70">
        <v>0</v>
      </c>
      <c r="AN70">
        <v>0</v>
      </c>
      <c r="AO70">
        <v>38.93</v>
      </c>
      <c r="AP70">
        <v>0</v>
      </c>
      <c r="AQ70">
        <v>0.1</v>
      </c>
      <c r="AR70">
        <v>0</v>
      </c>
      <c r="AS70">
        <v>0</v>
      </c>
      <c r="AT70">
        <v>70</v>
      </c>
      <c r="AU70">
        <v>10</v>
      </c>
      <c r="AV70">
        <v>1</v>
      </c>
      <c r="AW70">
        <v>1</v>
      </c>
      <c r="AZ70">
        <v>1</v>
      </c>
      <c r="BA70">
        <v>1</v>
      </c>
      <c r="BB70">
        <v>1</v>
      </c>
      <c r="BC70">
        <v>1</v>
      </c>
      <c r="BD70" t="s">
        <v>3</v>
      </c>
      <c r="BE70" t="s">
        <v>3</v>
      </c>
      <c r="BF70" t="s">
        <v>3</v>
      </c>
      <c r="BG70" t="s">
        <v>3</v>
      </c>
      <c r="BH70">
        <v>0</v>
      </c>
      <c r="BI70">
        <v>4</v>
      </c>
      <c r="BJ70" t="s">
        <v>106</v>
      </c>
      <c r="BM70">
        <v>0</v>
      </c>
      <c r="BN70">
        <v>75371441</v>
      </c>
      <c r="BO70" t="s">
        <v>3</v>
      </c>
      <c r="BP70">
        <v>0</v>
      </c>
      <c r="BQ70">
        <v>1</v>
      </c>
      <c r="BR70">
        <v>0</v>
      </c>
      <c r="BS70">
        <v>1</v>
      </c>
      <c r="BT70">
        <v>1</v>
      </c>
      <c r="BU70">
        <v>1</v>
      </c>
      <c r="BV70">
        <v>1</v>
      </c>
      <c r="BW70">
        <v>1</v>
      </c>
      <c r="BX70">
        <v>1</v>
      </c>
      <c r="BY70" t="s">
        <v>3</v>
      </c>
      <c r="BZ70">
        <v>70</v>
      </c>
      <c r="CA70">
        <v>10</v>
      </c>
      <c r="CB70" t="s">
        <v>3</v>
      </c>
      <c r="CE70">
        <v>0</v>
      </c>
      <c r="CF70">
        <v>0</v>
      </c>
      <c r="CG70">
        <v>0</v>
      </c>
      <c r="CM70">
        <v>0</v>
      </c>
      <c r="CN70" t="s">
        <v>3</v>
      </c>
      <c r="CO70">
        <v>0</v>
      </c>
      <c r="CP70">
        <f>(P70+Q70+S70)</f>
        <v>1279.1899999999998</v>
      </c>
      <c r="CQ70">
        <f>(AC70*BC70*AW70)</f>
        <v>7944</v>
      </c>
      <c r="CR70">
        <f>(((((ET70*15))*BB70-((EU70*15))*BS70)+AE70*BS70)*AV70)</f>
        <v>0</v>
      </c>
      <c r="CS70">
        <f>(AE70*BS70*AV70)</f>
        <v>0</v>
      </c>
      <c r="CT70">
        <f>(AF70*BA70*AV70)</f>
        <v>583.95000000000005</v>
      </c>
      <c r="CU70">
        <f>AG70</f>
        <v>0</v>
      </c>
      <c r="CV70">
        <f>(AH70*AV70)</f>
        <v>1.5</v>
      </c>
      <c r="CW70">
        <f t="shared" si="37"/>
        <v>0</v>
      </c>
      <c r="CX70">
        <f t="shared" si="37"/>
        <v>0</v>
      </c>
      <c r="CY70">
        <f>((S70*BZ70)/100)</f>
        <v>61.313000000000002</v>
      </c>
      <c r="CZ70">
        <f>((S70*CA70)/100)</f>
        <v>8.7590000000000003</v>
      </c>
      <c r="DC70" t="s">
        <v>3</v>
      </c>
      <c r="DD70" t="s">
        <v>107</v>
      </c>
      <c r="DE70" t="s">
        <v>107</v>
      </c>
      <c r="DF70" t="s">
        <v>107</v>
      </c>
      <c r="DG70" t="s">
        <v>107</v>
      </c>
      <c r="DH70" t="s">
        <v>3</v>
      </c>
      <c r="DI70" t="s">
        <v>107</v>
      </c>
      <c r="DJ70" t="s">
        <v>107</v>
      </c>
      <c r="DK70" t="s">
        <v>3</v>
      </c>
      <c r="DL70" t="s">
        <v>3</v>
      </c>
      <c r="DM70" t="s">
        <v>3</v>
      </c>
      <c r="DN70">
        <v>0</v>
      </c>
      <c r="DO70">
        <v>0</v>
      </c>
      <c r="DP70">
        <v>1</v>
      </c>
      <c r="DQ70">
        <v>1</v>
      </c>
      <c r="DU70">
        <v>1005</v>
      </c>
      <c r="DV70" t="s">
        <v>26</v>
      </c>
      <c r="DW70" t="s">
        <v>26</v>
      </c>
      <c r="DX70">
        <v>100</v>
      </c>
      <c r="DZ70" t="s">
        <v>3</v>
      </c>
      <c r="EA70" t="s">
        <v>3</v>
      </c>
      <c r="EB70" t="s">
        <v>3</v>
      </c>
      <c r="EC70" t="s">
        <v>3</v>
      </c>
      <c r="EE70">
        <v>75371444</v>
      </c>
      <c r="EF70">
        <v>1</v>
      </c>
      <c r="EG70" t="s">
        <v>20</v>
      </c>
      <c r="EH70">
        <v>0</v>
      </c>
      <c r="EI70" t="s">
        <v>3</v>
      </c>
      <c r="EJ70">
        <v>4</v>
      </c>
      <c r="EK70">
        <v>0</v>
      </c>
      <c r="EL70" t="s">
        <v>21</v>
      </c>
      <c r="EM70" t="s">
        <v>22</v>
      </c>
      <c r="EO70" t="s">
        <v>3</v>
      </c>
      <c r="EQ70">
        <v>0</v>
      </c>
      <c r="ER70">
        <v>568.53</v>
      </c>
      <c r="ES70">
        <v>529.6</v>
      </c>
      <c r="ET70">
        <v>0</v>
      </c>
      <c r="EU70">
        <v>0</v>
      </c>
      <c r="EV70">
        <v>38.93</v>
      </c>
      <c r="EW70">
        <v>0.1</v>
      </c>
      <c r="EX70">
        <v>0</v>
      </c>
      <c r="EY70">
        <v>0</v>
      </c>
      <c r="FQ70">
        <v>0</v>
      </c>
      <c r="FR70">
        <f>ROUND(IF(BI70=3,GM70,0),2)</f>
        <v>0</v>
      </c>
      <c r="FS70">
        <v>0</v>
      </c>
      <c r="FX70">
        <v>70</v>
      </c>
      <c r="FY70">
        <v>10</v>
      </c>
      <c r="GA70" t="s">
        <v>3</v>
      </c>
      <c r="GD70">
        <v>0</v>
      </c>
      <c r="GF70">
        <v>-687587616</v>
      </c>
      <c r="GG70">
        <v>2</v>
      </c>
      <c r="GH70">
        <v>1</v>
      </c>
      <c r="GI70">
        <v>-2</v>
      </c>
      <c r="GJ70">
        <v>0</v>
      </c>
      <c r="GK70">
        <f>ROUND(R70*(R12)/100,2)</f>
        <v>0</v>
      </c>
      <c r="GL70">
        <f>ROUND(IF(AND(BH70=3,BI70=3,FS70&lt;&gt;0),P70,0),2)</f>
        <v>0</v>
      </c>
      <c r="GM70">
        <f>ROUND(O70+X70+Y70+GK70,2)+GX70</f>
        <v>1349.26</v>
      </c>
      <c r="GN70">
        <f>IF(OR(BI70=0,BI70=1),GM70-GX70,0)</f>
        <v>0</v>
      </c>
      <c r="GO70">
        <f>IF(BI70=2,GM70-GX70,0)</f>
        <v>0</v>
      </c>
      <c r="GP70">
        <f>IF(BI70=4,GM70-GX70,0)</f>
        <v>1349.26</v>
      </c>
      <c r="GR70">
        <v>0</v>
      </c>
      <c r="GS70">
        <v>0</v>
      </c>
      <c r="GT70">
        <v>0</v>
      </c>
      <c r="GU70" t="s">
        <v>3</v>
      </c>
      <c r="GV70">
        <f>ROUND((GT70),6)</f>
        <v>0</v>
      </c>
      <c r="GW70">
        <v>1</v>
      </c>
      <c r="GX70">
        <f>ROUND(HC70*I70,2)</f>
        <v>0</v>
      </c>
      <c r="HA70">
        <v>0</v>
      </c>
      <c r="HB70">
        <v>0</v>
      </c>
      <c r="HC70">
        <f>GV70*GW70</f>
        <v>0</v>
      </c>
      <c r="HE70" t="s">
        <v>3</v>
      </c>
      <c r="HF70" t="s">
        <v>3</v>
      </c>
      <c r="HM70" t="s">
        <v>3</v>
      </c>
      <c r="HN70" t="s">
        <v>3</v>
      </c>
      <c r="HO70" t="s">
        <v>3</v>
      </c>
      <c r="HP70" t="s">
        <v>3</v>
      </c>
      <c r="HQ70" t="s">
        <v>3</v>
      </c>
      <c r="IK70">
        <v>0</v>
      </c>
    </row>
    <row r="71" spans="1:245" x14ac:dyDescent="0.2">
      <c r="A71">
        <v>17</v>
      </c>
      <c r="B71">
        <v>1</v>
      </c>
      <c r="C71">
        <f>ROW(SmtRes!A52)</f>
        <v>52</v>
      </c>
      <c r="D71">
        <f>ROW(EtalonRes!A52)</f>
        <v>52</v>
      </c>
      <c r="E71" t="s">
        <v>108</v>
      </c>
      <c r="F71" t="s">
        <v>109</v>
      </c>
      <c r="G71" t="s">
        <v>110</v>
      </c>
      <c r="H71" t="s">
        <v>26</v>
      </c>
      <c r="I71">
        <f>ROUND(50/100,9)</f>
        <v>0.5</v>
      </c>
      <c r="J71">
        <v>0</v>
      </c>
      <c r="K71">
        <f>ROUND(50/100,9)</f>
        <v>0.5</v>
      </c>
      <c r="O71">
        <f>ROUND(CP71,2)</f>
        <v>64119.87</v>
      </c>
      <c r="P71">
        <f>ROUND(CQ71*I71,2)</f>
        <v>43822.86</v>
      </c>
      <c r="Q71">
        <f>ROUND(CR71*I71,2)</f>
        <v>3649.12</v>
      </c>
      <c r="R71">
        <f>ROUND(CS71*I71,2)</f>
        <v>1913.62</v>
      </c>
      <c r="S71">
        <f>ROUND(CT71*I71,2)</f>
        <v>16647.89</v>
      </c>
      <c r="T71">
        <f>ROUND(CU71*I71,2)</f>
        <v>0</v>
      </c>
      <c r="U71">
        <f>CV71*I71</f>
        <v>30.475000000000001</v>
      </c>
      <c r="V71">
        <f>CW71*I71</f>
        <v>0</v>
      </c>
      <c r="W71">
        <f>ROUND(CX71*I71,2)</f>
        <v>0</v>
      </c>
      <c r="X71">
        <f t="shared" si="34"/>
        <v>11653.52</v>
      </c>
      <c r="Y71">
        <f t="shared" si="34"/>
        <v>1664.79</v>
      </c>
      <c r="AA71">
        <v>75703152</v>
      </c>
      <c r="AB71">
        <f>ROUND((AC71+AD71+AF71),6)</f>
        <v>128239.73</v>
      </c>
      <c r="AC71">
        <f>ROUND((ES71),6)</f>
        <v>87645.72</v>
      </c>
      <c r="AD71">
        <f>ROUND((((ET71)-(EU71))+AE71),6)</f>
        <v>7298.24</v>
      </c>
      <c r="AE71">
        <f>ROUND((EU71),6)</f>
        <v>3827.24</v>
      </c>
      <c r="AF71">
        <f>ROUND((EV71),6)</f>
        <v>33295.769999999997</v>
      </c>
      <c r="AG71">
        <f>ROUND((AP71),6)</f>
        <v>0</v>
      </c>
      <c r="AH71">
        <f>(EW71)</f>
        <v>60.95</v>
      </c>
      <c r="AI71">
        <f>(EX71)</f>
        <v>0</v>
      </c>
      <c r="AJ71">
        <f>(AS71)</f>
        <v>0</v>
      </c>
      <c r="AK71">
        <v>128239.73</v>
      </c>
      <c r="AL71">
        <v>87645.72</v>
      </c>
      <c r="AM71">
        <v>7298.24</v>
      </c>
      <c r="AN71">
        <v>3827.24</v>
      </c>
      <c r="AO71">
        <v>33295.769999999997</v>
      </c>
      <c r="AP71">
        <v>0</v>
      </c>
      <c r="AQ71">
        <v>60.95</v>
      </c>
      <c r="AR71">
        <v>0</v>
      </c>
      <c r="AS71">
        <v>0</v>
      </c>
      <c r="AT71">
        <v>70</v>
      </c>
      <c r="AU71">
        <v>10</v>
      </c>
      <c r="AV71">
        <v>1</v>
      </c>
      <c r="AW71">
        <v>1</v>
      </c>
      <c r="AZ71">
        <v>1</v>
      </c>
      <c r="BA71">
        <v>1</v>
      </c>
      <c r="BB71">
        <v>1</v>
      </c>
      <c r="BC71">
        <v>1</v>
      </c>
      <c r="BD71" t="s">
        <v>3</v>
      </c>
      <c r="BE71" t="s">
        <v>3</v>
      </c>
      <c r="BF71" t="s">
        <v>3</v>
      </c>
      <c r="BG71" t="s">
        <v>3</v>
      </c>
      <c r="BH71">
        <v>0</v>
      </c>
      <c r="BI71">
        <v>4</v>
      </c>
      <c r="BJ71" t="s">
        <v>111</v>
      </c>
      <c r="BM71">
        <v>0</v>
      </c>
      <c r="BN71">
        <v>75371441</v>
      </c>
      <c r="BO71" t="s">
        <v>3</v>
      </c>
      <c r="BP71">
        <v>0</v>
      </c>
      <c r="BQ71">
        <v>1</v>
      </c>
      <c r="BR71">
        <v>0</v>
      </c>
      <c r="BS71">
        <v>1</v>
      </c>
      <c r="BT71">
        <v>1</v>
      </c>
      <c r="BU71">
        <v>1</v>
      </c>
      <c r="BV71">
        <v>1</v>
      </c>
      <c r="BW71">
        <v>1</v>
      </c>
      <c r="BX71">
        <v>1</v>
      </c>
      <c r="BY71" t="s">
        <v>3</v>
      </c>
      <c r="BZ71">
        <v>70</v>
      </c>
      <c r="CA71">
        <v>10</v>
      </c>
      <c r="CB71" t="s">
        <v>3</v>
      </c>
      <c r="CE71">
        <v>0</v>
      </c>
      <c r="CF71">
        <v>0</v>
      </c>
      <c r="CG71">
        <v>0</v>
      </c>
      <c r="CM71">
        <v>0</v>
      </c>
      <c r="CN71" t="s">
        <v>3</v>
      </c>
      <c r="CO71">
        <v>0</v>
      </c>
      <c r="CP71">
        <f>(P71+Q71+S71)</f>
        <v>64119.87</v>
      </c>
      <c r="CQ71">
        <f>(AC71*BC71*AW71)</f>
        <v>87645.72</v>
      </c>
      <c r="CR71">
        <f>((((ET71)*BB71-(EU71)*BS71)+AE71*BS71)*AV71)</f>
        <v>7298.24</v>
      </c>
      <c r="CS71">
        <f>(AE71*BS71*AV71)</f>
        <v>3827.24</v>
      </c>
      <c r="CT71">
        <f>(AF71*BA71*AV71)</f>
        <v>33295.769999999997</v>
      </c>
      <c r="CU71">
        <f>AG71</f>
        <v>0</v>
      </c>
      <c r="CV71">
        <f>(AH71*AV71)</f>
        <v>60.95</v>
      </c>
      <c r="CW71">
        <f t="shared" si="37"/>
        <v>0</v>
      </c>
      <c r="CX71">
        <f t="shared" si="37"/>
        <v>0</v>
      </c>
      <c r="CY71">
        <f>((S71*BZ71)/100)</f>
        <v>11653.523000000001</v>
      </c>
      <c r="CZ71">
        <f>((S71*CA71)/100)</f>
        <v>1664.789</v>
      </c>
      <c r="DC71" t="s">
        <v>3</v>
      </c>
      <c r="DD71" t="s">
        <v>3</v>
      </c>
      <c r="DE71" t="s">
        <v>3</v>
      </c>
      <c r="DF71" t="s">
        <v>3</v>
      </c>
      <c r="DG71" t="s">
        <v>3</v>
      </c>
      <c r="DH71" t="s">
        <v>3</v>
      </c>
      <c r="DI71" t="s">
        <v>3</v>
      </c>
      <c r="DJ71" t="s">
        <v>3</v>
      </c>
      <c r="DK71" t="s">
        <v>3</v>
      </c>
      <c r="DL71" t="s">
        <v>3</v>
      </c>
      <c r="DM71" t="s">
        <v>3</v>
      </c>
      <c r="DN71">
        <v>0</v>
      </c>
      <c r="DO71">
        <v>0</v>
      </c>
      <c r="DP71">
        <v>1</v>
      </c>
      <c r="DQ71">
        <v>1</v>
      </c>
      <c r="DU71">
        <v>1005</v>
      </c>
      <c r="DV71" t="s">
        <v>26</v>
      </c>
      <c r="DW71" t="s">
        <v>26</v>
      </c>
      <c r="DX71">
        <v>100</v>
      </c>
      <c r="DZ71" t="s">
        <v>3</v>
      </c>
      <c r="EA71" t="s">
        <v>3</v>
      </c>
      <c r="EB71" t="s">
        <v>3</v>
      </c>
      <c r="EC71" t="s">
        <v>3</v>
      </c>
      <c r="EE71">
        <v>75371444</v>
      </c>
      <c r="EF71">
        <v>1</v>
      </c>
      <c r="EG71" t="s">
        <v>20</v>
      </c>
      <c r="EH71">
        <v>0</v>
      </c>
      <c r="EI71" t="s">
        <v>3</v>
      </c>
      <c r="EJ71">
        <v>4</v>
      </c>
      <c r="EK71">
        <v>0</v>
      </c>
      <c r="EL71" t="s">
        <v>21</v>
      </c>
      <c r="EM71" t="s">
        <v>22</v>
      </c>
      <c r="EO71" t="s">
        <v>3</v>
      </c>
      <c r="EQ71">
        <v>0</v>
      </c>
      <c r="ER71">
        <v>128239.73</v>
      </c>
      <c r="ES71">
        <v>87645.72</v>
      </c>
      <c r="ET71">
        <v>7298.24</v>
      </c>
      <c r="EU71">
        <v>3827.24</v>
      </c>
      <c r="EV71">
        <v>33295.769999999997</v>
      </c>
      <c r="EW71">
        <v>60.95</v>
      </c>
      <c r="EX71">
        <v>0</v>
      </c>
      <c r="EY71">
        <v>0</v>
      </c>
      <c r="FQ71">
        <v>0</v>
      </c>
      <c r="FR71">
        <f>ROUND(IF(BI71=3,GM71,0),2)</f>
        <v>0</v>
      </c>
      <c r="FS71">
        <v>0</v>
      </c>
      <c r="FX71">
        <v>70</v>
      </c>
      <c r="FY71">
        <v>10</v>
      </c>
      <c r="GA71" t="s">
        <v>3</v>
      </c>
      <c r="GD71">
        <v>0</v>
      </c>
      <c r="GF71">
        <v>-1735540718</v>
      </c>
      <c r="GG71">
        <v>2</v>
      </c>
      <c r="GH71">
        <v>1</v>
      </c>
      <c r="GI71">
        <v>-2</v>
      </c>
      <c r="GJ71">
        <v>0</v>
      </c>
      <c r="GK71">
        <f>ROUND(R71*(R12)/100,2)</f>
        <v>2066.71</v>
      </c>
      <c r="GL71">
        <f>ROUND(IF(AND(BH71=3,BI71=3,FS71&lt;&gt;0),P71,0),2)</f>
        <v>0</v>
      </c>
      <c r="GM71">
        <f>ROUND(O71+X71+Y71+GK71,2)+GX71</f>
        <v>79504.89</v>
      </c>
      <c r="GN71">
        <f>IF(OR(BI71=0,BI71=1),GM71-GX71,0)</f>
        <v>0</v>
      </c>
      <c r="GO71">
        <f>IF(BI71=2,GM71-GX71,0)</f>
        <v>0</v>
      </c>
      <c r="GP71">
        <f>IF(BI71=4,GM71-GX71,0)</f>
        <v>79504.89</v>
      </c>
      <c r="GR71">
        <v>0</v>
      </c>
      <c r="GS71">
        <v>0</v>
      </c>
      <c r="GT71">
        <v>0</v>
      </c>
      <c r="GU71" t="s">
        <v>3</v>
      </c>
      <c r="GV71">
        <f>ROUND((GT71),6)</f>
        <v>0</v>
      </c>
      <c r="GW71">
        <v>1</v>
      </c>
      <c r="GX71">
        <f>ROUND(HC71*I71,2)</f>
        <v>0</v>
      </c>
      <c r="HA71">
        <v>0</v>
      </c>
      <c r="HB71">
        <v>0</v>
      </c>
      <c r="HC71">
        <f>GV71*GW71</f>
        <v>0</v>
      </c>
      <c r="HE71" t="s">
        <v>3</v>
      </c>
      <c r="HF71" t="s">
        <v>3</v>
      </c>
      <c r="HM71" t="s">
        <v>3</v>
      </c>
      <c r="HN71" t="s">
        <v>3</v>
      </c>
      <c r="HO71" t="s">
        <v>3</v>
      </c>
      <c r="HP71" t="s">
        <v>3</v>
      </c>
      <c r="HQ71" t="s">
        <v>3</v>
      </c>
      <c r="IK71">
        <v>0</v>
      </c>
    </row>
    <row r="73" spans="1:245" x14ac:dyDescent="0.2">
      <c r="A73" s="2">
        <v>51</v>
      </c>
      <c r="B73" s="2">
        <f>B63</f>
        <v>1</v>
      </c>
      <c r="C73" s="2">
        <f>A63</f>
        <v>4</v>
      </c>
      <c r="D73" s="2">
        <f>ROW(A63)</f>
        <v>63</v>
      </c>
      <c r="E73" s="2"/>
      <c r="F73" s="2" t="str">
        <f>IF(F63&lt;&gt;"",F63,"")</f>
        <v>Новый раздел</v>
      </c>
      <c r="G73" s="2" t="str">
        <f>IF(G63&lt;&gt;"",G63,"")</f>
        <v>Кровля (козырек)</v>
      </c>
      <c r="H73" s="2">
        <v>0</v>
      </c>
      <c r="I73" s="2"/>
      <c r="J73" s="2"/>
      <c r="K73" s="2"/>
      <c r="L73" s="2"/>
      <c r="M73" s="2"/>
      <c r="N73" s="2"/>
      <c r="O73" s="2">
        <f t="shared" ref="O73:T73" si="38">ROUND(AB73,2)</f>
        <v>73692.45</v>
      </c>
      <c r="P73" s="2">
        <f t="shared" si="38"/>
        <v>46234.83</v>
      </c>
      <c r="Q73" s="2">
        <f t="shared" si="38"/>
        <v>3735.75</v>
      </c>
      <c r="R73" s="2">
        <f t="shared" si="38"/>
        <v>1928.15</v>
      </c>
      <c r="S73" s="2">
        <f t="shared" si="38"/>
        <v>23721.87</v>
      </c>
      <c r="T73" s="2">
        <f t="shared" si="38"/>
        <v>0</v>
      </c>
      <c r="U73" s="2">
        <f>AH73</f>
        <v>47.286000000000001</v>
      </c>
      <c r="V73" s="2">
        <f>AI73</f>
        <v>0</v>
      </c>
      <c r="W73" s="2">
        <f>ROUND(AJ73,2)</f>
        <v>0</v>
      </c>
      <c r="X73" s="2">
        <f>ROUND(AK73,2)</f>
        <v>16605.3</v>
      </c>
      <c r="Y73" s="2">
        <f>ROUND(AL73,2)</f>
        <v>2372.19</v>
      </c>
      <c r="Z73" s="2"/>
      <c r="AA73" s="2"/>
      <c r="AB73" s="2">
        <f>ROUND(SUMIF(AA67:AA71,"=75703152",O67:O71),2)</f>
        <v>73692.45</v>
      </c>
      <c r="AC73" s="2">
        <f>ROUND(SUMIF(AA67:AA71,"=75703152",P67:P71),2)</f>
        <v>46234.83</v>
      </c>
      <c r="AD73" s="2">
        <f>ROUND(SUMIF(AA67:AA71,"=75703152",Q67:Q71),2)</f>
        <v>3735.75</v>
      </c>
      <c r="AE73" s="2">
        <f>ROUND(SUMIF(AA67:AA71,"=75703152",R67:R71),2)</f>
        <v>1928.15</v>
      </c>
      <c r="AF73" s="2">
        <f>ROUND(SUMIF(AA67:AA71,"=75703152",S67:S71),2)</f>
        <v>23721.87</v>
      </c>
      <c r="AG73" s="2">
        <f>ROUND(SUMIF(AA67:AA71,"=75703152",T67:T71),2)</f>
        <v>0</v>
      </c>
      <c r="AH73" s="2">
        <f>SUMIF(AA67:AA71,"=75703152",U67:U71)</f>
        <v>47.286000000000001</v>
      </c>
      <c r="AI73" s="2">
        <f>SUMIF(AA67:AA71,"=75703152",V67:V71)</f>
        <v>0</v>
      </c>
      <c r="AJ73" s="2">
        <f>ROUND(SUMIF(AA67:AA71,"=75703152",W67:W71),2)</f>
        <v>0</v>
      </c>
      <c r="AK73" s="2">
        <f>ROUND(SUMIF(AA67:AA71,"=75703152",X67:X71),2)</f>
        <v>16605.3</v>
      </c>
      <c r="AL73" s="2">
        <f>ROUND(SUMIF(AA67:AA71,"=75703152",Y67:Y71),2)</f>
        <v>2372.19</v>
      </c>
      <c r="AM73" s="2"/>
      <c r="AN73" s="2"/>
      <c r="AO73" s="2">
        <f t="shared" ref="AO73:BD73" si="39">ROUND(BX73,2)</f>
        <v>0</v>
      </c>
      <c r="AP73" s="2">
        <f t="shared" si="39"/>
        <v>0</v>
      </c>
      <c r="AQ73" s="2">
        <f t="shared" si="39"/>
        <v>0</v>
      </c>
      <c r="AR73" s="2">
        <f t="shared" si="39"/>
        <v>94752.34</v>
      </c>
      <c r="AS73" s="2">
        <f t="shared" si="39"/>
        <v>0</v>
      </c>
      <c r="AT73" s="2">
        <f t="shared" si="39"/>
        <v>0</v>
      </c>
      <c r="AU73" s="2">
        <f t="shared" si="39"/>
        <v>94752.34</v>
      </c>
      <c r="AV73" s="2">
        <f t="shared" si="39"/>
        <v>46234.83</v>
      </c>
      <c r="AW73" s="2">
        <f t="shared" si="39"/>
        <v>46234.83</v>
      </c>
      <c r="AX73" s="2">
        <f t="shared" si="39"/>
        <v>0</v>
      </c>
      <c r="AY73" s="2">
        <f t="shared" si="39"/>
        <v>46234.83</v>
      </c>
      <c r="AZ73" s="2">
        <f t="shared" si="39"/>
        <v>0</v>
      </c>
      <c r="BA73" s="2">
        <f t="shared" si="39"/>
        <v>0</v>
      </c>
      <c r="BB73" s="2">
        <f t="shared" si="39"/>
        <v>0</v>
      </c>
      <c r="BC73" s="2">
        <f t="shared" si="39"/>
        <v>0</v>
      </c>
      <c r="BD73" s="2">
        <f t="shared" si="39"/>
        <v>0</v>
      </c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>
        <f>ROUND(SUMIF(AA67:AA71,"=75703152",FQ67:FQ71),2)</f>
        <v>0</v>
      </c>
      <c r="BY73" s="2">
        <f>ROUND(SUMIF(AA67:AA71,"=75703152",FR67:FR71),2)</f>
        <v>0</v>
      </c>
      <c r="BZ73" s="2">
        <f>ROUND(SUMIF(AA67:AA71,"=75703152",GL67:GL71),2)</f>
        <v>0</v>
      </c>
      <c r="CA73" s="2">
        <f>ROUND(SUMIF(AA67:AA71,"=75703152",GM67:GM71),2)</f>
        <v>94752.34</v>
      </c>
      <c r="CB73" s="2">
        <f>ROUND(SUMIF(AA67:AA71,"=75703152",GN67:GN71),2)</f>
        <v>0</v>
      </c>
      <c r="CC73" s="2">
        <f>ROUND(SUMIF(AA67:AA71,"=75703152",GO67:GO71),2)</f>
        <v>0</v>
      </c>
      <c r="CD73" s="2">
        <f>ROUND(SUMIF(AA67:AA71,"=75703152",GP67:GP71),2)</f>
        <v>94752.34</v>
      </c>
      <c r="CE73" s="2">
        <f>AC73-BX73</f>
        <v>46234.83</v>
      </c>
      <c r="CF73" s="2">
        <f>AC73-BY73</f>
        <v>46234.83</v>
      </c>
      <c r="CG73" s="2">
        <f>BX73-BZ73</f>
        <v>0</v>
      </c>
      <c r="CH73" s="2">
        <f>AC73-BX73-BY73+BZ73</f>
        <v>46234.83</v>
      </c>
      <c r="CI73" s="2">
        <f>BY73-BZ73</f>
        <v>0</v>
      </c>
      <c r="CJ73" s="2">
        <f>ROUND(SUMIF(AA67:AA71,"=75703152",GX67:GX71),2)</f>
        <v>0</v>
      </c>
      <c r="CK73" s="2">
        <f>ROUND(SUMIF(AA67:AA71,"=75703152",GY67:GY71),2)</f>
        <v>0</v>
      </c>
      <c r="CL73" s="2">
        <f>ROUND(SUMIF(AA67:AA71,"=75703152",GZ67:GZ71),2)</f>
        <v>0</v>
      </c>
      <c r="CM73" s="2">
        <f>ROUND(SUMIF(AA67:AA71,"=75703152",HD67:HD71),2)</f>
        <v>0</v>
      </c>
      <c r="CN73" s="2"/>
      <c r="CO73" s="2"/>
      <c r="CP73" s="2"/>
      <c r="CQ73" s="2"/>
      <c r="CR73" s="2"/>
      <c r="CS73" s="2"/>
      <c r="CT73" s="2"/>
      <c r="CU73" s="2"/>
      <c r="CV73" s="2"/>
      <c r="CW73" s="2"/>
      <c r="CX73" s="2"/>
      <c r="CY73" s="2"/>
      <c r="CZ73" s="2"/>
      <c r="DA73" s="2"/>
      <c r="DB73" s="2"/>
      <c r="DC73" s="2"/>
      <c r="DD73" s="2"/>
      <c r="DE73" s="2"/>
      <c r="DF73" s="2"/>
      <c r="DG73" s="3"/>
      <c r="DH73" s="3"/>
      <c r="DI73" s="3"/>
      <c r="DJ73" s="3"/>
      <c r="DK73" s="3"/>
      <c r="DL73" s="3"/>
      <c r="DM73" s="3"/>
      <c r="DN73" s="3"/>
      <c r="DO73" s="3"/>
      <c r="DP73" s="3"/>
      <c r="DQ73" s="3"/>
      <c r="DR73" s="3"/>
      <c r="DS73" s="3"/>
      <c r="DT73" s="3"/>
      <c r="DU73" s="3"/>
      <c r="DV73" s="3"/>
      <c r="DW73" s="3"/>
      <c r="DX73" s="3"/>
      <c r="DY73" s="3"/>
      <c r="DZ73" s="3"/>
      <c r="EA73" s="3"/>
      <c r="EB73" s="3"/>
      <c r="EC73" s="3"/>
      <c r="ED73" s="3"/>
      <c r="EE73" s="3"/>
      <c r="EF73" s="3"/>
      <c r="EG73" s="3"/>
      <c r="EH73" s="3"/>
      <c r="EI73" s="3"/>
      <c r="EJ73" s="3"/>
      <c r="EK73" s="3"/>
      <c r="EL73" s="3"/>
      <c r="EM73" s="3"/>
      <c r="EN73" s="3"/>
      <c r="EO73" s="3"/>
      <c r="EP73" s="3"/>
      <c r="EQ73" s="3"/>
      <c r="ER73" s="3"/>
      <c r="ES73" s="3"/>
      <c r="ET73" s="3"/>
      <c r="EU73" s="3"/>
      <c r="EV73" s="3"/>
      <c r="EW73" s="3"/>
      <c r="EX73" s="3"/>
      <c r="EY73" s="3"/>
      <c r="EZ73" s="3"/>
      <c r="FA73" s="3"/>
      <c r="FB73" s="3"/>
      <c r="FC73" s="3"/>
      <c r="FD73" s="3"/>
      <c r="FE73" s="3"/>
      <c r="FF73" s="3"/>
      <c r="FG73" s="3"/>
      <c r="FH73" s="3"/>
      <c r="FI73" s="3"/>
      <c r="FJ73" s="3"/>
      <c r="FK73" s="3"/>
      <c r="FL73" s="3"/>
      <c r="FM73" s="3"/>
      <c r="FN73" s="3"/>
      <c r="FO73" s="3"/>
      <c r="FP73" s="3"/>
      <c r="FQ73" s="3"/>
      <c r="FR73" s="3"/>
      <c r="FS73" s="3"/>
      <c r="FT73" s="3"/>
      <c r="FU73" s="3"/>
      <c r="FV73" s="3"/>
      <c r="FW73" s="3"/>
      <c r="FX73" s="3"/>
      <c r="FY73" s="3"/>
      <c r="FZ73" s="3"/>
      <c r="GA73" s="3"/>
      <c r="GB73" s="3"/>
      <c r="GC73" s="3"/>
      <c r="GD73" s="3"/>
      <c r="GE73" s="3"/>
      <c r="GF73" s="3"/>
      <c r="GG73" s="3"/>
      <c r="GH73" s="3"/>
      <c r="GI73" s="3"/>
      <c r="GJ73" s="3"/>
      <c r="GK73" s="3"/>
      <c r="GL73" s="3"/>
      <c r="GM73" s="3"/>
      <c r="GN73" s="3"/>
      <c r="GO73" s="3"/>
      <c r="GP73" s="3"/>
      <c r="GQ73" s="3"/>
      <c r="GR73" s="3"/>
      <c r="GS73" s="3"/>
      <c r="GT73" s="3"/>
      <c r="GU73" s="3"/>
      <c r="GV73" s="3"/>
      <c r="GW73" s="3"/>
      <c r="GX73" s="3">
        <v>0</v>
      </c>
    </row>
    <row r="75" spans="1:245" x14ac:dyDescent="0.2">
      <c r="A75" s="4">
        <v>50</v>
      </c>
      <c r="B75" s="4">
        <v>0</v>
      </c>
      <c r="C75" s="4">
        <v>0</v>
      </c>
      <c r="D75" s="4">
        <v>1</v>
      </c>
      <c r="E75" s="4">
        <v>201</v>
      </c>
      <c r="F75" s="4">
        <f>ROUND(Source!O73,O75)</f>
        <v>73692.45</v>
      </c>
      <c r="G75" s="4" t="s">
        <v>36</v>
      </c>
      <c r="H75" s="4" t="s">
        <v>37</v>
      </c>
      <c r="I75" s="4"/>
      <c r="J75" s="4"/>
      <c r="K75" s="4">
        <v>201</v>
      </c>
      <c r="L75" s="4">
        <v>1</v>
      </c>
      <c r="M75" s="4">
        <v>3</v>
      </c>
      <c r="N75" s="4" t="s">
        <v>3</v>
      </c>
      <c r="O75" s="4">
        <v>2</v>
      </c>
      <c r="P75" s="4"/>
      <c r="Q75" s="4"/>
      <c r="R75" s="4"/>
      <c r="S75" s="4"/>
      <c r="T75" s="4"/>
      <c r="U75" s="4"/>
      <c r="V75" s="4"/>
      <c r="W75" s="4">
        <v>73692.45</v>
      </c>
      <c r="X75" s="4">
        <v>1</v>
      </c>
      <c r="Y75" s="4">
        <v>73692.45</v>
      </c>
      <c r="Z75" s="4"/>
      <c r="AA75" s="4"/>
      <c r="AB75" s="4"/>
    </row>
    <row r="76" spans="1:245" x14ac:dyDescent="0.2">
      <c r="A76" s="4">
        <v>50</v>
      </c>
      <c r="B76" s="4">
        <v>0</v>
      </c>
      <c r="C76" s="4">
        <v>0</v>
      </c>
      <c r="D76" s="4">
        <v>1</v>
      </c>
      <c r="E76" s="4">
        <v>202</v>
      </c>
      <c r="F76" s="4">
        <f>ROUND(Source!P73,O76)</f>
        <v>46234.83</v>
      </c>
      <c r="G76" s="4" t="s">
        <v>38</v>
      </c>
      <c r="H76" s="4" t="s">
        <v>39</v>
      </c>
      <c r="I76" s="4"/>
      <c r="J76" s="4"/>
      <c r="K76" s="4">
        <v>202</v>
      </c>
      <c r="L76" s="4">
        <v>2</v>
      </c>
      <c r="M76" s="4">
        <v>3</v>
      </c>
      <c r="N76" s="4" t="s">
        <v>3</v>
      </c>
      <c r="O76" s="4">
        <v>2</v>
      </c>
      <c r="P76" s="4"/>
      <c r="Q76" s="4"/>
      <c r="R76" s="4"/>
      <c r="S76" s="4"/>
      <c r="T76" s="4"/>
      <c r="U76" s="4"/>
      <c r="V76" s="4"/>
      <c r="W76" s="4">
        <v>46234.83</v>
      </c>
      <c r="X76" s="4">
        <v>1</v>
      </c>
      <c r="Y76" s="4">
        <v>46234.83</v>
      </c>
      <c r="Z76" s="4"/>
      <c r="AA76" s="4"/>
      <c r="AB76" s="4"/>
    </row>
    <row r="77" spans="1:245" x14ac:dyDescent="0.2">
      <c r="A77" s="4">
        <v>50</v>
      </c>
      <c r="B77" s="4">
        <v>0</v>
      </c>
      <c r="C77" s="4">
        <v>0</v>
      </c>
      <c r="D77" s="4">
        <v>1</v>
      </c>
      <c r="E77" s="4">
        <v>222</v>
      </c>
      <c r="F77" s="4">
        <f>ROUND(Source!AO73,O77)</f>
        <v>0</v>
      </c>
      <c r="G77" s="4" t="s">
        <v>40</v>
      </c>
      <c r="H77" s="4" t="s">
        <v>41</v>
      </c>
      <c r="I77" s="4"/>
      <c r="J77" s="4"/>
      <c r="K77" s="4">
        <v>222</v>
      </c>
      <c r="L77" s="4">
        <v>3</v>
      </c>
      <c r="M77" s="4">
        <v>3</v>
      </c>
      <c r="N77" s="4" t="s">
        <v>3</v>
      </c>
      <c r="O77" s="4">
        <v>2</v>
      </c>
      <c r="P77" s="4"/>
      <c r="Q77" s="4"/>
      <c r="R77" s="4"/>
      <c r="S77" s="4"/>
      <c r="T77" s="4"/>
      <c r="U77" s="4"/>
      <c r="V77" s="4"/>
      <c r="W77" s="4">
        <v>0</v>
      </c>
      <c r="X77" s="4">
        <v>1</v>
      </c>
      <c r="Y77" s="4">
        <v>0</v>
      </c>
      <c r="Z77" s="4"/>
      <c r="AA77" s="4"/>
      <c r="AB77" s="4"/>
    </row>
    <row r="78" spans="1:245" x14ac:dyDescent="0.2">
      <c r="A78" s="4">
        <v>50</v>
      </c>
      <c r="B78" s="4">
        <v>0</v>
      </c>
      <c r="C78" s="4">
        <v>0</v>
      </c>
      <c r="D78" s="4">
        <v>1</v>
      </c>
      <c r="E78" s="4">
        <v>225</v>
      </c>
      <c r="F78" s="4">
        <f>ROUND(Source!AV73,O78)</f>
        <v>46234.83</v>
      </c>
      <c r="G78" s="4" t="s">
        <v>42</v>
      </c>
      <c r="H78" s="4" t="s">
        <v>43</v>
      </c>
      <c r="I78" s="4"/>
      <c r="J78" s="4"/>
      <c r="K78" s="4">
        <v>225</v>
      </c>
      <c r="L78" s="4">
        <v>4</v>
      </c>
      <c r="M78" s="4">
        <v>3</v>
      </c>
      <c r="N78" s="4" t="s">
        <v>3</v>
      </c>
      <c r="O78" s="4">
        <v>2</v>
      </c>
      <c r="P78" s="4"/>
      <c r="Q78" s="4"/>
      <c r="R78" s="4"/>
      <c r="S78" s="4"/>
      <c r="T78" s="4"/>
      <c r="U78" s="4"/>
      <c r="V78" s="4"/>
      <c r="W78" s="4">
        <v>46234.83</v>
      </c>
      <c r="X78" s="4">
        <v>1</v>
      </c>
      <c r="Y78" s="4">
        <v>46234.83</v>
      </c>
      <c r="Z78" s="4"/>
      <c r="AA78" s="4"/>
      <c r="AB78" s="4"/>
    </row>
    <row r="79" spans="1:245" x14ac:dyDescent="0.2">
      <c r="A79" s="4">
        <v>50</v>
      </c>
      <c r="B79" s="4">
        <v>0</v>
      </c>
      <c r="C79" s="4">
        <v>0</v>
      </c>
      <c r="D79" s="4">
        <v>1</v>
      </c>
      <c r="E79" s="4">
        <v>226</v>
      </c>
      <c r="F79" s="4">
        <f>ROUND(Source!AW73,O79)</f>
        <v>46234.83</v>
      </c>
      <c r="G79" s="4" t="s">
        <v>44</v>
      </c>
      <c r="H79" s="4" t="s">
        <v>45</v>
      </c>
      <c r="I79" s="4"/>
      <c r="J79" s="4"/>
      <c r="K79" s="4">
        <v>226</v>
      </c>
      <c r="L79" s="4">
        <v>5</v>
      </c>
      <c r="M79" s="4">
        <v>3</v>
      </c>
      <c r="N79" s="4" t="s">
        <v>3</v>
      </c>
      <c r="O79" s="4">
        <v>2</v>
      </c>
      <c r="P79" s="4"/>
      <c r="Q79" s="4"/>
      <c r="R79" s="4"/>
      <c r="S79" s="4"/>
      <c r="T79" s="4"/>
      <c r="U79" s="4"/>
      <c r="V79" s="4"/>
      <c r="W79" s="4">
        <v>46234.83</v>
      </c>
      <c r="X79" s="4">
        <v>1</v>
      </c>
      <c r="Y79" s="4">
        <v>46234.83</v>
      </c>
      <c r="Z79" s="4"/>
      <c r="AA79" s="4"/>
      <c r="AB79" s="4"/>
    </row>
    <row r="80" spans="1:245" x14ac:dyDescent="0.2">
      <c r="A80" s="4">
        <v>50</v>
      </c>
      <c r="B80" s="4">
        <v>0</v>
      </c>
      <c r="C80" s="4">
        <v>0</v>
      </c>
      <c r="D80" s="4">
        <v>1</v>
      </c>
      <c r="E80" s="4">
        <v>227</v>
      </c>
      <c r="F80" s="4">
        <f>ROUND(Source!AX73,O80)</f>
        <v>0</v>
      </c>
      <c r="G80" s="4" t="s">
        <v>46</v>
      </c>
      <c r="H80" s="4" t="s">
        <v>47</v>
      </c>
      <c r="I80" s="4"/>
      <c r="J80" s="4"/>
      <c r="K80" s="4">
        <v>227</v>
      </c>
      <c r="L80" s="4">
        <v>6</v>
      </c>
      <c r="M80" s="4">
        <v>3</v>
      </c>
      <c r="N80" s="4" t="s">
        <v>3</v>
      </c>
      <c r="O80" s="4">
        <v>2</v>
      </c>
      <c r="P80" s="4"/>
      <c r="Q80" s="4"/>
      <c r="R80" s="4"/>
      <c r="S80" s="4"/>
      <c r="T80" s="4"/>
      <c r="U80" s="4"/>
      <c r="V80" s="4"/>
      <c r="W80" s="4">
        <v>0</v>
      </c>
      <c r="X80" s="4">
        <v>1</v>
      </c>
      <c r="Y80" s="4">
        <v>0</v>
      </c>
      <c r="Z80" s="4"/>
      <c r="AA80" s="4"/>
      <c r="AB80" s="4"/>
    </row>
    <row r="81" spans="1:28" x14ac:dyDescent="0.2">
      <c r="A81" s="4">
        <v>50</v>
      </c>
      <c r="B81" s="4">
        <v>0</v>
      </c>
      <c r="C81" s="4">
        <v>0</v>
      </c>
      <c r="D81" s="4">
        <v>1</v>
      </c>
      <c r="E81" s="4">
        <v>228</v>
      </c>
      <c r="F81" s="4">
        <f>ROUND(Source!AY73,O81)</f>
        <v>46234.83</v>
      </c>
      <c r="G81" s="4" t="s">
        <v>48</v>
      </c>
      <c r="H81" s="4" t="s">
        <v>49</v>
      </c>
      <c r="I81" s="4"/>
      <c r="J81" s="4"/>
      <c r="K81" s="4">
        <v>228</v>
      </c>
      <c r="L81" s="4">
        <v>7</v>
      </c>
      <c r="M81" s="4">
        <v>3</v>
      </c>
      <c r="N81" s="4" t="s">
        <v>3</v>
      </c>
      <c r="O81" s="4">
        <v>2</v>
      </c>
      <c r="P81" s="4"/>
      <c r="Q81" s="4"/>
      <c r="R81" s="4"/>
      <c r="S81" s="4"/>
      <c r="T81" s="4"/>
      <c r="U81" s="4"/>
      <c r="V81" s="4"/>
      <c r="W81" s="4">
        <v>46234.83</v>
      </c>
      <c r="X81" s="4">
        <v>1</v>
      </c>
      <c r="Y81" s="4">
        <v>46234.83</v>
      </c>
      <c r="Z81" s="4"/>
      <c r="AA81" s="4"/>
      <c r="AB81" s="4"/>
    </row>
    <row r="82" spans="1:28" x14ac:dyDescent="0.2">
      <c r="A82" s="4">
        <v>50</v>
      </c>
      <c r="B82" s="4">
        <v>0</v>
      </c>
      <c r="C82" s="4">
        <v>0</v>
      </c>
      <c r="D82" s="4">
        <v>1</v>
      </c>
      <c r="E82" s="4">
        <v>216</v>
      </c>
      <c r="F82" s="4">
        <f>ROUND(Source!AP73,O82)</f>
        <v>0</v>
      </c>
      <c r="G82" s="4" t="s">
        <v>50</v>
      </c>
      <c r="H82" s="4" t="s">
        <v>51</v>
      </c>
      <c r="I82" s="4"/>
      <c r="J82" s="4"/>
      <c r="K82" s="4">
        <v>216</v>
      </c>
      <c r="L82" s="4">
        <v>8</v>
      </c>
      <c r="M82" s="4">
        <v>3</v>
      </c>
      <c r="N82" s="4" t="s">
        <v>3</v>
      </c>
      <c r="O82" s="4">
        <v>2</v>
      </c>
      <c r="P82" s="4"/>
      <c r="Q82" s="4"/>
      <c r="R82" s="4"/>
      <c r="S82" s="4"/>
      <c r="T82" s="4"/>
      <c r="U82" s="4"/>
      <c r="V82" s="4"/>
      <c r="W82" s="4">
        <v>0</v>
      </c>
      <c r="X82" s="4">
        <v>1</v>
      </c>
      <c r="Y82" s="4">
        <v>0</v>
      </c>
      <c r="Z82" s="4"/>
      <c r="AA82" s="4"/>
      <c r="AB82" s="4"/>
    </row>
    <row r="83" spans="1:28" x14ac:dyDescent="0.2">
      <c r="A83" s="4">
        <v>50</v>
      </c>
      <c r="B83" s="4">
        <v>0</v>
      </c>
      <c r="C83" s="4">
        <v>0</v>
      </c>
      <c r="D83" s="4">
        <v>1</v>
      </c>
      <c r="E83" s="4">
        <v>223</v>
      </c>
      <c r="F83" s="4">
        <f>ROUND(Source!AQ73,O83)</f>
        <v>0</v>
      </c>
      <c r="G83" s="4" t="s">
        <v>52</v>
      </c>
      <c r="H83" s="4" t="s">
        <v>53</v>
      </c>
      <c r="I83" s="4"/>
      <c r="J83" s="4"/>
      <c r="K83" s="4">
        <v>223</v>
      </c>
      <c r="L83" s="4">
        <v>9</v>
      </c>
      <c r="M83" s="4">
        <v>3</v>
      </c>
      <c r="N83" s="4" t="s">
        <v>3</v>
      </c>
      <c r="O83" s="4">
        <v>2</v>
      </c>
      <c r="P83" s="4"/>
      <c r="Q83" s="4"/>
      <c r="R83" s="4"/>
      <c r="S83" s="4"/>
      <c r="T83" s="4"/>
      <c r="U83" s="4"/>
      <c r="V83" s="4"/>
      <c r="W83" s="4">
        <v>0</v>
      </c>
      <c r="X83" s="4">
        <v>1</v>
      </c>
      <c r="Y83" s="4">
        <v>0</v>
      </c>
      <c r="Z83" s="4"/>
      <c r="AA83" s="4"/>
      <c r="AB83" s="4"/>
    </row>
    <row r="84" spans="1:28" x14ac:dyDescent="0.2">
      <c r="A84" s="4">
        <v>50</v>
      </c>
      <c r="B84" s="4">
        <v>0</v>
      </c>
      <c r="C84" s="4">
        <v>0</v>
      </c>
      <c r="D84" s="4">
        <v>1</v>
      </c>
      <c r="E84" s="4">
        <v>229</v>
      </c>
      <c r="F84" s="4">
        <f>ROUND(Source!AZ73,O84)</f>
        <v>0</v>
      </c>
      <c r="G84" s="4" t="s">
        <v>54</v>
      </c>
      <c r="H84" s="4" t="s">
        <v>55</v>
      </c>
      <c r="I84" s="4"/>
      <c r="J84" s="4"/>
      <c r="K84" s="4">
        <v>229</v>
      </c>
      <c r="L84" s="4">
        <v>10</v>
      </c>
      <c r="M84" s="4">
        <v>3</v>
      </c>
      <c r="N84" s="4" t="s">
        <v>3</v>
      </c>
      <c r="O84" s="4">
        <v>2</v>
      </c>
      <c r="P84" s="4"/>
      <c r="Q84" s="4"/>
      <c r="R84" s="4"/>
      <c r="S84" s="4"/>
      <c r="T84" s="4"/>
      <c r="U84" s="4"/>
      <c r="V84" s="4"/>
      <c r="W84" s="4">
        <v>0</v>
      </c>
      <c r="X84" s="4">
        <v>1</v>
      </c>
      <c r="Y84" s="4">
        <v>0</v>
      </c>
      <c r="Z84" s="4"/>
      <c r="AA84" s="4"/>
      <c r="AB84" s="4"/>
    </row>
    <row r="85" spans="1:28" x14ac:dyDescent="0.2">
      <c r="A85" s="4">
        <v>50</v>
      </c>
      <c r="B85" s="4">
        <v>0</v>
      </c>
      <c r="C85" s="4">
        <v>0</v>
      </c>
      <c r="D85" s="4">
        <v>1</v>
      </c>
      <c r="E85" s="4">
        <v>203</v>
      </c>
      <c r="F85" s="4">
        <f>ROUND(Source!Q73,O85)</f>
        <v>3735.75</v>
      </c>
      <c r="G85" s="4" t="s">
        <v>56</v>
      </c>
      <c r="H85" s="4" t="s">
        <v>57</v>
      </c>
      <c r="I85" s="4"/>
      <c r="J85" s="4"/>
      <c r="K85" s="4">
        <v>203</v>
      </c>
      <c r="L85" s="4">
        <v>11</v>
      </c>
      <c r="M85" s="4">
        <v>3</v>
      </c>
      <c r="N85" s="4" t="s">
        <v>3</v>
      </c>
      <c r="O85" s="4">
        <v>2</v>
      </c>
      <c r="P85" s="4"/>
      <c r="Q85" s="4"/>
      <c r="R85" s="4"/>
      <c r="S85" s="4"/>
      <c r="T85" s="4"/>
      <c r="U85" s="4"/>
      <c r="V85" s="4"/>
      <c r="W85" s="4">
        <v>3735.75</v>
      </c>
      <c r="X85" s="4">
        <v>1</v>
      </c>
      <c r="Y85" s="4">
        <v>3735.75</v>
      </c>
      <c r="Z85" s="4"/>
      <c r="AA85" s="4"/>
      <c r="AB85" s="4"/>
    </row>
    <row r="86" spans="1:28" x14ac:dyDescent="0.2">
      <c r="A86" s="4">
        <v>50</v>
      </c>
      <c r="B86" s="4">
        <v>0</v>
      </c>
      <c r="C86" s="4">
        <v>0</v>
      </c>
      <c r="D86" s="4">
        <v>1</v>
      </c>
      <c r="E86" s="4">
        <v>231</v>
      </c>
      <c r="F86" s="4">
        <f>ROUND(Source!BB73,O86)</f>
        <v>0</v>
      </c>
      <c r="G86" s="4" t="s">
        <v>58</v>
      </c>
      <c r="H86" s="4" t="s">
        <v>59</v>
      </c>
      <c r="I86" s="4"/>
      <c r="J86" s="4"/>
      <c r="K86" s="4">
        <v>231</v>
      </c>
      <c r="L86" s="4">
        <v>12</v>
      </c>
      <c r="M86" s="4">
        <v>3</v>
      </c>
      <c r="N86" s="4" t="s">
        <v>3</v>
      </c>
      <c r="O86" s="4">
        <v>2</v>
      </c>
      <c r="P86" s="4"/>
      <c r="Q86" s="4"/>
      <c r="R86" s="4"/>
      <c r="S86" s="4"/>
      <c r="T86" s="4"/>
      <c r="U86" s="4"/>
      <c r="V86" s="4"/>
      <c r="W86" s="4">
        <v>0</v>
      </c>
      <c r="X86" s="4">
        <v>1</v>
      </c>
      <c r="Y86" s="4">
        <v>0</v>
      </c>
      <c r="Z86" s="4"/>
      <c r="AA86" s="4"/>
      <c r="AB86" s="4"/>
    </row>
    <row r="87" spans="1:28" x14ac:dyDescent="0.2">
      <c r="A87" s="4">
        <v>50</v>
      </c>
      <c r="B87" s="4">
        <v>0</v>
      </c>
      <c r="C87" s="4">
        <v>0</v>
      </c>
      <c r="D87" s="4">
        <v>1</v>
      </c>
      <c r="E87" s="4">
        <v>204</v>
      </c>
      <c r="F87" s="4">
        <f>ROUND(Source!R73,O87)</f>
        <v>1928.15</v>
      </c>
      <c r="G87" s="4" t="s">
        <v>60</v>
      </c>
      <c r="H87" s="4" t="s">
        <v>61</v>
      </c>
      <c r="I87" s="4"/>
      <c r="J87" s="4"/>
      <c r="K87" s="4">
        <v>204</v>
      </c>
      <c r="L87" s="4">
        <v>13</v>
      </c>
      <c r="M87" s="4">
        <v>3</v>
      </c>
      <c r="N87" s="4" t="s">
        <v>3</v>
      </c>
      <c r="O87" s="4">
        <v>2</v>
      </c>
      <c r="P87" s="4"/>
      <c r="Q87" s="4"/>
      <c r="R87" s="4"/>
      <c r="S87" s="4"/>
      <c r="T87" s="4"/>
      <c r="U87" s="4"/>
      <c r="V87" s="4"/>
      <c r="W87" s="4">
        <v>1928.15</v>
      </c>
      <c r="X87" s="4">
        <v>1</v>
      </c>
      <c r="Y87" s="4">
        <v>1928.15</v>
      </c>
      <c r="Z87" s="4"/>
      <c r="AA87" s="4"/>
      <c r="AB87" s="4"/>
    </row>
    <row r="88" spans="1:28" x14ac:dyDescent="0.2">
      <c r="A88" s="4">
        <v>50</v>
      </c>
      <c r="B88" s="4">
        <v>0</v>
      </c>
      <c r="C88" s="4">
        <v>0</v>
      </c>
      <c r="D88" s="4">
        <v>1</v>
      </c>
      <c r="E88" s="4">
        <v>205</v>
      </c>
      <c r="F88" s="4">
        <f>ROUND(Source!S73,O88)</f>
        <v>23721.87</v>
      </c>
      <c r="G88" s="4" t="s">
        <v>62</v>
      </c>
      <c r="H88" s="4" t="s">
        <v>63</v>
      </c>
      <c r="I88" s="4"/>
      <c r="J88" s="4"/>
      <c r="K88" s="4">
        <v>205</v>
      </c>
      <c r="L88" s="4">
        <v>14</v>
      </c>
      <c r="M88" s="4">
        <v>3</v>
      </c>
      <c r="N88" s="4" t="s">
        <v>3</v>
      </c>
      <c r="O88" s="4">
        <v>2</v>
      </c>
      <c r="P88" s="4"/>
      <c r="Q88" s="4"/>
      <c r="R88" s="4"/>
      <c r="S88" s="4"/>
      <c r="T88" s="4"/>
      <c r="U88" s="4"/>
      <c r="V88" s="4"/>
      <c r="W88" s="4">
        <v>23721.87</v>
      </c>
      <c r="X88" s="4">
        <v>1</v>
      </c>
      <c r="Y88" s="4">
        <v>23721.87</v>
      </c>
      <c r="Z88" s="4"/>
      <c r="AA88" s="4"/>
      <c r="AB88" s="4"/>
    </row>
    <row r="89" spans="1:28" x14ac:dyDescent="0.2">
      <c r="A89" s="4">
        <v>50</v>
      </c>
      <c r="B89" s="4">
        <v>0</v>
      </c>
      <c r="C89" s="4">
        <v>0</v>
      </c>
      <c r="D89" s="4">
        <v>1</v>
      </c>
      <c r="E89" s="4">
        <v>232</v>
      </c>
      <c r="F89" s="4">
        <f>ROUND(Source!BC73,O89)</f>
        <v>0</v>
      </c>
      <c r="G89" s="4" t="s">
        <v>64</v>
      </c>
      <c r="H89" s="4" t="s">
        <v>65</v>
      </c>
      <c r="I89" s="4"/>
      <c r="J89" s="4"/>
      <c r="K89" s="4">
        <v>232</v>
      </c>
      <c r="L89" s="4">
        <v>15</v>
      </c>
      <c r="M89" s="4">
        <v>3</v>
      </c>
      <c r="N89" s="4" t="s">
        <v>3</v>
      </c>
      <c r="O89" s="4">
        <v>2</v>
      </c>
      <c r="P89" s="4"/>
      <c r="Q89" s="4"/>
      <c r="R89" s="4"/>
      <c r="S89" s="4"/>
      <c r="T89" s="4"/>
      <c r="U89" s="4"/>
      <c r="V89" s="4"/>
      <c r="W89" s="4">
        <v>0</v>
      </c>
      <c r="X89" s="4">
        <v>1</v>
      </c>
      <c r="Y89" s="4">
        <v>0</v>
      </c>
      <c r="Z89" s="4"/>
      <c r="AA89" s="4"/>
      <c r="AB89" s="4"/>
    </row>
    <row r="90" spans="1:28" x14ac:dyDescent="0.2">
      <c r="A90" s="4">
        <v>50</v>
      </c>
      <c r="B90" s="4">
        <v>0</v>
      </c>
      <c r="C90" s="4">
        <v>0</v>
      </c>
      <c r="D90" s="4">
        <v>1</v>
      </c>
      <c r="E90" s="4">
        <v>214</v>
      </c>
      <c r="F90" s="4">
        <f>ROUND(Source!AS73,O90)</f>
        <v>0</v>
      </c>
      <c r="G90" s="4" t="s">
        <v>66</v>
      </c>
      <c r="H90" s="4" t="s">
        <v>67</v>
      </c>
      <c r="I90" s="4"/>
      <c r="J90" s="4"/>
      <c r="K90" s="4">
        <v>214</v>
      </c>
      <c r="L90" s="4">
        <v>16</v>
      </c>
      <c r="M90" s="4">
        <v>3</v>
      </c>
      <c r="N90" s="4" t="s">
        <v>3</v>
      </c>
      <c r="O90" s="4">
        <v>2</v>
      </c>
      <c r="P90" s="4"/>
      <c r="Q90" s="4"/>
      <c r="R90" s="4"/>
      <c r="S90" s="4"/>
      <c r="T90" s="4"/>
      <c r="U90" s="4"/>
      <c r="V90" s="4"/>
      <c r="W90" s="4">
        <v>0</v>
      </c>
      <c r="X90" s="4">
        <v>1</v>
      </c>
      <c r="Y90" s="4">
        <v>0</v>
      </c>
      <c r="Z90" s="4"/>
      <c r="AA90" s="4"/>
      <c r="AB90" s="4"/>
    </row>
    <row r="91" spans="1:28" x14ac:dyDescent="0.2">
      <c r="A91" s="4">
        <v>50</v>
      </c>
      <c r="B91" s="4">
        <v>0</v>
      </c>
      <c r="C91" s="4">
        <v>0</v>
      </c>
      <c r="D91" s="4">
        <v>1</v>
      </c>
      <c r="E91" s="4">
        <v>215</v>
      </c>
      <c r="F91" s="4">
        <f>ROUND(Source!AT73,O91)</f>
        <v>0</v>
      </c>
      <c r="G91" s="4" t="s">
        <v>68</v>
      </c>
      <c r="H91" s="4" t="s">
        <v>69</v>
      </c>
      <c r="I91" s="4"/>
      <c r="J91" s="4"/>
      <c r="K91" s="4">
        <v>215</v>
      </c>
      <c r="L91" s="4">
        <v>17</v>
      </c>
      <c r="M91" s="4">
        <v>3</v>
      </c>
      <c r="N91" s="4" t="s">
        <v>3</v>
      </c>
      <c r="O91" s="4">
        <v>2</v>
      </c>
      <c r="P91" s="4"/>
      <c r="Q91" s="4"/>
      <c r="R91" s="4"/>
      <c r="S91" s="4"/>
      <c r="T91" s="4"/>
      <c r="U91" s="4"/>
      <c r="V91" s="4"/>
      <c r="W91" s="4">
        <v>0</v>
      </c>
      <c r="X91" s="4">
        <v>1</v>
      </c>
      <c r="Y91" s="4">
        <v>0</v>
      </c>
      <c r="Z91" s="4"/>
      <c r="AA91" s="4"/>
      <c r="AB91" s="4"/>
    </row>
    <row r="92" spans="1:28" x14ac:dyDescent="0.2">
      <c r="A92" s="4">
        <v>50</v>
      </c>
      <c r="B92" s="4">
        <v>0</v>
      </c>
      <c r="C92" s="4">
        <v>0</v>
      </c>
      <c r="D92" s="4">
        <v>1</v>
      </c>
      <c r="E92" s="4">
        <v>217</v>
      </c>
      <c r="F92" s="4">
        <f>ROUND(Source!AU73,O92)</f>
        <v>94752.34</v>
      </c>
      <c r="G92" s="4" t="s">
        <v>70</v>
      </c>
      <c r="H92" s="4" t="s">
        <v>71</v>
      </c>
      <c r="I92" s="4"/>
      <c r="J92" s="4"/>
      <c r="K92" s="4">
        <v>217</v>
      </c>
      <c r="L92" s="4">
        <v>18</v>
      </c>
      <c r="M92" s="4">
        <v>3</v>
      </c>
      <c r="N92" s="4" t="s">
        <v>3</v>
      </c>
      <c r="O92" s="4">
        <v>2</v>
      </c>
      <c r="P92" s="4"/>
      <c r="Q92" s="4"/>
      <c r="R92" s="4"/>
      <c r="S92" s="4"/>
      <c r="T92" s="4"/>
      <c r="U92" s="4"/>
      <c r="V92" s="4"/>
      <c r="W92" s="4">
        <v>94752.34</v>
      </c>
      <c r="X92" s="4">
        <v>1</v>
      </c>
      <c r="Y92" s="4">
        <v>94752.34</v>
      </c>
      <c r="Z92" s="4"/>
      <c r="AA92" s="4"/>
      <c r="AB92" s="4"/>
    </row>
    <row r="93" spans="1:28" x14ac:dyDescent="0.2">
      <c r="A93" s="4">
        <v>50</v>
      </c>
      <c r="B93" s="4">
        <v>0</v>
      </c>
      <c r="C93" s="4">
        <v>0</v>
      </c>
      <c r="D93" s="4">
        <v>1</v>
      </c>
      <c r="E93" s="4">
        <v>230</v>
      </c>
      <c r="F93" s="4">
        <f>ROUND(Source!BA73,O93)</f>
        <v>0</v>
      </c>
      <c r="G93" s="4" t="s">
        <v>72</v>
      </c>
      <c r="H93" s="4" t="s">
        <v>73</v>
      </c>
      <c r="I93" s="4"/>
      <c r="J93" s="4"/>
      <c r="K93" s="4">
        <v>230</v>
      </c>
      <c r="L93" s="4">
        <v>19</v>
      </c>
      <c r="M93" s="4">
        <v>3</v>
      </c>
      <c r="N93" s="4" t="s">
        <v>3</v>
      </c>
      <c r="O93" s="4">
        <v>2</v>
      </c>
      <c r="P93" s="4"/>
      <c r="Q93" s="4"/>
      <c r="R93" s="4"/>
      <c r="S93" s="4"/>
      <c r="T93" s="4"/>
      <c r="U93" s="4"/>
      <c r="V93" s="4"/>
      <c r="W93" s="4">
        <v>0</v>
      </c>
      <c r="X93" s="4">
        <v>1</v>
      </c>
      <c r="Y93" s="4">
        <v>0</v>
      </c>
      <c r="Z93" s="4"/>
      <c r="AA93" s="4"/>
      <c r="AB93" s="4"/>
    </row>
    <row r="94" spans="1:28" x14ac:dyDescent="0.2">
      <c r="A94" s="4">
        <v>50</v>
      </c>
      <c r="B94" s="4">
        <v>0</v>
      </c>
      <c r="C94" s="4">
        <v>0</v>
      </c>
      <c r="D94" s="4">
        <v>1</v>
      </c>
      <c r="E94" s="4">
        <v>206</v>
      </c>
      <c r="F94" s="4">
        <f>ROUND(Source!T73,O94)</f>
        <v>0</v>
      </c>
      <c r="G94" s="4" t="s">
        <v>74</v>
      </c>
      <c r="H94" s="4" t="s">
        <v>75</v>
      </c>
      <c r="I94" s="4"/>
      <c r="J94" s="4"/>
      <c r="K94" s="4">
        <v>206</v>
      </c>
      <c r="L94" s="4">
        <v>20</v>
      </c>
      <c r="M94" s="4">
        <v>3</v>
      </c>
      <c r="N94" s="4" t="s">
        <v>3</v>
      </c>
      <c r="O94" s="4">
        <v>2</v>
      </c>
      <c r="P94" s="4"/>
      <c r="Q94" s="4"/>
      <c r="R94" s="4"/>
      <c r="S94" s="4"/>
      <c r="T94" s="4"/>
      <c r="U94" s="4"/>
      <c r="V94" s="4"/>
      <c r="W94" s="4">
        <v>0</v>
      </c>
      <c r="X94" s="4">
        <v>1</v>
      </c>
      <c r="Y94" s="4">
        <v>0</v>
      </c>
      <c r="Z94" s="4"/>
      <c r="AA94" s="4"/>
      <c r="AB94" s="4"/>
    </row>
    <row r="95" spans="1:28" x14ac:dyDescent="0.2">
      <c r="A95" s="4">
        <v>50</v>
      </c>
      <c r="B95" s="4">
        <v>0</v>
      </c>
      <c r="C95" s="4">
        <v>0</v>
      </c>
      <c r="D95" s="4">
        <v>1</v>
      </c>
      <c r="E95" s="4">
        <v>207</v>
      </c>
      <c r="F95" s="4">
        <f>Source!U73</f>
        <v>47.286000000000001</v>
      </c>
      <c r="G95" s="4" t="s">
        <v>76</v>
      </c>
      <c r="H95" s="4" t="s">
        <v>77</v>
      </c>
      <c r="I95" s="4"/>
      <c r="J95" s="4"/>
      <c r="K95" s="4">
        <v>207</v>
      </c>
      <c r="L95" s="4">
        <v>21</v>
      </c>
      <c r="M95" s="4">
        <v>3</v>
      </c>
      <c r="N95" s="4" t="s">
        <v>3</v>
      </c>
      <c r="O95" s="4">
        <v>-1</v>
      </c>
      <c r="P95" s="4"/>
      <c r="Q95" s="4"/>
      <c r="R95" s="4"/>
      <c r="S95" s="4"/>
      <c r="T95" s="4"/>
      <c r="U95" s="4"/>
      <c r="V95" s="4"/>
      <c r="W95" s="4">
        <v>47.286000000000001</v>
      </c>
      <c r="X95" s="4">
        <v>1</v>
      </c>
      <c r="Y95" s="4">
        <v>47.286000000000001</v>
      </c>
      <c r="Z95" s="4"/>
      <c r="AA95" s="4"/>
      <c r="AB95" s="4"/>
    </row>
    <row r="96" spans="1:28" x14ac:dyDescent="0.2">
      <c r="A96" s="4">
        <v>50</v>
      </c>
      <c r="B96" s="4">
        <v>0</v>
      </c>
      <c r="C96" s="4">
        <v>0</v>
      </c>
      <c r="D96" s="4">
        <v>1</v>
      </c>
      <c r="E96" s="4">
        <v>208</v>
      </c>
      <c r="F96" s="4">
        <f>Source!V73</f>
        <v>0</v>
      </c>
      <c r="G96" s="4" t="s">
        <v>78</v>
      </c>
      <c r="H96" s="4" t="s">
        <v>79</v>
      </c>
      <c r="I96" s="4"/>
      <c r="J96" s="4"/>
      <c r="K96" s="4">
        <v>208</v>
      </c>
      <c r="L96" s="4">
        <v>22</v>
      </c>
      <c r="M96" s="4">
        <v>3</v>
      </c>
      <c r="N96" s="4" t="s">
        <v>3</v>
      </c>
      <c r="O96" s="4">
        <v>-1</v>
      </c>
      <c r="P96" s="4"/>
      <c r="Q96" s="4"/>
      <c r="R96" s="4"/>
      <c r="S96" s="4"/>
      <c r="T96" s="4"/>
      <c r="U96" s="4"/>
      <c r="V96" s="4"/>
      <c r="W96" s="4">
        <v>0</v>
      </c>
      <c r="X96" s="4">
        <v>1</v>
      </c>
      <c r="Y96" s="4">
        <v>0</v>
      </c>
      <c r="Z96" s="4"/>
      <c r="AA96" s="4"/>
      <c r="AB96" s="4"/>
    </row>
    <row r="97" spans="1:245" x14ac:dyDescent="0.2">
      <c r="A97" s="4">
        <v>50</v>
      </c>
      <c r="B97" s="4">
        <v>0</v>
      </c>
      <c r="C97" s="4">
        <v>0</v>
      </c>
      <c r="D97" s="4">
        <v>1</v>
      </c>
      <c r="E97" s="4">
        <v>209</v>
      </c>
      <c r="F97" s="4">
        <f>ROUND(Source!W73,O97)</f>
        <v>0</v>
      </c>
      <c r="G97" s="4" t="s">
        <v>80</v>
      </c>
      <c r="H97" s="4" t="s">
        <v>81</v>
      </c>
      <c r="I97" s="4"/>
      <c r="J97" s="4"/>
      <c r="K97" s="4">
        <v>209</v>
      </c>
      <c r="L97" s="4">
        <v>23</v>
      </c>
      <c r="M97" s="4">
        <v>3</v>
      </c>
      <c r="N97" s="4" t="s">
        <v>3</v>
      </c>
      <c r="O97" s="4">
        <v>2</v>
      </c>
      <c r="P97" s="4"/>
      <c r="Q97" s="4"/>
      <c r="R97" s="4"/>
      <c r="S97" s="4"/>
      <c r="T97" s="4"/>
      <c r="U97" s="4"/>
      <c r="V97" s="4"/>
      <c r="W97" s="4">
        <v>0</v>
      </c>
      <c r="X97" s="4">
        <v>1</v>
      </c>
      <c r="Y97" s="4">
        <v>0</v>
      </c>
      <c r="Z97" s="4"/>
      <c r="AA97" s="4"/>
      <c r="AB97" s="4"/>
    </row>
    <row r="98" spans="1:245" x14ac:dyDescent="0.2">
      <c r="A98" s="4">
        <v>50</v>
      </c>
      <c r="B98" s="4">
        <v>0</v>
      </c>
      <c r="C98" s="4">
        <v>0</v>
      </c>
      <c r="D98" s="4">
        <v>1</v>
      </c>
      <c r="E98" s="4">
        <v>233</v>
      </c>
      <c r="F98" s="4">
        <f>ROUND(Source!BD73,O98)</f>
        <v>0</v>
      </c>
      <c r="G98" s="4" t="s">
        <v>82</v>
      </c>
      <c r="H98" s="4" t="s">
        <v>83</v>
      </c>
      <c r="I98" s="4"/>
      <c r="J98" s="4"/>
      <c r="K98" s="4">
        <v>233</v>
      </c>
      <c r="L98" s="4">
        <v>24</v>
      </c>
      <c r="M98" s="4">
        <v>3</v>
      </c>
      <c r="N98" s="4" t="s">
        <v>3</v>
      </c>
      <c r="O98" s="4">
        <v>2</v>
      </c>
      <c r="P98" s="4"/>
      <c r="Q98" s="4"/>
      <c r="R98" s="4"/>
      <c r="S98" s="4"/>
      <c r="T98" s="4"/>
      <c r="U98" s="4"/>
      <c r="V98" s="4"/>
      <c r="W98" s="4">
        <v>0</v>
      </c>
      <c r="X98" s="4">
        <v>1</v>
      </c>
      <c r="Y98" s="4">
        <v>0</v>
      </c>
      <c r="Z98" s="4"/>
      <c r="AA98" s="4"/>
      <c r="AB98" s="4"/>
    </row>
    <row r="99" spans="1:245" x14ac:dyDescent="0.2">
      <c r="A99" s="4">
        <v>50</v>
      </c>
      <c r="B99" s="4">
        <v>0</v>
      </c>
      <c r="C99" s="4">
        <v>0</v>
      </c>
      <c r="D99" s="4">
        <v>1</v>
      </c>
      <c r="E99" s="4">
        <v>210</v>
      </c>
      <c r="F99" s="4">
        <f>ROUND(Source!X73,O99)</f>
        <v>16605.3</v>
      </c>
      <c r="G99" s="4" t="s">
        <v>84</v>
      </c>
      <c r="H99" s="4" t="s">
        <v>85</v>
      </c>
      <c r="I99" s="4"/>
      <c r="J99" s="4"/>
      <c r="K99" s="4">
        <v>210</v>
      </c>
      <c r="L99" s="4">
        <v>25</v>
      </c>
      <c r="M99" s="4">
        <v>3</v>
      </c>
      <c r="N99" s="4" t="s">
        <v>3</v>
      </c>
      <c r="O99" s="4">
        <v>2</v>
      </c>
      <c r="P99" s="4"/>
      <c r="Q99" s="4"/>
      <c r="R99" s="4"/>
      <c r="S99" s="4"/>
      <c r="T99" s="4"/>
      <c r="U99" s="4"/>
      <c r="V99" s="4"/>
      <c r="W99" s="4">
        <v>16605.3</v>
      </c>
      <c r="X99" s="4">
        <v>1</v>
      </c>
      <c r="Y99" s="4">
        <v>16605.3</v>
      </c>
      <c r="Z99" s="4"/>
      <c r="AA99" s="4"/>
      <c r="AB99" s="4"/>
    </row>
    <row r="100" spans="1:245" x14ac:dyDescent="0.2">
      <c r="A100" s="4">
        <v>50</v>
      </c>
      <c r="B100" s="4">
        <v>0</v>
      </c>
      <c r="C100" s="4">
        <v>0</v>
      </c>
      <c r="D100" s="4">
        <v>1</v>
      </c>
      <c r="E100" s="4">
        <v>211</v>
      </c>
      <c r="F100" s="4">
        <f>ROUND(Source!Y73,O100)</f>
        <v>2372.19</v>
      </c>
      <c r="G100" s="4" t="s">
        <v>86</v>
      </c>
      <c r="H100" s="4" t="s">
        <v>87</v>
      </c>
      <c r="I100" s="4"/>
      <c r="J100" s="4"/>
      <c r="K100" s="4">
        <v>211</v>
      </c>
      <c r="L100" s="4">
        <v>26</v>
      </c>
      <c r="M100" s="4">
        <v>3</v>
      </c>
      <c r="N100" s="4" t="s">
        <v>3</v>
      </c>
      <c r="O100" s="4">
        <v>2</v>
      </c>
      <c r="P100" s="4"/>
      <c r="Q100" s="4"/>
      <c r="R100" s="4"/>
      <c r="S100" s="4"/>
      <c r="T100" s="4"/>
      <c r="U100" s="4"/>
      <c r="V100" s="4"/>
      <c r="W100" s="4">
        <v>2372.19</v>
      </c>
      <c r="X100" s="4">
        <v>1</v>
      </c>
      <c r="Y100" s="4">
        <v>2372.19</v>
      </c>
      <c r="Z100" s="4"/>
      <c r="AA100" s="4"/>
      <c r="AB100" s="4"/>
    </row>
    <row r="101" spans="1:245" x14ac:dyDescent="0.2">
      <c r="A101" s="4">
        <v>50</v>
      </c>
      <c r="B101" s="4">
        <v>0</v>
      </c>
      <c r="C101" s="4">
        <v>0</v>
      </c>
      <c r="D101" s="4">
        <v>1</v>
      </c>
      <c r="E101" s="4">
        <v>224</v>
      </c>
      <c r="F101" s="4">
        <f>ROUND(Source!AR73,O101)</f>
        <v>94752.34</v>
      </c>
      <c r="G101" s="4" t="s">
        <v>88</v>
      </c>
      <c r="H101" s="4" t="s">
        <v>89</v>
      </c>
      <c r="I101" s="4"/>
      <c r="J101" s="4"/>
      <c r="K101" s="4">
        <v>224</v>
      </c>
      <c r="L101" s="4">
        <v>27</v>
      </c>
      <c r="M101" s="4">
        <v>3</v>
      </c>
      <c r="N101" s="4" t="s">
        <v>3</v>
      </c>
      <c r="O101" s="4">
        <v>2</v>
      </c>
      <c r="P101" s="4"/>
      <c r="Q101" s="4"/>
      <c r="R101" s="4"/>
      <c r="S101" s="4"/>
      <c r="T101" s="4"/>
      <c r="U101" s="4"/>
      <c r="V101" s="4"/>
      <c r="W101" s="4">
        <v>94752.34</v>
      </c>
      <c r="X101" s="4">
        <v>1</v>
      </c>
      <c r="Y101" s="4">
        <v>94752.34</v>
      </c>
      <c r="Z101" s="4"/>
      <c r="AA101" s="4"/>
      <c r="AB101" s="4"/>
    </row>
    <row r="103" spans="1:245" x14ac:dyDescent="0.2">
      <c r="A103" s="1">
        <v>4</v>
      </c>
      <c r="B103" s="1">
        <v>1</v>
      </c>
      <c r="C103" s="1"/>
      <c r="D103" s="1">
        <f>ROW(A111)</f>
        <v>111</v>
      </c>
      <c r="E103" s="1"/>
      <c r="F103" s="1" t="s">
        <v>13</v>
      </c>
      <c r="G103" s="1" t="s">
        <v>112</v>
      </c>
      <c r="H103" s="1" t="s">
        <v>3</v>
      </c>
      <c r="I103" s="1">
        <v>0</v>
      </c>
      <c r="J103" s="1"/>
      <c r="K103" s="1">
        <v>0</v>
      </c>
      <c r="L103" s="1"/>
      <c r="M103" s="1" t="s">
        <v>3</v>
      </c>
      <c r="N103" s="1"/>
      <c r="O103" s="1"/>
      <c r="P103" s="1"/>
      <c r="Q103" s="1"/>
      <c r="R103" s="1"/>
      <c r="S103" s="1">
        <v>0</v>
      </c>
      <c r="T103" s="1"/>
      <c r="U103" s="1" t="s">
        <v>3</v>
      </c>
      <c r="V103" s="1">
        <v>0</v>
      </c>
      <c r="W103" s="1"/>
      <c r="X103" s="1"/>
      <c r="Y103" s="1"/>
      <c r="Z103" s="1"/>
      <c r="AA103" s="1"/>
      <c r="AB103" s="1" t="s">
        <v>3</v>
      </c>
      <c r="AC103" s="1" t="s">
        <v>3</v>
      </c>
      <c r="AD103" s="1" t="s">
        <v>3</v>
      </c>
      <c r="AE103" s="1" t="s">
        <v>3</v>
      </c>
      <c r="AF103" s="1" t="s">
        <v>3</v>
      </c>
      <c r="AG103" s="1" t="s">
        <v>3</v>
      </c>
      <c r="AH103" s="1"/>
      <c r="AI103" s="1"/>
      <c r="AJ103" s="1"/>
      <c r="AK103" s="1"/>
      <c r="AL103" s="1"/>
      <c r="AM103" s="1"/>
      <c r="AN103" s="1"/>
      <c r="AO103" s="1"/>
      <c r="AP103" s="1" t="s">
        <v>3</v>
      </c>
      <c r="AQ103" s="1" t="s">
        <v>3</v>
      </c>
      <c r="AR103" s="1" t="s">
        <v>3</v>
      </c>
      <c r="AS103" s="1"/>
      <c r="AT103" s="1"/>
      <c r="AU103" s="1"/>
      <c r="AV103" s="1"/>
      <c r="AW103" s="1"/>
      <c r="AX103" s="1"/>
      <c r="AY103" s="1"/>
      <c r="AZ103" s="1" t="s">
        <v>3</v>
      </c>
      <c r="BA103" s="1"/>
      <c r="BB103" s="1" t="s">
        <v>3</v>
      </c>
      <c r="BC103" s="1" t="s">
        <v>3</v>
      </c>
      <c r="BD103" s="1" t="s">
        <v>3</v>
      </c>
      <c r="BE103" s="1" t="s">
        <v>3</v>
      </c>
      <c r="BF103" s="1" t="s">
        <v>3</v>
      </c>
      <c r="BG103" s="1" t="s">
        <v>3</v>
      </c>
      <c r="BH103" s="1" t="s">
        <v>3</v>
      </c>
      <c r="BI103" s="1" t="s">
        <v>3</v>
      </c>
      <c r="BJ103" s="1" t="s">
        <v>3</v>
      </c>
      <c r="BK103" s="1" t="s">
        <v>3</v>
      </c>
      <c r="BL103" s="1" t="s">
        <v>3</v>
      </c>
      <c r="BM103" s="1" t="s">
        <v>3</v>
      </c>
      <c r="BN103" s="1" t="s">
        <v>3</v>
      </c>
      <c r="BO103" s="1" t="s">
        <v>3</v>
      </c>
      <c r="BP103" s="1" t="s">
        <v>3</v>
      </c>
      <c r="BQ103" s="1"/>
      <c r="BR103" s="1"/>
      <c r="BS103" s="1"/>
      <c r="BT103" s="1"/>
      <c r="BU103" s="1"/>
      <c r="BV103" s="1"/>
      <c r="BW103" s="1"/>
      <c r="BX103" s="1">
        <v>0</v>
      </c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>
        <v>0</v>
      </c>
    </row>
    <row r="105" spans="1:245" x14ac:dyDescent="0.2">
      <c r="A105" s="2">
        <v>52</v>
      </c>
      <c r="B105" s="2">
        <f t="shared" ref="B105:G105" si="40">B111</f>
        <v>1</v>
      </c>
      <c r="C105" s="2">
        <f t="shared" si="40"/>
        <v>4</v>
      </c>
      <c r="D105" s="2">
        <f t="shared" si="40"/>
        <v>103</v>
      </c>
      <c r="E105" s="2">
        <f t="shared" si="40"/>
        <v>0</v>
      </c>
      <c r="F105" s="2" t="str">
        <f t="shared" si="40"/>
        <v>Новый раздел</v>
      </c>
      <c r="G105" s="2" t="str">
        <f t="shared" si="40"/>
        <v>Мусор</v>
      </c>
      <c r="H105" s="2"/>
      <c r="I105" s="2"/>
      <c r="J105" s="2"/>
      <c r="K105" s="2"/>
      <c r="L105" s="2"/>
      <c r="M105" s="2"/>
      <c r="N105" s="2"/>
      <c r="O105" s="2">
        <f t="shared" ref="O105:AT105" si="41">O111</f>
        <v>6203.77</v>
      </c>
      <c r="P105" s="2">
        <f t="shared" si="41"/>
        <v>0</v>
      </c>
      <c r="Q105" s="2">
        <f t="shared" si="41"/>
        <v>6203.77</v>
      </c>
      <c r="R105" s="2">
        <f t="shared" si="41"/>
        <v>3726.06</v>
      </c>
      <c r="S105" s="2">
        <f t="shared" si="41"/>
        <v>0</v>
      </c>
      <c r="T105" s="2">
        <f t="shared" si="41"/>
        <v>0</v>
      </c>
      <c r="U105" s="2">
        <f t="shared" si="41"/>
        <v>0</v>
      </c>
      <c r="V105" s="2">
        <f t="shared" si="41"/>
        <v>0</v>
      </c>
      <c r="W105" s="2">
        <f t="shared" si="41"/>
        <v>0</v>
      </c>
      <c r="X105" s="2">
        <f t="shared" si="41"/>
        <v>0</v>
      </c>
      <c r="Y105" s="2">
        <f t="shared" si="41"/>
        <v>0</v>
      </c>
      <c r="Z105" s="2">
        <f t="shared" si="41"/>
        <v>0</v>
      </c>
      <c r="AA105" s="2">
        <f t="shared" si="41"/>
        <v>0</v>
      </c>
      <c r="AB105" s="2">
        <f t="shared" si="41"/>
        <v>6203.77</v>
      </c>
      <c r="AC105" s="2">
        <f t="shared" si="41"/>
        <v>0</v>
      </c>
      <c r="AD105" s="2">
        <f t="shared" si="41"/>
        <v>6203.77</v>
      </c>
      <c r="AE105" s="2">
        <f t="shared" si="41"/>
        <v>3726.06</v>
      </c>
      <c r="AF105" s="2">
        <f t="shared" si="41"/>
        <v>0</v>
      </c>
      <c r="AG105" s="2">
        <f t="shared" si="41"/>
        <v>0</v>
      </c>
      <c r="AH105" s="2">
        <f t="shared" si="41"/>
        <v>0</v>
      </c>
      <c r="AI105" s="2">
        <f t="shared" si="41"/>
        <v>0</v>
      </c>
      <c r="AJ105" s="2">
        <f t="shared" si="41"/>
        <v>0</v>
      </c>
      <c r="AK105" s="2">
        <f t="shared" si="41"/>
        <v>0</v>
      </c>
      <c r="AL105" s="2">
        <f t="shared" si="41"/>
        <v>0</v>
      </c>
      <c r="AM105" s="2">
        <f t="shared" si="41"/>
        <v>0</v>
      </c>
      <c r="AN105" s="2">
        <f t="shared" si="41"/>
        <v>0</v>
      </c>
      <c r="AO105" s="2">
        <f t="shared" si="41"/>
        <v>0</v>
      </c>
      <c r="AP105" s="2">
        <f t="shared" si="41"/>
        <v>0</v>
      </c>
      <c r="AQ105" s="2">
        <f t="shared" si="41"/>
        <v>0</v>
      </c>
      <c r="AR105" s="2">
        <f t="shared" si="41"/>
        <v>6351.58</v>
      </c>
      <c r="AS105" s="2">
        <f t="shared" si="41"/>
        <v>0</v>
      </c>
      <c r="AT105" s="2">
        <f t="shared" si="41"/>
        <v>0</v>
      </c>
      <c r="AU105" s="2">
        <f t="shared" ref="AU105:BZ105" si="42">AU111</f>
        <v>6351.58</v>
      </c>
      <c r="AV105" s="2">
        <f t="shared" si="42"/>
        <v>0</v>
      </c>
      <c r="AW105" s="2">
        <f t="shared" si="42"/>
        <v>0</v>
      </c>
      <c r="AX105" s="2">
        <f t="shared" si="42"/>
        <v>0</v>
      </c>
      <c r="AY105" s="2">
        <f t="shared" si="42"/>
        <v>0</v>
      </c>
      <c r="AZ105" s="2">
        <f t="shared" si="42"/>
        <v>0</v>
      </c>
      <c r="BA105" s="2">
        <f t="shared" si="42"/>
        <v>0</v>
      </c>
      <c r="BB105" s="2">
        <f t="shared" si="42"/>
        <v>0</v>
      </c>
      <c r="BC105" s="2">
        <f t="shared" si="42"/>
        <v>0</v>
      </c>
      <c r="BD105" s="2">
        <f t="shared" si="42"/>
        <v>0</v>
      </c>
      <c r="BE105" s="2">
        <f t="shared" si="42"/>
        <v>0</v>
      </c>
      <c r="BF105" s="2">
        <f t="shared" si="42"/>
        <v>0</v>
      </c>
      <c r="BG105" s="2">
        <f t="shared" si="42"/>
        <v>0</v>
      </c>
      <c r="BH105" s="2">
        <f t="shared" si="42"/>
        <v>0</v>
      </c>
      <c r="BI105" s="2">
        <f t="shared" si="42"/>
        <v>0</v>
      </c>
      <c r="BJ105" s="2">
        <f t="shared" si="42"/>
        <v>0</v>
      </c>
      <c r="BK105" s="2">
        <f t="shared" si="42"/>
        <v>0</v>
      </c>
      <c r="BL105" s="2">
        <f t="shared" si="42"/>
        <v>0</v>
      </c>
      <c r="BM105" s="2">
        <f t="shared" si="42"/>
        <v>0</v>
      </c>
      <c r="BN105" s="2">
        <f t="shared" si="42"/>
        <v>0</v>
      </c>
      <c r="BO105" s="2">
        <f t="shared" si="42"/>
        <v>0</v>
      </c>
      <c r="BP105" s="2">
        <f t="shared" si="42"/>
        <v>0</v>
      </c>
      <c r="BQ105" s="2">
        <f t="shared" si="42"/>
        <v>0</v>
      </c>
      <c r="BR105" s="2">
        <f t="shared" si="42"/>
        <v>0</v>
      </c>
      <c r="BS105" s="2">
        <f t="shared" si="42"/>
        <v>0</v>
      </c>
      <c r="BT105" s="2">
        <f t="shared" si="42"/>
        <v>0</v>
      </c>
      <c r="BU105" s="2">
        <f t="shared" si="42"/>
        <v>0</v>
      </c>
      <c r="BV105" s="2">
        <f t="shared" si="42"/>
        <v>0</v>
      </c>
      <c r="BW105" s="2">
        <f t="shared" si="42"/>
        <v>0</v>
      </c>
      <c r="BX105" s="2">
        <f t="shared" si="42"/>
        <v>0</v>
      </c>
      <c r="BY105" s="2">
        <f t="shared" si="42"/>
        <v>0</v>
      </c>
      <c r="BZ105" s="2">
        <f t="shared" si="42"/>
        <v>0</v>
      </c>
      <c r="CA105" s="2">
        <f t="shared" ref="CA105:DF105" si="43">CA111</f>
        <v>6351.58</v>
      </c>
      <c r="CB105" s="2">
        <f t="shared" si="43"/>
        <v>0</v>
      </c>
      <c r="CC105" s="2">
        <f t="shared" si="43"/>
        <v>0</v>
      </c>
      <c r="CD105" s="2">
        <f t="shared" si="43"/>
        <v>6351.58</v>
      </c>
      <c r="CE105" s="2">
        <f t="shared" si="43"/>
        <v>0</v>
      </c>
      <c r="CF105" s="2">
        <f t="shared" si="43"/>
        <v>0</v>
      </c>
      <c r="CG105" s="2">
        <f t="shared" si="43"/>
        <v>0</v>
      </c>
      <c r="CH105" s="2">
        <f t="shared" si="43"/>
        <v>0</v>
      </c>
      <c r="CI105" s="2">
        <f t="shared" si="43"/>
        <v>0</v>
      </c>
      <c r="CJ105" s="2">
        <f t="shared" si="43"/>
        <v>0</v>
      </c>
      <c r="CK105" s="2">
        <f t="shared" si="43"/>
        <v>0</v>
      </c>
      <c r="CL105" s="2">
        <f t="shared" si="43"/>
        <v>0</v>
      </c>
      <c r="CM105" s="2">
        <f t="shared" si="43"/>
        <v>0</v>
      </c>
      <c r="CN105" s="2">
        <f t="shared" si="43"/>
        <v>0</v>
      </c>
      <c r="CO105" s="2">
        <f t="shared" si="43"/>
        <v>0</v>
      </c>
      <c r="CP105" s="2">
        <f t="shared" si="43"/>
        <v>0</v>
      </c>
      <c r="CQ105" s="2">
        <f t="shared" si="43"/>
        <v>0</v>
      </c>
      <c r="CR105" s="2">
        <f t="shared" si="43"/>
        <v>0</v>
      </c>
      <c r="CS105" s="2">
        <f t="shared" si="43"/>
        <v>0</v>
      </c>
      <c r="CT105" s="2">
        <f t="shared" si="43"/>
        <v>0</v>
      </c>
      <c r="CU105" s="2">
        <f t="shared" si="43"/>
        <v>0</v>
      </c>
      <c r="CV105" s="2">
        <f t="shared" si="43"/>
        <v>0</v>
      </c>
      <c r="CW105" s="2">
        <f t="shared" si="43"/>
        <v>0</v>
      </c>
      <c r="CX105" s="2">
        <f t="shared" si="43"/>
        <v>0</v>
      </c>
      <c r="CY105" s="2">
        <f t="shared" si="43"/>
        <v>0</v>
      </c>
      <c r="CZ105" s="2">
        <f t="shared" si="43"/>
        <v>0</v>
      </c>
      <c r="DA105" s="2">
        <f t="shared" si="43"/>
        <v>0</v>
      </c>
      <c r="DB105" s="2">
        <f t="shared" si="43"/>
        <v>0</v>
      </c>
      <c r="DC105" s="2">
        <f t="shared" si="43"/>
        <v>0</v>
      </c>
      <c r="DD105" s="2">
        <f t="shared" si="43"/>
        <v>0</v>
      </c>
      <c r="DE105" s="2">
        <f t="shared" si="43"/>
        <v>0</v>
      </c>
      <c r="DF105" s="2">
        <f t="shared" si="43"/>
        <v>0</v>
      </c>
      <c r="DG105" s="3">
        <f t="shared" ref="DG105:EL105" si="44">DG111</f>
        <v>0</v>
      </c>
      <c r="DH105" s="3">
        <f t="shared" si="44"/>
        <v>0</v>
      </c>
      <c r="DI105" s="3">
        <f t="shared" si="44"/>
        <v>0</v>
      </c>
      <c r="DJ105" s="3">
        <f t="shared" si="44"/>
        <v>0</v>
      </c>
      <c r="DK105" s="3">
        <f t="shared" si="44"/>
        <v>0</v>
      </c>
      <c r="DL105" s="3">
        <f t="shared" si="44"/>
        <v>0</v>
      </c>
      <c r="DM105" s="3">
        <f t="shared" si="44"/>
        <v>0</v>
      </c>
      <c r="DN105" s="3">
        <f t="shared" si="44"/>
        <v>0</v>
      </c>
      <c r="DO105" s="3">
        <f t="shared" si="44"/>
        <v>0</v>
      </c>
      <c r="DP105" s="3">
        <f t="shared" si="44"/>
        <v>0</v>
      </c>
      <c r="DQ105" s="3">
        <f t="shared" si="44"/>
        <v>0</v>
      </c>
      <c r="DR105" s="3">
        <f t="shared" si="44"/>
        <v>0</v>
      </c>
      <c r="DS105" s="3">
        <f t="shared" si="44"/>
        <v>0</v>
      </c>
      <c r="DT105" s="3">
        <f t="shared" si="44"/>
        <v>0</v>
      </c>
      <c r="DU105" s="3">
        <f t="shared" si="44"/>
        <v>0</v>
      </c>
      <c r="DV105" s="3">
        <f t="shared" si="44"/>
        <v>0</v>
      </c>
      <c r="DW105" s="3">
        <f t="shared" si="44"/>
        <v>0</v>
      </c>
      <c r="DX105" s="3">
        <f t="shared" si="44"/>
        <v>0</v>
      </c>
      <c r="DY105" s="3">
        <f t="shared" si="44"/>
        <v>0</v>
      </c>
      <c r="DZ105" s="3">
        <f t="shared" si="44"/>
        <v>0</v>
      </c>
      <c r="EA105" s="3">
        <f t="shared" si="44"/>
        <v>0</v>
      </c>
      <c r="EB105" s="3">
        <f t="shared" si="44"/>
        <v>0</v>
      </c>
      <c r="EC105" s="3">
        <f t="shared" si="44"/>
        <v>0</v>
      </c>
      <c r="ED105" s="3">
        <f t="shared" si="44"/>
        <v>0</v>
      </c>
      <c r="EE105" s="3">
        <f t="shared" si="44"/>
        <v>0</v>
      </c>
      <c r="EF105" s="3">
        <f t="shared" si="44"/>
        <v>0</v>
      </c>
      <c r="EG105" s="3">
        <f t="shared" si="44"/>
        <v>0</v>
      </c>
      <c r="EH105" s="3">
        <f t="shared" si="44"/>
        <v>0</v>
      </c>
      <c r="EI105" s="3">
        <f t="shared" si="44"/>
        <v>0</v>
      </c>
      <c r="EJ105" s="3">
        <f t="shared" si="44"/>
        <v>0</v>
      </c>
      <c r="EK105" s="3">
        <f t="shared" si="44"/>
        <v>0</v>
      </c>
      <c r="EL105" s="3">
        <f t="shared" si="44"/>
        <v>0</v>
      </c>
      <c r="EM105" s="3">
        <f t="shared" ref="EM105:FR105" si="45">EM111</f>
        <v>0</v>
      </c>
      <c r="EN105" s="3">
        <f t="shared" si="45"/>
        <v>0</v>
      </c>
      <c r="EO105" s="3">
        <f t="shared" si="45"/>
        <v>0</v>
      </c>
      <c r="EP105" s="3">
        <f t="shared" si="45"/>
        <v>0</v>
      </c>
      <c r="EQ105" s="3">
        <f t="shared" si="45"/>
        <v>0</v>
      </c>
      <c r="ER105" s="3">
        <f t="shared" si="45"/>
        <v>0</v>
      </c>
      <c r="ES105" s="3">
        <f t="shared" si="45"/>
        <v>0</v>
      </c>
      <c r="ET105" s="3">
        <f t="shared" si="45"/>
        <v>0</v>
      </c>
      <c r="EU105" s="3">
        <f t="shared" si="45"/>
        <v>0</v>
      </c>
      <c r="EV105" s="3">
        <f t="shared" si="45"/>
        <v>0</v>
      </c>
      <c r="EW105" s="3">
        <f t="shared" si="45"/>
        <v>0</v>
      </c>
      <c r="EX105" s="3">
        <f t="shared" si="45"/>
        <v>0</v>
      </c>
      <c r="EY105" s="3">
        <f t="shared" si="45"/>
        <v>0</v>
      </c>
      <c r="EZ105" s="3">
        <f t="shared" si="45"/>
        <v>0</v>
      </c>
      <c r="FA105" s="3">
        <f t="shared" si="45"/>
        <v>0</v>
      </c>
      <c r="FB105" s="3">
        <f t="shared" si="45"/>
        <v>0</v>
      </c>
      <c r="FC105" s="3">
        <f t="shared" si="45"/>
        <v>0</v>
      </c>
      <c r="FD105" s="3">
        <f t="shared" si="45"/>
        <v>0</v>
      </c>
      <c r="FE105" s="3">
        <f t="shared" si="45"/>
        <v>0</v>
      </c>
      <c r="FF105" s="3">
        <f t="shared" si="45"/>
        <v>0</v>
      </c>
      <c r="FG105" s="3">
        <f t="shared" si="45"/>
        <v>0</v>
      </c>
      <c r="FH105" s="3">
        <f t="shared" si="45"/>
        <v>0</v>
      </c>
      <c r="FI105" s="3">
        <f t="shared" si="45"/>
        <v>0</v>
      </c>
      <c r="FJ105" s="3">
        <f t="shared" si="45"/>
        <v>0</v>
      </c>
      <c r="FK105" s="3">
        <f t="shared" si="45"/>
        <v>0</v>
      </c>
      <c r="FL105" s="3">
        <f t="shared" si="45"/>
        <v>0</v>
      </c>
      <c r="FM105" s="3">
        <f t="shared" si="45"/>
        <v>0</v>
      </c>
      <c r="FN105" s="3">
        <f t="shared" si="45"/>
        <v>0</v>
      </c>
      <c r="FO105" s="3">
        <f t="shared" si="45"/>
        <v>0</v>
      </c>
      <c r="FP105" s="3">
        <f t="shared" si="45"/>
        <v>0</v>
      </c>
      <c r="FQ105" s="3">
        <f t="shared" si="45"/>
        <v>0</v>
      </c>
      <c r="FR105" s="3">
        <f t="shared" si="45"/>
        <v>0</v>
      </c>
      <c r="FS105" s="3">
        <f t="shared" ref="FS105:GX105" si="46">FS111</f>
        <v>0</v>
      </c>
      <c r="FT105" s="3">
        <f t="shared" si="46"/>
        <v>0</v>
      </c>
      <c r="FU105" s="3">
        <f t="shared" si="46"/>
        <v>0</v>
      </c>
      <c r="FV105" s="3">
        <f t="shared" si="46"/>
        <v>0</v>
      </c>
      <c r="FW105" s="3">
        <f t="shared" si="46"/>
        <v>0</v>
      </c>
      <c r="FX105" s="3">
        <f t="shared" si="46"/>
        <v>0</v>
      </c>
      <c r="FY105" s="3">
        <f t="shared" si="46"/>
        <v>0</v>
      </c>
      <c r="FZ105" s="3">
        <f t="shared" si="46"/>
        <v>0</v>
      </c>
      <c r="GA105" s="3">
        <f t="shared" si="46"/>
        <v>0</v>
      </c>
      <c r="GB105" s="3">
        <f t="shared" si="46"/>
        <v>0</v>
      </c>
      <c r="GC105" s="3">
        <f t="shared" si="46"/>
        <v>0</v>
      </c>
      <c r="GD105" s="3">
        <f t="shared" si="46"/>
        <v>0</v>
      </c>
      <c r="GE105" s="3">
        <f t="shared" si="46"/>
        <v>0</v>
      </c>
      <c r="GF105" s="3">
        <f t="shared" si="46"/>
        <v>0</v>
      </c>
      <c r="GG105" s="3">
        <f t="shared" si="46"/>
        <v>0</v>
      </c>
      <c r="GH105" s="3">
        <f t="shared" si="46"/>
        <v>0</v>
      </c>
      <c r="GI105" s="3">
        <f t="shared" si="46"/>
        <v>0</v>
      </c>
      <c r="GJ105" s="3">
        <f t="shared" si="46"/>
        <v>0</v>
      </c>
      <c r="GK105" s="3">
        <f t="shared" si="46"/>
        <v>0</v>
      </c>
      <c r="GL105" s="3">
        <f t="shared" si="46"/>
        <v>0</v>
      </c>
      <c r="GM105" s="3">
        <f t="shared" si="46"/>
        <v>0</v>
      </c>
      <c r="GN105" s="3">
        <f t="shared" si="46"/>
        <v>0</v>
      </c>
      <c r="GO105" s="3">
        <f t="shared" si="46"/>
        <v>0</v>
      </c>
      <c r="GP105" s="3">
        <f t="shared" si="46"/>
        <v>0</v>
      </c>
      <c r="GQ105" s="3">
        <f t="shared" si="46"/>
        <v>0</v>
      </c>
      <c r="GR105" s="3">
        <f t="shared" si="46"/>
        <v>0</v>
      </c>
      <c r="GS105" s="3">
        <f t="shared" si="46"/>
        <v>0</v>
      </c>
      <c r="GT105" s="3">
        <f t="shared" si="46"/>
        <v>0</v>
      </c>
      <c r="GU105" s="3">
        <f t="shared" si="46"/>
        <v>0</v>
      </c>
      <c r="GV105" s="3">
        <f t="shared" si="46"/>
        <v>0</v>
      </c>
      <c r="GW105" s="3">
        <f t="shared" si="46"/>
        <v>0</v>
      </c>
      <c r="GX105" s="3">
        <f t="shared" si="46"/>
        <v>0</v>
      </c>
    </row>
    <row r="107" spans="1:245" x14ac:dyDescent="0.2">
      <c r="A107">
        <v>17</v>
      </c>
      <c r="B107">
        <v>1</v>
      </c>
      <c r="C107">
        <f>ROW(SmtRes!A53)</f>
        <v>53</v>
      </c>
      <c r="D107">
        <f>ROW(EtalonRes!A53)</f>
        <v>53</v>
      </c>
      <c r="E107" t="s">
        <v>113</v>
      </c>
      <c r="F107" t="s">
        <v>114</v>
      </c>
      <c r="G107" t="s">
        <v>115</v>
      </c>
      <c r="H107" t="s">
        <v>116</v>
      </c>
      <c r="I107">
        <v>2.71</v>
      </c>
      <c r="J107">
        <v>0</v>
      </c>
      <c r="K107">
        <v>2.71</v>
      </c>
      <c r="O107">
        <f>ROUND(CP107,2)</f>
        <v>319.43</v>
      </c>
      <c r="P107">
        <f>ROUND(CQ107*I107,2)</f>
        <v>0</v>
      </c>
      <c r="Q107">
        <f>ROUND(CR107*I107,2)</f>
        <v>319.43</v>
      </c>
      <c r="R107">
        <f>ROUND(CS107*I107,2)</f>
        <v>136.86000000000001</v>
      </c>
      <c r="S107">
        <f>ROUND(CT107*I107,2)</f>
        <v>0</v>
      </c>
      <c r="T107">
        <f>ROUND(CU107*I107,2)</f>
        <v>0</v>
      </c>
      <c r="U107">
        <f>CV107*I107</f>
        <v>0</v>
      </c>
      <c r="V107">
        <f>CW107*I107</f>
        <v>0</v>
      </c>
      <c r="W107">
        <f>ROUND(CX107*I107,2)</f>
        <v>0</v>
      </c>
      <c r="X107">
        <f t="shared" ref="X107:Y109" si="47">ROUND(CY107,2)</f>
        <v>0</v>
      </c>
      <c r="Y107">
        <f t="shared" si="47"/>
        <v>0</v>
      </c>
      <c r="AA107">
        <v>75703152</v>
      </c>
      <c r="AB107">
        <f>ROUND((AC107+AD107+AF107),6)</f>
        <v>117.87</v>
      </c>
      <c r="AC107">
        <f>ROUND((ES107),6)</f>
        <v>0</v>
      </c>
      <c r="AD107">
        <f>ROUND((((ET107)-(EU107))+AE107),6)</f>
        <v>117.87</v>
      </c>
      <c r="AE107">
        <f>ROUND((EU107),6)</f>
        <v>50.5</v>
      </c>
      <c r="AF107">
        <f>ROUND((EV107),6)</f>
        <v>0</v>
      </c>
      <c r="AG107">
        <f>ROUND((AP107),6)</f>
        <v>0</v>
      </c>
      <c r="AH107">
        <f>(EW107)</f>
        <v>0</v>
      </c>
      <c r="AI107">
        <f>(EX107)</f>
        <v>0</v>
      </c>
      <c r="AJ107">
        <f>(AS107)</f>
        <v>0</v>
      </c>
      <c r="AK107">
        <v>117.87</v>
      </c>
      <c r="AL107">
        <v>0</v>
      </c>
      <c r="AM107">
        <v>117.87</v>
      </c>
      <c r="AN107">
        <v>50.5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70</v>
      </c>
      <c r="AU107">
        <v>10</v>
      </c>
      <c r="AV107">
        <v>1</v>
      </c>
      <c r="AW107">
        <v>1</v>
      </c>
      <c r="AZ107">
        <v>1</v>
      </c>
      <c r="BA107">
        <v>1</v>
      </c>
      <c r="BB107">
        <v>1</v>
      </c>
      <c r="BC107">
        <v>1</v>
      </c>
      <c r="BD107" t="s">
        <v>3</v>
      </c>
      <c r="BE107" t="s">
        <v>3</v>
      </c>
      <c r="BF107" t="s">
        <v>3</v>
      </c>
      <c r="BG107" t="s">
        <v>3</v>
      </c>
      <c r="BH107">
        <v>0</v>
      </c>
      <c r="BI107">
        <v>4</v>
      </c>
      <c r="BJ107" t="s">
        <v>117</v>
      </c>
      <c r="BM107">
        <v>0</v>
      </c>
      <c r="BN107">
        <v>75371441</v>
      </c>
      <c r="BO107" t="s">
        <v>3</v>
      </c>
      <c r="BP107">
        <v>0</v>
      </c>
      <c r="BQ107">
        <v>1</v>
      </c>
      <c r="BR107">
        <v>0</v>
      </c>
      <c r="BS107">
        <v>1</v>
      </c>
      <c r="BT107">
        <v>1</v>
      </c>
      <c r="BU107">
        <v>1</v>
      </c>
      <c r="BV107">
        <v>1</v>
      </c>
      <c r="BW107">
        <v>1</v>
      </c>
      <c r="BX107">
        <v>1</v>
      </c>
      <c r="BY107" t="s">
        <v>3</v>
      </c>
      <c r="BZ107">
        <v>70</v>
      </c>
      <c r="CA107">
        <v>10</v>
      </c>
      <c r="CB107" t="s">
        <v>3</v>
      </c>
      <c r="CE107">
        <v>0</v>
      </c>
      <c r="CF107">
        <v>0</v>
      </c>
      <c r="CG107">
        <v>0</v>
      </c>
      <c r="CM107">
        <v>0</v>
      </c>
      <c r="CN107" t="s">
        <v>3</v>
      </c>
      <c r="CO107">
        <v>0</v>
      </c>
      <c r="CP107">
        <f>(P107+Q107+S107)</f>
        <v>319.43</v>
      </c>
      <c r="CQ107">
        <f>(AC107*BC107*AW107)</f>
        <v>0</v>
      </c>
      <c r="CR107">
        <f>((((ET107)*BB107-(EU107)*BS107)+AE107*BS107)*AV107)</f>
        <v>117.87</v>
      </c>
      <c r="CS107">
        <f>(AE107*BS107*AV107)</f>
        <v>50.5</v>
      </c>
      <c r="CT107">
        <f>(AF107*BA107*AV107)</f>
        <v>0</v>
      </c>
      <c r="CU107">
        <f>AG107</f>
        <v>0</v>
      </c>
      <c r="CV107">
        <f>(AH107*AV107)</f>
        <v>0</v>
      </c>
      <c r="CW107">
        <f t="shared" ref="CW107:CX109" si="48">AI107</f>
        <v>0</v>
      </c>
      <c r="CX107">
        <f t="shared" si="48"/>
        <v>0</v>
      </c>
      <c r="CY107">
        <f>((S107*BZ107)/100)</f>
        <v>0</v>
      </c>
      <c r="CZ107">
        <f>((S107*CA107)/100)</f>
        <v>0</v>
      </c>
      <c r="DC107" t="s">
        <v>3</v>
      </c>
      <c r="DD107" t="s">
        <v>3</v>
      </c>
      <c r="DE107" t="s">
        <v>3</v>
      </c>
      <c r="DF107" t="s">
        <v>3</v>
      </c>
      <c r="DG107" t="s">
        <v>3</v>
      </c>
      <c r="DH107" t="s">
        <v>3</v>
      </c>
      <c r="DI107" t="s">
        <v>3</v>
      </c>
      <c r="DJ107" t="s">
        <v>3</v>
      </c>
      <c r="DK107" t="s">
        <v>3</v>
      </c>
      <c r="DL107" t="s">
        <v>3</v>
      </c>
      <c r="DM107" t="s">
        <v>3</v>
      </c>
      <c r="DN107">
        <v>0</v>
      </c>
      <c r="DO107">
        <v>0</v>
      </c>
      <c r="DP107">
        <v>1</v>
      </c>
      <c r="DQ107">
        <v>1</v>
      </c>
      <c r="DU107">
        <v>1009</v>
      </c>
      <c r="DV107" t="s">
        <v>116</v>
      </c>
      <c r="DW107" t="s">
        <v>116</v>
      </c>
      <c r="DX107">
        <v>1000</v>
      </c>
      <c r="DZ107" t="s">
        <v>3</v>
      </c>
      <c r="EA107" t="s">
        <v>3</v>
      </c>
      <c r="EB107" t="s">
        <v>3</v>
      </c>
      <c r="EC107" t="s">
        <v>3</v>
      </c>
      <c r="EE107">
        <v>75371444</v>
      </c>
      <c r="EF107">
        <v>1</v>
      </c>
      <c r="EG107" t="s">
        <v>20</v>
      </c>
      <c r="EH107">
        <v>0</v>
      </c>
      <c r="EI107" t="s">
        <v>3</v>
      </c>
      <c r="EJ107">
        <v>4</v>
      </c>
      <c r="EK107">
        <v>0</v>
      </c>
      <c r="EL107" t="s">
        <v>21</v>
      </c>
      <c r="EM107" t="s">
        <v>22</v>
      </c>
      <c r="EO107" t="s">
        <v>3</v>
      </c>
      <c r="EQ107">
        <v>0</v>
      </c>
      <c r="ER107">
        <v>117.87</v>
      </c>
      <c r="ES107">
        <v>0</v>
      </c>
      <c r="ET107">
        <v>117.87</v>
      </c>
      <c r="EU107">
        <v>50.5</v>
      </c>
      <c r="EV107">
        <v>0</v>
      </c>
      <c r="EW107">
        <v>0</v>
      </c>
      <c r="EX107">
        <v>0</v>
      </c>
      <c r="EY107">
        <v>0</v>
      </c>
      <c r="FQ107">
        <v>0</v>
      </c>
      <c r="FR107">
        <f>ROUND(IF(BI107=3,GM107,0),2)</f>
        <v>0</v>
      </c>
      <c r="FS107">
        <v>0</v>
      </c>
      <c r="FX107">
        <v>70</v>
      </c>
      <c r="FY107">
        <v>10</v>
      </c>
      <c r="GA107" t="s">
        <v>3</v>
      </c>
      <c r="GD107">
        <v>0</v>
      </c>
      <c r="GF107">
        <v>202864010</v>
      </c>
      <c r="GG107">
        <v>2</v>
      </c>
      <c r="GH107">
        <v>1</v>
      </c>
      <c r="GI107">
        <v>-2</v>
      </c>
      <c r="GJ107">
        <v>0</v>
      </c>
      <c r="GK107">
        <f>ROUND(R107*(R12)/100,2)</f>
        <v>147.81</v>
      </c>
      <c r="GL107">
        <f>ROUND(IF(AND(BH107=3,BI107=3,FS107&lt;&gt;0),P107,0),2)</f>
        <v>0</v>
      </c>
      <c r="GM107">
        <f>ROUND(O107+X107+Y107+GK107,2)+GX107</f>
        <v>467.24</v>
      </c>
      <c r="GN107">
        <f>IF(OR(BI107=0,BI107=1),GM107-GX107,0)</f>
        <v>0</v>
      </c>
      <c r="GO107">
        <f>IF(BI107=2,GM107-GX107,0)</f>
        <v>0</v>
      </c>
      <c r="GP107">
        <f>IF(BI107=4,GM107-GX107,0)</f>
        <v>467.24</v>
      </c>
      <c r="GR107">
        <v>0</v>
      </c>
      <c r="GS107">
        <v>0</v>
      </c>
      <c r="GT107">
        <v>0</v>
      </c>
      <c r="GU107" t="s">
        <v>3</v>
      </c>
      <c r="GV107">
        <f>ROUND((GT107),6)</f>
        <v>0</v>
      </c>
      <c r="GW107">
        <v>1</v>
      </c>
      <c r="GX107">
        <f>ROUND(HC107*I107,2)</f>
        <v>0</v>
      </c>
      <c r="HA107">
        <v>0</v>
      </c>
      <c r="HB107">
        <v>0</v>
      </c>
      <c r="HC107">
        <f>GV107*GW107</f>
        <v>0</v>
      </c>
      <c r="HE107" t="s">
        <v>3</v>
      </c>
      <c r="HF107" t="s">
        <v>3</v>
      </c>
      <c r="HM107" t="s">
        <v>3</v>
      </c>
      <c r="HN107" t="s">
        <v>3</v>
      </c>
      <c r="HO107" t="s">
        <v>3</v>
      </c>
      <c r="HP107" t="s">
        <v>3</v>
      </c>
      <c r="HQ107" t="s">
        <v>3</v>
      </c>
      <c r="IK107">
        <v>0</v>
      </c>
    </row>
    <row r="108" spans="1:245" x14ac:dyDescent="0.2">
      <c r="A108">
        <v>17</v>
      </c>
      <c r="B108">
        <v>1</v>
      </c>
      <c r="C108">
        <f>ROW(SmtRes!A55)</f>
        <v>55</v>
      </c>
      <c r="D108">
        <f>ROW(EtalonRes!A55)</f>
        <v>55</v>
      </c>
      <c r="E108" t="s">
        <v>118</v>
      </c>
      <c r="F108" t="s">
        <v>119</v>
      </c>
      <c r="G108" t="s">
        <v>120</v>
      </c>
      <c r="H108" t="s">
        <v>116</v>
      </c>
      <c r="I108">
        <f>ROUND(I107,9)</f>
        <v>2.71</v>
      </c>
      <c r="J108">
        <v>0</v>
      </c>
      <c r="K108">
        <f>ROUND(I107,9)</f>
        <v>2.71</v>
      </c>
      <c r="O108">
        <f>ROUND(CP108,2)</f>
        <v>247.97</v>
      </c>
      <c r="P108">
        <f>ROUND(CQ108*I108,2)</f>
        <v>0</v>
      </c>
      <c r="Q108">
        <f>ROUND(CR108*I108,2)</f>
        <v>247.97</v>
      </c>
      <c r="R108">
        <f>ROUND(CS108*I108,2)</f>
        <v>151.19</v>
      </c>
      <c r="S108">
        <f>ROUND(CT108*I108,2)</f>
        <v>0</v>
      </c>
      <c r="T108">
        <f>ROUND(CU108*I108,2)</f>
        <v>0</v>
      </c>
      <c r="U108">
        <f>CV108*I108</f>
        <v>0</v>
      </c>
      <c r="V108">
        <f>CW108*I108</f>
        <v>0</v>
      </c>
      <c r="W108">
        <f>ROUND(CX108*I108,2)</f>
        <v>0</v>
      </c>
      <c r="X108">
        <f t="shared" si="47"/>
        <v>0</v>
      </c>
      <c r="Y108">
        <f t="shared" si="47"/>
        <v>0</v>
      </c>
      <c r="AA108">
        <v>75703152</v>
      </c>
      <c r="AB108">
        <f>ROUND((AC108+AD108+AF108),6)</f>
        <v>91.5</v>
      </c>
      <c r="AC108">
        <f>ROUND((ES108),6)</f>
        <v>0</v>
      </c>
      <c r="AD108">
        <f>ROUND((((ET108)-(EU108))+AE108),6)</f>
        <v>91.5</v>
      </c>
      <c r="AE108">
        <f>ROUND((EU108),6)</f>
        <v>55.79</v>
      </c>
      <c r="AF108">
        <f>ROUND((EV108),6)</f>
        <v>0</v>
      </c>
      <c r="AG108">
        <f>ROUND((AP108),6)</f>
        <v>0</v>
      </c>
      <c r="AH108">
        <f>(EW108)</f>
        <v>0</v>
      </c>
      <c r="AI108">
        <f>(EX108)</f>
        <v>0</v>
      </c>
      <c r="AJ108">
        <f>(AS108)</f>
        <v>0</v>
      </c>
      <c r="AK108">
        <v>91.5</v>
      </c>
      <c r="AL108">
        <v>0</v>
      </c>
      <c r="AM108">
        <v>91.5</v>
      </c>
      <c r="AN108">
        <v>55.79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1</v>
      </c>
      <c r="AW108">
        <v>1</v>
      </c>
      <c r="AZ108">
        <v>1</v>
      </c>
      <c r="BA108">
        <v>1</v>
      </c>
      <c r="BB108">
        <v>1</v>
      </c>
      <c r="BC108">
        <v>1</v>
      </c>
      <c r="BD108" t="s">
        <v>3</v>
      </c>
      <c r="BE108" t="s">
        <v>3</v>
      </c>
      <c r="BF108" t="s">
        <v>3</v>
      </c>
      <c r="BG108" t="s">
        <v>3</v>
      </c>
      <c r="BH108">
        <v>0</v>
      </c>
      <c r="BI108">
        <v>4</v>
      </c>
      <c r="BJ108" t="s">
        <v>121</v>
      </c>
      <c r="BM108">
        <v>1</v>
      </c>
      <c r="BN108">
        <v>75371441</v>
      </c>
      <c r="BO108" t="s">
        <v>3</v>
      </c>
      <c r="BP108">
        <v>0</v>
      </c>
      <c r="BQ108">
        <v>1</v>
      </c>
      <c r="BR108">
        <v>0</v>
      </c>
      <c r="BS108">
        <v>1</v>
      </c>
      <c r="BT108">
        <v>1</v>
      </c>
      <c r="BU108">
        <v>1</v>
      </c>
      <c r="BV108">
        <v>1</v>
      </c>
      <c r="BW108">
        <v>1</v>
      </c>
      <c r="BX108">
        <v>1</v>
      </c>
      <c r="BY108" t="s">
        <v>3</v>
      </c>
      <c r="BZ108">
        <v>0</v>
      </c>
      <c r="CA108">
        <v>0</v>
      </c>
      <c r="CB108" t="s">
        <v>3</v>
      </c>
      <c r="CE108">
        <v>0</v>
      </c>
      <c r="CF108">
        <v>0</v>
      </c>
      <c r="CG108">
        <v>0</v>
      </c>
      <c r="CM108">
        <v>0</v>
      </c>
      <c r="CN108" t="s">
        <v>3</v>
      </c>
      <c r="CO108">
        <v>0</v>
      </c>
      <c r="CP108">
        <f>(P108+Q108+S108)</f>
        <v>247.97</v>
      </c>
      <c r="CQ108">
        <f>(AC108*BC108*AW108)</f>
        <v>0</v>
      </c>
      <c r="CR108">
        <f>((((ET108)*BB108-(EU108)*BS108)+AE108*BS108)*AV108)</f>
        <v>91.5</v>
      </c>
      <c r="CS108">
        <f>(AE108*BS108*AV108)</f>
        <v>55.79</v>
      </c>
      <c r="CT108">
        <f>(AF108*BA108*AV108)</f>
        <v>0</v>
      </c>
      <c r="CU108">
        <f>AG108</f>
        <v>0</v>
      </c>
      <c r="CV108">
        <f>(AH108*AV108)</f>
        <v>0</v>
      </c>
      <c r="CW108">
        <f t="shared" si="48"/>
        <v>0</v>
      </c>
      <c r="CX108">
        <f t="shared" si="48"/>
        <v>0</v>
      </c>
      <c r="CY108">
        <f>((S108*BZ108)/100)</f>
        <v>0</v>
      </c>
      <c r="CZ108">
        <f>((S108*CA108)/100)</f>
        <v>0</v>
      </c>
      <c r="DC108" t="s">
        <v>3</v>
      </c>
      <c r="DD108" t="s">
        <v>3</v>
      </c>
      <c r="DE108" t="s">
        <v>3</v>
      </c>
      <c r="DF108" t="s">
        <v>3</v>
      </c>
      <c r="DG108" t="s">
        <v>3</v>
      </c>
      <c r="DH108" t="s">
        <v>3</v>
      </c>
      <c r="DI108" t="s">
        <v>3</v>
      </c>
      <c r="DJ108" t="s">
        <v>3</v>
      </c>
      <c r="DK108" t="s">
        <v>3</v>
      </c>
      <c r="DL108" t="s">
        <v>3</v>
      </c>
      <c r="DM108" t="s">
        <v>3</v>
      </c>
      <c r="DN108">
        <v>0</v>
      </c>
      <c r="DO108">
        <v>0</v>
      </c>
      <c r="DP108">
        <v>1</v>
      </c>
      <c r="DQ108">
        <v>1</v>
      </c>
      <c r="DU108">
        <v>1009</v>
      </c>
      <c r="DV108" t="s">
        <v>116</v>
      </c>
      <c r="DW108" t="s">
        <v>116</v>
      </c>
      <c r="DX108">
        <v>1000</v>
      </c>
      <c r="DZ108" t="s">
        <v>3</v>
      </c>
      <c r="EA108" t="s">
        <v>3</v>
      </c>
      <c r="EB108" t="s">
        <v>3</v>
      </c>
      <c r="EC108" t="s">
        <v>3</v>
      </c>
      <c r="EE108">
        <v>75371446</v>
      </c>
      <c r="EF108">
        <v>1</v>
      </c>
      <c r="EG108" t="s">
        <v>20</v>
      </c>
      <c r="EH108">
        <v>0</v>
      </c>
      <c r="EI108" t="s">
        <v>3</v>
      </c>
      <c r="EJ108">
        <v>4</v>
      </c>
      <c r="EK108">
        <v>1</v>
      </c>
      <c r="EL108" t="s">
        <v>122</v>
      </c>
      <c r="EM108" t="s">
        <v>22</v>
      </c>
      <c r="EO108" t="s">
        <v>3</v>
      </c>
      <c r="EQ108">
        <v>0</v>
      </c>
      <c r="ER108">
        <v>91.5</v>
      </c>
      <c r="ES108">
        <v>0</v>
      </c>
      <c r="ET108">
        <v>91.5</v>
      </c>
      <c r="EU108">
        <v>55.79</v>
      </c>
      <c r="EV108">
        <v>0</v>
      </c>
      <c r="EW108">
        <v>0</v>
      </c>
      <c r="EX108">
        <v>0</v>
      </c>
      <c r="EY108">
        <v>0</v>
      </c>
      <c r="FQ108">
        <v>0</v>
      </c>
      <c r="FR108">
        <f>ROUND(IF(BI108=3,GM108,0),2)</f>
        <v>0</v>
      </c>
      <c r="FS108">
        <v>0</v>
      </c>
      <c r="FX108">
        <v>0</v>
      </c>
      <c r="FY108">
        <v>0</v>
      </c>
      <c r="GA108" t="s">
        <v>3</v>
      </c>
      <c r="GD108">
        <v>1</v>
      </c>
      <c r="GF108">
        <v>877741387</v>
      </c>
      <c r="GG108">
        <v>2</v>
      </c>
      <c r="GH108">
        <v>1</v>
      </c>
      <c r="GI108">
        <v>-2</v>
      </c>
      <c r="GJ108">
        <v>0</v>
      </c>
      <c r="GK108">
        <v>0</v>
      </c>
      <c r="GL108">
        <f>ROUND(IF(AND(BH108=3,BI108=3,FS108&lt;&gt;0),P108,0),2)</f>
        <v>0</v>
      </c>
      <c r="GM108">
        <f>ROUND(O108+X108+Y108,2)+GX108</f>
        <v>247.97</v>
      </c>
      <c r="GN108">
        <f>IF(OR(BI108=0,BI108=1),GM108-GX108,0)</f>
        <v>0</v>
      </c>
      <c r="GO108">
        <f>IF(BI108=2,GM108-GX108,0)</f>
        <v>0</v>
      </c>
      <c r="GP108">
        <f>IF(BI108=4,GM108-GX108,0)</f>
        <v>247.97</v>
      </c>
      <c r="GR108">
        <v>0</v>
      </c>
      <c r="GS108">
        <v>0</v>
      </c>
      <c r="GT108">
        <v>0</v>
      </c>
      <c r="GU108" t="s">
        <v>3</v>
      </c>
      <c r="GV108">
        <f>ROUND((GT108),6)</f>
        <v>0</v>
      </c>
      <c r="GW108">
        <v>1</v>
      </c>
      <c r="GX108">
        <f>ROUND(HC108*I108,2)</f>
        <v>0</v>
      </c>
      <c r="HA108">
        <v>0</v>
      </c>
      <c r="HB108">
        <v>0</v>
      </c>
      <c r="HC108">
        <f>GV108*GW108</f>
        <v>0</v>
      </c>
      <c r="HE108" t="s">
        <v>3</v>
      </c>
      <c r="HF108" t="s">
        <v>3</v>
      </c>
      <c r="HM108" t="s">
        <v>3</v>
      </c>
      <c r="HN108" t="s">
        <v>3</v>
      </c>
      <c r="HO108" t="s">
        <v>3</v>
      </c>
      <c r="HP108" t="s">
        <v>3</v>
      </c>
      <c r="HQ108" t="s">
        <v>3</v>
      </c>
      <c r="IK108">
        <v>0</v>
      </c>
    </row>
    <row r="109" spans="1:245" x14ac:dyDescent="0.2">
      <c r="A109">
        <v>17</v>
      </c>
      <c r="B109">
        <v>1</v>
      </c>
      <c r="C109">
        <f>ROW(SmtRes!A57)</f>
        <v>57</v>
      </c>
      <c r="D109">
        <f>ROW(EtalonRes!A57)</f>
        <v>57</v>
      </c>
      <c r="E109" t="s">
        <v>123</v>
      </c>
      <c r="F109" t="s">
        <v>124</v>
      </c>
      <c r="G109" t="s">
        <v>125</v>
      </c>
      <c r="H109" t="s">
        <v>116</v>
      </c>
      <c r="I109">
        <f>ROUND(I107,9)</f>
        <v>2.71</v>
      </c>
      <c r="J109">
        <v>0</v>
      </c>
      <c r="K109">
        <f>ROUND(I107,9)</f>
        <v>2.71</v>
      </c>
      <c r="O109">
        <f>ROUND(CP109,2)</f>
        <v>5636.37</v>
      </c>
      <c r="P109">
        <f>ROUND(CQ109*I109,2)</f>
        <v>0</v>
      </c>
      <c r="Q109">
        <f>ROUND(CR109*I109,2)</f>
        <v>5636.37</v>
      </c>
      <c r="R109">
        <f>ROUND(CS109*I109,2)</f>
        <v>3438.01</v>
      </c>
      <c r="S109">
        <f>ROUND(CT109*I109,2)</f>
        <v>0</v>
      </c>
      <c r="T109">
        <f>ROUND(CU109*I109,2)</f>
        <v>0</v>
      </c>
      <c r="U109">
        <f>CV109*I109</f>
        <v>0</v>
      </c>
      <c r="V109">
        <f>CW109*I109</f>
        <v>0</v>
      </c>
      <c r="W109">
        <f>ROUND(CX109*I109,2)</f>
        <v>0</v>
      </c>
      <c r="X109">
        <f t="shared" si="47"/>
        <v>0</v>
      </c>
      <c r="Y109">
        <f t="shared" si="47"/>
        <v>0</v>
      </c>
      <c r="AA109">
        <v>75703152</v>
      </c>
      <c r="AB109">
        <f>ROUND((AC109+AD109+AF109),6)</f>
        <v>2079.84</v>
      </c>
      <c r="AC109">
        <f>ROUND((ES109),6)</f>
        <v>0</v>
      </c>
      <c r="AD109">
        <f>ROUND(((((ET109*48))-((EU109*48)))+AE109),6)</f>
        <v>2079.84</v>
      </c>
      <c r="AE109">
        <f>ROUND(((EU109*48)),6)</f>
        <v>1268.6400000000001</v>
      </c>
      <c r="AF109">
        <f>ROUND(((EV109*48)),6)</f>
        <v>0</v>
      </c>
      <c r="AG109">
        <f>ROUND((AP109),6)</f>
        <v>0</v>
      </c>
      <c r="AH109">
        <f>((EW109*48))</f>
        <v>0</v>
      </c>
      <c r="AI109">
        <f>((EX109*48))</f>
        <v>0</v>
      </c>
      <c r="AJ109">
        <f>(AS109)</f>
        <v>0</v>
      </c>
      <c r="AK109">
        <v>43.33</v>
      </c>
      <c r="AL109">
        <v>0</v>
      </c>
      <c r="AM109">
        <v>43.33</v>
      </c>
      <c r="AN109">
        <v>26.43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1</v>
      </c>
      <c r="AW109">
        <v>1</v>
      </c>
      <c r="AZ109">
        <v>1</v>
      </c>
      <c r="BA109">
        <v>1</v>
      </c>
      <c r="BB109">
        <v>1</v>
      </c>
      <c r="BC109">
        <v>1</v>
      </c>
      <c r="BD109" t="s">
        <v>3</v>
      </c>
      <c r="BE109" t="s">
        <v>3</v>
      </c>
      <c r="BF109" t="s">
        <v>3</v>
      </c>
      <c r="BG109" t="s">
        <v>3</v>
      </c>
      <c r="BH109">
        <v>0</v>
      </c>
      <c r="BI109">
        <v>4</v>
      </c>
      <c r="BJ109" t="s">
        <v>126</v>
      </c>
      <c r="BM109">
        <v>1</v>
      </c>
      <c r="BN109">
        <v>75371441</v>
      </c>
      <c r="BO109" t="s">
        <v>3</v>
      </c>
      <c r="BP109">
        <v>0</v>
      </c>
      <c r="BQ109">
        <v>1</v>
      </c>
      <c r="BR109">
        <v>0</v>
      </c>
      <c r="BS109">
        <v>1</v>
      </c>
      <c r="BT109">
        <v>1</v>
      </c>
      <c r="BU109">
        <v>1</v>
      </c>
      <c r="BV109">
        <v>1</v>
      </c>
      <c r="BW109">
        <v>1</v>
      </c>
      <c r="BX109">
        <v>1</v>
      </c>
      <c r="BY109" t="s">
        <v>3</v>
      </c>
      <c r="BZ109">
        <v>0</v>
      </c>
      <c r="CA109">
        <v>0</v>
      </c>
      <c r="CB109" t="s">
        <v>3</v>
      </c>
      <c r="CE109">
        <v>0</v>
      </c>
      <c r="CF109">
        <v>0</v>
      </c>
      <c r="CG109">
        <v>0</v>
      </c>
      <c r="CM109">
        <v>0</v>
      </c>
      <c r="CN109" t="s">
        <v>3</v>
      </c>
      <c r="CO109">
        <v>0</v>
      </c>
      <c r="CP109">
        <f>(P109+Q109+S109)</f>
        <v>5636.37</v>
      </c>
      <c r="CQ109">
        <f>(AC109*BC109*AW109)</f>
        <v>0</v>
      </c>
      <c r="CR109">
        <f>(((((ET109*48))*BB109-((EU109*48))*BS109)+AE109*BS109)*AV109)</f>
        <v>2079.84</v>
      </c>
      <c r="CS109">
        <f>(AE109*BS109*AV109)</f>
        <v>1268.6400000000001</v>
      </c>
      <c r="CT109">
        <f>(AF109*BA109*AV109)</f>
        <v>0</v>
      </c>
      <c r="CU109">
        <f>AG109</f>
        <v>0</v>
      </c>
      <c r="CV109">
        <f>(AH109*AV109)</f>
        <v>0</v>
      </c>
      <c r="CW109">
        <f t="shared" si="48"/>
        <v>0</v>
      </c>
      <c r="CX109">
        <f t="shared" si="48"/>
        <v>0</v>
      </c>
      <c r="CY109">
        <f>((S109*BZ109)/100)</f>
        <v>0</v>
      </c>
      <c r="CZ109">
        <f>((S109*CA109)/100)</f>
        <v>0</v>
      </c>
      <c r="DC109" t="s">
        <v>3</v>
      </c>
      <c r="DD109" t="s">
        <v>3</v>
      </c>
      <c r="DE109" t="s">
        <v>127</v>
      </c>
      <c r="DF109" t="s">
        <v>127</v>
      </c>
      <c r="DG109" t="s">
        <v>127</v>
      </c>
      <c r="DH109" t="s">
        <v>3</v>
      </c>
      <c r="DI109" t="s">
        <v>127</v>
      </c>
      <c r="DJ109" t="s">
        <v>127</v>
      </c>
      <c r="DK109" t="s">
        <v>3</v>
      </c>
      <c r="DL109" t="s">
        <v>3</v>
      </c>
      <c r="DM109" t="s">
        <v>3</v>
      </c>
      <c r="DN109">
        <v>0</v>
      </c>
      <c r="DO109">
        <v>0</v>
      </c>
      <c r="DP109">
        <v>1</v>
      </c>
      <c r="DQ109">
        <v>1</v>
      </c>
      <c r="DU109">
        <v>1009</v>
      </c>
      <c r="DV109" t="s">
        <v>116</v>
      </c>
      <c r="DW109" t="s">
        <v>116</v>
      </c>
      <c r="DX109">
        <v>1000</v>
      </c>
      <c r="DZ109" t="s">
        <v>3</v>
      </c>
      <c r="EA109" t="s">
        <v>3</v>
      </c>
      <c r="EB109" t="s">
        <v>3</v>
      </c>
      <c r="EC109" t="s">
        <v>3</v>
      </c>
      <c r="EE109">
        <v>75371446</v>
      </c>
      <c r="EF109">
        <v>1</v>
      </c>
      <c r="EG109" t="s">
        <v>20</v>
      </c>
      <c r="EH109">
        <v>0</v>
      </c>
      <c r="EI109" t="s">
        <v>3</v>
      </c>
      <c r="EJ109">
        <v>4</v>
      </c>
      <c r="EK109">
        <v>1</v>
      </c>
      <c r="EL109" t="s">
        <v>122</v>
      </c>
      <c r="EM109" t="s">
        <v>22</v>
      </c>
      <c r="EO109" t="s">
        <v>3</v>
      </c>
      <c r="EQ109">
        <v>0</v>
      </c>
      <c r="ER109">
        <v>43.33</v>
      </c>
      <c r="ES109">
        <v>0</v>
      </c>
      <c r="ET109">
        <v>43.33</v>
      </c>
      <c r="EU109">
        <v>26.43</v>
      </c>
      <c r="EV109">
        <v>0</v>
      </c>
      <c r="EW109">
        <v>0</v>
      </c>
      <c r="EX109">
        <v>0</v>
      </c>
      <c r="EY109">
        <v>0</v>
      </c>
      <c r="FQ109">
        <v>0</v>
      </c>
      <c r="FR109">
        <f>ROUND(IF(BI109=3,GM109,0),2)</f>
        <v>0</v>
      </c>
      <c r="FS109">
        <v>0</v>
      </c>
      <c r="FX109">
        <v>0</v>
      </c>
      <c r="FY109">
        <v>0</v>
      </c>
      <c r="GA109" t="s">
        <v>3</v>
      </c>
      <c r="GD109">
        <v>1</v>
      </c>
      <c r="GF109">
        <v>134341046</v>
      </c>
      <c r="GG109">
        <v>2</v>
      </c>
      <c r="GH109">
        <v>1</v>
      </c>
      <c r="GI109">
        <v>-2</v>
      </c>
      <c r="GJ109">
        <v>0</v>
      </c>
      <c r="GK109">
        <v>0</v>
      </c>
      <c r="GL109">
        <f>ROUND(IF(AND(BH109=3,BI109=3,FS109&lt;&gt;0),P109,0),2)</f>
        <v>0</v>
      </c>
      <c r="GM109">
        <f>ROUND(O109+X109+Y109,2)+GX109</f>
        <v>5636.37</v>
      </c>
      <c r="GN109">
        <f>IF(OR(BI109=0,BI109=1),GM109-GX109,0)</f>
        <v>0</v>
      </c>
      <c r="GO109">
        <f>IF(BI109=2,GM109-GX109,0)</f>
        <v>0</v>
      </c>
      <c r="GP109">
        <f>IF(BI109=4,GM109-GX109,0)</f>
        <v>5636.37</v>
      </c>
      <c r="GR109">
        <v>0</v>
      </c>
      <c r="GS109">
        <v>0</v>
      </c>
      <c r="GT109">
        <v>0</v>
      </c>
      <c r="GU109" t="s">
        <v>3</v>
      </c>
      <c r="GV109">
        <f>ROUND((GT109),6)</f>
        <v>0</v>
      </c>
      <c r="GW109">
        <v>1</v>
      </c>
      <c r="GX109">
        <f>ROUND(HC109*I109,2)</f>
        <v>0</v>
      </c>
      <c r="HA109">
        <v>0</v>
      </c>
      <c r="HB109">
        <v>0</v>
      </c>
      <c r="HC109">
        <f>GV109*GW109</f>
        <v>0</v>
      </c>
      <c r="HE109" t="s">
        <v>3</v>
      </c>
      <c r="HF109" t="s">
        <v>3</v>
      </c>
      <c r="HM109" t="s">
        <v>3</v>
      </c>
      <c r="HN109" t="s">
        <v>3</v>
      </c>
      <c r="HO109" t="s">
        <v>3</v>
      </c>
      <c r="HP109" t="s">
        <v>3</v>
      </c>
      <c r="HQ109" t="s">
        <v>3</v>
      </c>
      <c r="IK109">
        <v>0</v>
      </c>
    </row>
    <row r="111" spans="1:245" x14ac:dyDescent="0.2">
      <c r="A111" s="2">
        <v>51</v>
      </c>
      <c r="B111" s="2">
        <f>B103</f>
        <v>1</v>
      </c>
      <c r="C111" s="2">
        <f>A103</f>
        <v>4</v>
      </c>
      <c r="D111" s="2">
        <f>ROW(A103)</f>
        <v>103</v>
      </c>
      <c r="E111" s="2"/>
      <c r="F111" s="2" t="str">
        <f>IF(F103&lt;&gt;"",F103,"")</f>
        <v>Новый раздел</v>
      </c>
      <c r="G111" s="2" t="str">
        <f>IF(G103&lt;&gt;"",G103,"")</f>
        <v>Мусор</v>
      </c>
      <c r="H111" s="2">
        <v>0</v>
      </c>
      <c r="I111" s="2"/>
      <c r="J111" s="2"/>
      <c r="K111" s="2"/>
      <c r="L111" s="2"/>
      <c r="M111" s="2"/>
      <c r="N111" s="2"/>
      <c r="O111" s="2">
        <f t="shared" ref="O111:T111" si="49">ROUND(AB111,2)</f>
        <v>6203.77</v>
      </c>
      <c r="P111" s="2">
        <f t="shared" si="49"/>
        <v>0</v>
      </c>
      <c r="Q111" s="2">
        <f t="shared" si="49"/>
        <v>6203.77</v>
      </c>
      <c r="R111" s="2">
        <f t="shared" si="49"/>
        <v>3726.06</v>
      </c>
      <c r="S111" s="2">
        <f t="shared" si="49"/>
        <v>0</v>
      </c>
      <c r="T111" s="2">
        <f t="shared" si="49"/>
        <v>0</v>
      </c>
      <c r="U111" s="2">
        <f>AH111</f>
        <v>0</v>
      </c>
      <c r="V111" s="2">
        <f>AI111</f>
        <v>0</v>
      </c>
      <c r="W111" s="2">
        <f>ROUND(AJ111,2)</f>
        <v>0</v>
      </c>
      <c r="X111" s="2">
        <f>ROUND(AK111,2)</f>
        <v>0</v>
      </c>
      <c r="Y111" s="2">
        <f>ROUND(AL111,2)</f>
        <v>0</v>
      </c>
      <c r="Z111" s="2"/>
      <c r="AA111" s="2"/>
      <c r="AB111" s="2">
        <f>ROUND(SUMIF(AA107:AA109,"=75703152",O107:O109),2)</f>
        <v>6203.77</v>
      </c>
      <c r="AC111" s="2">
        <f>ROUND(SUMIF(AA107:AA109,"=75703152",P107:P109),2)</f>
        <v>0</v>
      </c>
      <c r="AD111" s="2">
        <f>ROUND(SUMIF(AA107:AA109,"=75703152",Q107:Q109),2)</f>
        <v>6203.77</v>
      </c>
      <c r="AE111" s="2">
        <f>ROUND(SUMIF(AA107:AA109,"=75703152",R107:R109),2)</f>
        <v>3726.06</v>
      </c>
      <c r="AF111" s="2">
        <f>ROUND(SUMIF(AA107:AA109,"=75703152",S107:S109),2)</f>
        <v>0</v>
      </c>
      <c r="AG111" s="2">
        <f>ROUND(SUMIF(AA107:AA109,"=75703152",T107:T109),2)</f>
        <v>0</v>
      </c>
      <c r="AH111" s="2">
        <f>SUMIF(AA107:AA109,"=75703152",U107:U109)</f>
        <v>0</v>
      </c>
      <c r="AI111" s="2">
        <f>SUMIF(AA107:AA109,"=75703152",V107:V109)</f>
        <v>0</v>
      </c>
      <c r="AJ111" s="2">
        <f>ROUND(SUMIF(AA107:AA109,"=75703152",W107:W109),2)</f>
        <v>0</v>
      </c>
      <c r="AK111" s="2">
        <f>ROUND(SUMIF(AA107:AA109,"=75703152",X107:X109),2)</f>
        <v>0</v>
      </c>
      <c r="AL111" s="2">
        <f>ROUND(SUMIF(AA107:AA109,"=75703152",Y107:Y109),2)</f>
        <v>0</v>
      </c>
      <c r="AM111" s="2"/>
      <c r="AN111" s="2"/>
      <c r="AO111" s="2">
        <f t="shared" ref="AO111:BD111" si="50">ROUND(BX111,2)</f>
        <v>0</v>
      </c>
      <c r="AP111" s="2">
        <f t="shared" si="50"/>
        <v>0</v>
      </c>
      <c r="AQ111" s="2">
        <f t="shared" si="50"/>
        <v>0</v>
      </c>
      <c r="AR111" s="2">
        <f t="shared" si="50"/>
        <v>6351.58</v>
      </c>
      <c r="AS111" s="2">
        <f t="shared" si="50"/>
        <v>0</v>
      </c>
      <c r="AT111" s="2">
        <f t="shared" si="50"/>
        <v>0</v>
      </c>
      <c r="AU111" s="2">
        <f t="shared" si="50"/>
        <v>6351.58</v>
      </c>
      <c r="AV111" s="2">
        <f t="shared" si="50"/>
        <v>0</v>
      </c>
      <c r="AW111" s="2">
        <f t="shared" si="50"/>
        <v>0</v>
      </c>
      <c r="AX111" s="2">
        <f t="shared" si="50"/>
        <v>0</v>
      </c>
      <c r="AY111" s="2">
        <f t="shared" si="50"/>
        <v>0</v>
      </c>
      <c r="AZ111" s="2">
        <f t="shared" si="50"/>
        <v>0</v>
      </c>
      <c r="BA111" s="2">
        <f t="shared" si="50"/>
        <v>0</v>
      </c>
      <c r="BB111" s="2">
        <f t="shared" si="50"/>
        <v>0</v>
      </c>
      <c r="BC111" s="2">
        <f t="shared" si="50"/>
        <v>0</v>
      </c>
      <c r="BD111" s="2">
        <f t="shared" si="50"/>
        <v>0</v>
      </c>
      <c r="BE111" s="2"/>
      <c r="BF111" s="2"/>
      <c r="BG111" s="2"/>
      <c r="BH111" s="2"/>
      <c r="BI111" s="2"/>
      <c r="BJ111" s="2"/>
      <c r="BK111" s="2"/>
      <c r="BL111" s="2"/>
      <c r="BM111" s="2"/>
      <c r="BN111" s="2"/>
      <c r="BO111" s="2"/>
      <c r="BP111" s="2"/>
      <c r="BQ111" s="2"/>
      <c r="BR111" s="2"/>
      <c r="BS111" s="2"/>
      <c r="BT111" s="2"/>
      <c r="BU111" s="2"/>
      <c r="BV111" s="2"/>
      <c r="BW111" s="2"/>
      <c r="BX111" s="2">
        <f>ROUND(SUMIF(AA107:AA109,"=75703152",FQ107:FQ109),2)</f>
        <v>0</v>
      </c>
      <c r="BY111" s="2">
        <f>ROUND(SUMIF(AA107:AA109,"=75703152",FR107:FR109),2)</f>
        <v>0</v>
      </c>
      <c r="BZ111" s="2">
        <f>ROUND(SUMIF(AA107:AA109,"=75703152",GL107:GL109),2)</f>
        <v>0</v>
      </c>
      <c r="CA111" s="2">
        <f>ROUND(SUMIF(AA107:AA109,"=75703152",GM107:GM109),2)</f>
        <v>6351.58</v>
      </c>
      <c r="CB111" s="2">
        <f>ROUND(SUMIF(AA107:AA109,"=75703152",GN107:GN109),2)</f>
        <v>0</v>
      </c>
      <c r="CC111" s="2">
        <f>ROUND(SUMIF(AA107:AA109,"=75703152",GO107:GO109),2)</f>
        <v>0</v>
      </c>
      <c r="CD111" s="2">
        <f>ROUND(SUMIF(AA107:AA109,"=75703152",GP107:GP109),2)</f>
        <v>6351.58</v>
      </c>
      <c r="CE111" s="2">
        <f>AC111-BX111</f>
        <v>0</v>
      </c>
      <c r="CF111" s="2">
        <f>AC111-BY111</f>
        <v>0</v>
      </c>
      <c r="CG111" s="2">
        <f>BX111-BZ111</f>
        <v>0</v>
      </c>
      <c r="CH111" s="2">
        <f>AC111-BX111-BY111+BZ111</f>
        <v>0</v>
      </c>
      <c r="CI111" s="2">
        <f>BY111-BZ111</f>
        <v>0</v>
      </c>
      <c r="CJ111" s="2">
        <f>ROUND(SUMIF(AA107:AA109,"=75703152",GX107:GX109),2)</f>
        <v>0</v>
      </c>
      <c r="CK111" s="2">
        <f>ROUND(SUMIF(AA107:AA109,"=75703152",GY107:GY109),2)</f>
        <v>0</v>
      </c>
      <c r="CL111" s="2">
        <f>ROUND(SUMIF(AA107:AA109,"=75703152",GZ107:GZ109),2)</f>
        <v>0</v>
      </c>
      <c r="CM111" s="2">
        <f>ROUND(SUMIF(AA107:AA109,"=75703152",HD107:HD109),2)</f>
        <v>0</v>
      </c>
      <c r="CN111" s="2"/>
      <c r="CO111" s="2"/>
      <c r="CP111" s="2"/>
      <c r="CQ111" s="2"/>
      <c r="CR111" s="2"/>
      <c r="CS111" s="2"/>
      <c r="CT111" s="2"/>
      <c r="CU111" s="2"/>
      <c r="CV111" s="2"/>
      <c r="CW111" s="2"/>
      <c r="CX111" s="2"/>
      <c r="CY111" s="2"/>
      <c r="CZ111" s="2"/>
      <c r="DA111" s="2"/>
      <c r="DB111" s="2"/>
      <c r="DC111" s="2"/>
      <c r="DD111" s="2"/>
      <c r="DE111" s="2"/>
      <c r="DF111" s="2"/>
      <c r="DG111" s="3"/>
      <c r="DH111" s="3"/>
      <c r="DI111" s="3"/>
      <c r="DJ111" s="3"/>
      <c r="DK111" s="3"/>
      <c r="DL111" s="3"/>
      <c r="DM111" s="3"/>
      <c r="DN111" s="3"/>
      <c r="DO111" s="3"/>
      <c r="DP111" s="3"/>
      <c r="DQ111" s="3"/>
      <c r="DR111" s="3"/>
      <c r="DS111" s="3"/>
      <c r="DT111" s="3"/>
      <c r="DU111" s="3"/>
      <c r="DV111" s="3"/>
      <c r="DW111" s="3"/>
      <c r="DX111" s="3"/>
      <c r="DY111" s="3"/>
      <c r="DZ111" s="3"/>
      <c r="EA111" s="3"/>
      <c r="EB111" s="3"/>
      <c r="EC111" s="3"/>
      <c r="ED111" s="3"/>
      <c r="EE111" s="3"/>
      <c r="EF111" s="3"/>
      <c r="EG111" s="3"/>
      <c r="EH111" s="3"/>
      <c r="EI111" s="3"/>
      <c r="EJ111" s="3"/>
      <c r="EK111" s="3"/>
      <c r="EL111" s="3"/>
      <c r="EM111" s="3"/>
      <c r="EN111" s="3"/>
      <c r="EO111" s="3"/>
      <c r="EP111" s="3"/>
      <c r="EQ111" s="3"/>
      <c r="ER111" s="3"/>
      <c r="ES111" s="3"/>
      <c r="ET111" s="3"/>
      <c r="EU111" s="3"/>
      <c r="EV111" s="3"/>
      <c r="EW111" s="3"/>
      <c r="EX111" s="3"/>
      <c r="EY111" s="3"/>
      <c r="EZ111" s="3"/>
      <c r="FA111" s="3"/>
      <c r="FB111" s="3"/>
      <c r="FC111" s="3"/>
      <c r="FD111" s="3"/>
      <c r="FE111" s="3"/>
      <c r="FF111" s="3"/>
      <c r="FG111" s="3"/>
      <c r="FH111" s="3"/>
      <c r="FI111" s="3"/>
      <c r="FJ111" s="3"/>
      <c r="FK111" s="3"/>
      <c r="FL111" s="3"/>
      <c r="FM111" s="3"/>
      <c r="FN111" s="3"/>
      <c r="FO111" s="3"/>
      <c r="FP111" s="3"/>
      <c r="FQ111" s="3"/>
      <c r="FR111" s="3"/>
      <c r="FS111" s="3"/>
      <c r="FT111" s="3"/>
      <c r="FU111" s="3"/>
      <c r="FV111" s="3"/>
      <c r="FW111" s="3"/>
      <c r="FX111" s="3"/>
      <c r="FY111" s="3"/>
      <c r="FZ111" s="3"/>
      <c r="GA111" s="3"/>
      <c r="GB111" s="3"/>
      <c r="GC111" s="3"/>
      <c r="GD111" s="3"/>
      <c r="GE111" s="3"/>
      <c r="GF111" s="3"/>
      <c r="GG111" s="3"/>
      <c r="GH111" s="3"/>
      <c r="GI111" s="3"/>
      <c r="GJ111" s="3"/>
      <c r="GK111" s="3"/>
      <c r="GL111" s="3"/>
      <c r="GM111" s="3"/>
      <c r="GN111" s="3"/>
      <c r="GO111" s="3"/>
      <c r="GP111" s="3"/>
      <c r="GQ111" s="3"/>
      <c r="GR111" s="3"/>
      <c r="GS111" s="3"/>
      <c r="GT111" s="3"/>
      <c r="GU111" s="3"/>
      <c r="GV111" s="3"/>
      <c r="GW111" s="3"/>
      <c r="GX111" s="3">
        <v>0</v>
      </c>
    </row>
    <row r="113" spans="1:28" x14ac:dyDescent="0.2">
      <c r="A113" s="4">
        <v>50</v>
      </c>
      <c r="B113" s="4">
        <v>0</v>
      </c>
      <c r="C113" s="4">
        <v>0</v>
      </c>
      <c r="D113" s="4">
        <v>1</v>
      </c>
      <c r="E113" s="4">
        <v>201</v>
      </c>
      <c r="F113" s="4">
        <f>ROUND(Source!O111,O113)</f>
        <v>6203.77</v>
      </c>
      <c r="G113" s="4" t="s">
        <v>36</v>
      </c>
      <c r="H113" s="4" t="s">
        <v>37</v>
      </c>
      <c r="I113" s="4"/>
      <c r="J113" s="4"/>
      <c r="K113" s="4">
        <v>201</v>
      </c>
      <c r="L113" s="4">
        <v>1</v>
      </c>
      <c r="M113" s="4">
        <v>3</v>
      </c>
      <c r="N113" s="4" t="s">
        <v>3</v>
      </c>
      <c r="O113" s="4">
        <v>2</v>
      </c>
      <c r="P113" s="4"/>
      <c r="Q113" s="4"/>
      <c r="R113" s="4"/>
      <c r="S113" s="4"/>
      <c r="T113" s="4"/>
      <c r="U113" s="4"/>
      <c r="V113" s="4"/>
      <c r="W113" s="4">
        <v>6203.77</v>
      </c>
      <c r="X113" s="4">
        <v>1</v>
      </c>
      <c r="Y113" s="4">
        <v>6203.77</v>
      </c>
      <c r="Z113" s="4"/>
      <c r="AA113" s="4"/>
      <c r="AB113" s="4"/>
    </row>
    <row r="114" spans="1:28" x14ac:dyDescent="0.2">
      <c r="A114" s="4">
        <v>50</v>
      </c>
      <c r="B114" s="4">
        <v>0</v>
      </c>
      <c r="C114" s="4">
        <v>0</v>
      </c>
      <c r="D114" s="4">
        <v>1</v>
      </c>
      <c r="E114" s="4">
        <v>202</v>
      </c>
      <c r="F114" s="4">
        <f>ROUND(Source!P111,O114)</f>
        <v>0</v>
      </c>
      <c r="G114" s="4" t="s">
        <v>38</v>
      </c>
      <c r="H114" s="4" t="s">
        <v>39</v>
      </c>
      <c r="I114" s="4"/>
      <c r="J114" s="4"/>
      <c r="K114" s="4">
        <v>202</v>
      </c>
      <c r="L114" s="4">
        <v>2</v>
      </c>
      <c r="M114" s="4">
        <v>3</v>
      </c>
      <c r="N114" s="4" t="s">
        <v>3</v>
      </c>
      <c r="O114" s="4">
        <v>2</v>
      </c>
      <c r="P114" s="4"/>
      <c r="Q114" s="4"/>
      <c r="R114" s="4"/>
      <c r="S114" s="4"/>
      <c r="T114" s="4"/>
      <c r="U114" s="4"/>
      <c r="V114" s="4"/>
      <c r="W114" s="4">
        <v>0</v>
      </c>
      <c r="X114" s="4">
        <v>1</v>
      </c>
      <c r="Y114" s="4">
        <v>0</v>
      </c>
      <c r="Z114" s="4"/>
      <c r="AA114" s="4"/>
      <c r="AB114" s="4"/>
    </row>
    <row r="115" spans="1:28" x14ac:dyDescent="0.2">
      <c r="A115" s="4">
        <v>50</v>
      </c>
      <c r="B115" s="4">
        <v>0</v>
      </c>
      <c r="C115" s="4">
        <v>0</v>
      </c>
      <c r="D115" s="4">
        <v>1</v>
      </c>
      <c r="E115" s="4">
        <v>222</v>
      </c>
      <c r="F115" s="4">
        <f>ROUND(Source!AO111,O115)</f>
        <v>0</v>
      </c>
      <c r="G115" s="4" t="s">
        <v>40</v>
      </c>
      <c r="H115" s="4" t="s">
        <v>41</v>
      </c>
      <c r="I115" s="4"/>
      <c r="J115" s="4"/>
      <c r="K115" s="4">
        <v>222</v>
      </c>
      <c r="L115" s="4">
        <v>3</v>
      </c>
      <c r="M115" s="4">
        <v>3</v>
      </c>
      <c r="N115" s="4" t="s">
        <v>3</v>
      </c>
      <c r="O115" s="4">
        <v>2</v>
      </c>
      <c r="P115" s="4"/>
      <c r="Q115" s="4"/>
      <c r="R115" s="4"/>
      <c r="S115" s="4"/>
      <c r="T115" s="4"/>
      <c r="U115" s="4"/>
      <c r="V115" s="4"/>
      <c r="W115" s="4">
        <v>0</v>
      </c>
      <c r="X115" s="4">
        <v>1</v>
      </c>
      <c r="Y115" s="4">
        <v>0</v>
      </c>
      <c r="Z115" s="4"/>
      <c r="AA115" s="4"/>
      <c r="AB115" s="4"/>
    </row>
    <row r="116" spans="1:28" x14ac:dyDescent="0.2">
      <c r="A116" s="4">
        <v>50</v>
      </c>
      <c r="B116" s="4">
        <v>0</v>
      </c>
      <c r="C116" s="4">
        <v>0</v>
      </c>
      <c r="D116" s="4">
        <v>1</v>
      </c>
      <c r="E116" s="4">
        <v>225</v>
      </c>
      <c r="F116" s="4">
        <f>ROUND(Source!AV111,O116)</f>
        <v>0</v>
      </c>
      <c r="G116" s="4" t="s">
        <v>42</v>
      </c>
      <c r="H116" s="4" t="s">
        <v>43</v>
      </c>
      <c r="I116" s="4"/>
      <c r="J116" s="4"/>
      <c r="K116" s="4">
        <v>225</v>
      </c>
      <c r="L116" s="4">
        <v>4</v>
      </c>
      <c r="M116" s="4">
        <v>3</v>
      </c>
      <c r="N116" s="4" t="s">
        <v>3</v>
      </c>
      <c r="O116" s="4">
        <v>2</v>
      </c>
      <c r="P116" s="4"/>
      <c r="Q116" s="4"/>
      <c r="R116" s="4"/>
      <c r="S116" s="4"/>
      <c r="T116" s="4"/>
      <c r="U116" s="4"/>
      <c r="V116" s="4"/>
      <c r="W116" s="4">
        <v>0</v>
      </c>
      <c r="X116" s="4">
        <v>1</v>
      </c>
      <c r="Y116" s="4">
        <v>0</v>
      </c>
      <c r="Z116" s="4"/>
      <c r="AA116" s="4"/>
      <c r="AB116" s="4"/>
    </row>
    <row r="117" spans="1:28" x14ac:dyDescent="0.2">
      <c r="A117" s="4">
        <v>50</v>
      </c>
      <c r="B117" s="4">
        <v>0</v>
      </c>
      <c r="C117" s="4">
        <v>0</v>
      </c>
      <c r="D117" s="4">
        <v>1</v>
      </c>
      <c r="E117" s="4">
        <v>226</v>
      </c>
      <c r="F117" s="4">
        <f>ROUND(Source!AW111,O117)</f>
        <v>0</v>
      </c>
      <c r="G117" s="4" t="s">
        <v>44</v>
      </c>
      <c r="H117" s="4" t="s">
        <v>45</v>
      </c>
      <c r="I117" s="4"/>
      <c r="J117" s="4"/>
      <c r="K117" s="4">
        <v>226</v>
      </c>
      <c r="L117" s="4">
        <v>5</v>
      </c>
      <c r="M117" s="4">
        <v>3</v>
      </c>
      <c r="N117" s="4" t="s">
        <v>3</v>
      </c>
      <c r="O117" s="4">
        <v>2</v>
      </c>
      <c r="P117" s="4"/>
      <c r="Q117" s="4"/>
      <c r="R117" s="4"/>
      <c r="S117" s="4"/>
      <c r="T117" s="4"/>
      <c r="U117" s="4"/>
      <c r="V117" s="4"/>
      <c r="W117" s="4">
        <v>0</v>
      </c>
      <c r="X117" s="4">
        <v>1</v>
      </c>
      <c r="Y117" s="4">
        <v>0</v>
      </c>
      <c r="Z117" s="4"/>
      <c r="AA117" s="4"/>
      <c r="AB117" s="4"/>
    </row>
    <row r="118" spans="1:28" x14ac:dyDescent="0.2">
      <c r="A118" s="4">
        <v>50</v>
      </c>
      <c r="B118" s="4">
        <v>0</v>
      </c>
      <c r="C118" s="4">
        <v>0</v>
      </c>
      <c r="D118" s="4">
        <v>1</v>
      </c>
      <c r="E118" s="4">
        <v>227</v>
      </c>
      <c r="F118" s="4">
        <f>ROUND(Source!AX111,O118)</f>
        <v>0</v>
      </c>
      <c r="G118" s="4" t="s">
        <v>46</v>
      </c>
      <c r="H118" s="4" t="s">
        <v>47</v>
      </c>
      <c r="I118" s="4"/>
      <c r="J118" s="4"/>
      <c r="K118" s="4">
        <v>227</v>
      </c>
      <c r="L118" s="4">
        <v>6</v>
      </c>
      <c r="M118" s="4">
        <v>3</v>
      </c>
      <c r="N118" s="4" t="s">
        <v>3</v>
      </c>
      <c r="O118" s="4">
        <v>2</v>
      </c>
      <c r="P118" s="4"/>
      <c r="Q118" s="4"/>
      <c r="R118" s="4"/>
      <c r="S118" s="4"/>
      <c r="T118" s="4"/>
      <c r="U118" s="4"/>
      <c r="V118" s="4"/>
      <c r="W118" s="4">
        <v>0</v>
      </c>
      <c r="X118" s="4">
        <v>1</v>
      </c>
      <c r="Y118" s="4">
        <v>0</v>
      </c>
      <c r="Z118" s="4"/>
      <c r="AA118" s="4"/>
      <c r="AB118" s="4"/>
    </row>
    <row r="119" spans="1:28" x14ac:dyDescent="0.2">
      <c r="A119" s="4">
        <v>50</v>
      </c>
      <c r="B119" s="4">
        <v>0</v>
      </c>
      <c r="C119" s="4">
        <v>0</v>
      </c>
      <c r="D119" s="4">
        <v>1</v>
      </c>
      <c r="E119" s="4">
        <v>228</v>
      </c>
      <c r="F119" s="4">
        <f>ROUND(Source!AY111,O119)</f>
        <v>0</v>
      </c>
      <c r="G119" s="4" t="s">
        <v>48</v>
      </c>
      <c r="H119" s="4" t="s">
        <v>49</v>
      </c>
      <c r="I119" s="4"/>
      <c r="J119" s="4"/>
      <c r="K119" s="4">
        <v>228</v>
      </c>
      <c r="L119" s="4">
        <v>7</v>
      </c>
      <c r="M119" s="4">
        <v>3</v>
      </c>
      <c r="N119" s="4" t="s">
        <v>3</v>
      </c>
      <c r="O119" s="4">
        <v>2</v>
      </c>
      <c r="P119" s="4"/>
      <c r="Q119" s="4"/>
      <c r="R119" s="4"/>
      <c r="S119" s="4"/>
      <c r="T119" s="4"/>
      <c r="U119" s="4"/>
      <c r="V119" s="4"/>
      <c r="W119" s="4">
        <v>0</v>
      </c>
      <c r="X119" s="4">
        <v>1</v>
      </c>
      <c r="Y119" s="4">
        <v>0</v>
      </c>
      <c r="Z119" s="4"/>
      <c r="AA119" s="4"/>
      <c r="AB119" s="4"/>
    </row>
    <row r="120" spans="1:28" x14ac:dyDescent="0.2">
      <c r="A120" s="4">
        <v>50</v>
      </c>
      <c r="B120" s="4">
        <v>0</v>
      </c>
      <c r="C120" s="4">
        <v>0</v>
      </c>
      <c r="D120" s="4">
        <v>1</v>
      </c>
      <c r="E120" s="4">
        <v>216</v>
      </c>
      <c r="F120" s="4">
        <f>ROUND(Source!AP111,O120)</f>
        <v>0</v>
      </c>
      <c r="G120" s="4" t="s">
        <v>50</v>
      </c>
      <c r="H120" s="4" t="s">
        <v>51</v>
      </c>
      <c r="I120" s="4"/>
      <c r="J120" s="4"/>
      <c r="K120" s="4">
        <v>216</v>
      </c>
      <c r="L120" s="4">
        <v>8</v>
      </c>
      <c r="M120" s="4">
        <v>3</v>
      </c>
      <c r="N120" s="4" t="s">
        <v>3</v>
      </c>
      <c r="O120" s="4">
        <v>2</v>
      </c>
      <c r="P120" s="4"/>
      <c r="Q120" s="4"/>
      <c r="R120" s="4"/>
      <c r="S120" s="4"/>
      <c r="T120" s="4"/>
      <c r="U120" s="4"/>
      <c r="V120" s="4"/>
      <c r="W120" s="4">
        <v>0</v>
      </c>
      <c r="X120" s="4">
        <v>1</v>
      </c>
      <c r="Y120" s="4">
        <v>0</v>
      </c>
      <c r="Z120" s="4"/>
      <c r="AA120" s="4"/>
      <c r="AB120" s="4"/>
    </row>
    <row r="121" spans="1:28" x14ac:dyDescent="0.2">
      <c r="A121" s="4">
        <v>50</v>
      </c>
      <c r="B121" s="4">
        <v>0</v>
      </c>
      <c r="C121" s="4">
        <v>0</v>
      </c>
      <c r="D121" s="4">
        <v>1</v>
      </c>
      <c r="E121" s="4">
        <v>223</v>
      </c>
      <c r="F121" s="4">
        <f>ROUND(Source!AQ111,O121)</f>
        <v>0</v>
      </c>
      <c r="G121" s="4" t="s">
        <v>52</v>
      </c>
      <c r="H121" s="4" t="s">
        <v>53</v>
      </c>
      <c r="I121" s="4"/>
      <c r="J121" s="4"/>
      <c r="K121" s="4">
        <v>223</v>
      </c>
      <c r="L121" s="4">
        <v>9</v>
      </c>
      <c r="M121" s="4">
        <v>3</v>
      </c>
      <c r="N121" s="4" t="s">
        <v>3</v>
      </c>
      <c r="O121" s="4">
        <v>2</v>
      </c>
      <c r="P121" s="4"/>
      <c r="Q121" s="4"/>
      <c r="R121" s="4"/>
      <c r="S121" s="4"/>
      <c r="T121" s="4"/>
      <c r="U121" s="4"/>
      <c r="V121" s="4"/>
      <c r="W121" s="4">
        <v>0</v>
      </c>
      <c r="X121" s="4">
        <v>1</v>
      </c>
      <c r="Y121" s="4">
        <v>0</v>
      </c>
      <c r="Z121" s="4"/>
      <c r="AA121" s="4"/>
      <c r="AB121" s="4"/>
    </row>
    <row r="122" spans="1:28" x14ac:dyDescent="0.2">
      <c r="A122" s="4">
        <v>50</v>
      </c>
      <c r="B122" s="4">
        <v>0</v>
      </c>
      <c r="C122" s="4">
        <v>0</v>
      </c>
      <c r="D122" s="4">
        <v>1</v>
      </c>
      <c r="E122" s="4">
        <v>229</v>
      </c>
      <c r="F122" s="4">
        <f>ROUND(Source!AZ111,O122)</f>
        <v>0</v>
      </c>
      <c r="G122" s="4" t="s">
        <v>54</v>
      </c>
      <c r="H122" s="4" t="s">
        <v>55</v>
      </c>
      <c r="I122" s="4"/>
      <c r="J122" s="4"/>
      <c r="K122" s="4">
        <v>229</v>
      </c>
      <c r="L122" s="4">
        <v>10</v>
      </c>
      <c r="M122" s="4">
        <v>3</v>
      </c>
      <c r="N122" s="4" t="s">
        <v>3</v>
      </c>
      <c r="O122" s="4">
        <v>2</v>
      </c>
      <c r="P122" s="4"/>
      <c r="Q122" s="4"/>
      <c r="R122" s="4"/>
      <c r="S122" s="4"/>
      <c r="T122" s="4"/>
      <c r="U122" s="4"/>
      <c r="V122" s="4"/>
      <c r="W122" s="4">
        <v>0</v>
      </c>
      <c r="X122" s="4">
        <v>1</v>
      </c>
      <c r="Y122" s="4">
        <v>0</v>
      </c>
      <c r="Z122" s="4"/>
      <c r="AA122" s="4"/>
      <c r="AB122" s="4"/>
    </row>
    <row r="123" spans="1:28" x14ac:dyDescent="0.2">
      <c r="A123" s="4">
        <v>50</v>
      </c>
      <c r="B123" s="4">
        <v>0</v>
      </c>
      <c r="C123" s="4">
        <v>0</v>
      </c>
      <c r="D123" s="4">
        <v>1</v>
      </c>
      <c r="E123" s="4">
        <v>203</v>
      </c>
      <c r="F123" s="4">
        <f>ROUND(Source!Q111,O123)</f>
        <v>6203.77</v>
      </c>
      <c r="G123" s="4" t="s">
        <v>56</v>
      </c>
      <c r="H123" s="4" t="s">
        <v>57</v>
      </c>
      <c r="I123" s="4"/>
      <c r="J123" s="4"/>
      <c r="K123" s="4">
        <v>203</v>
      </c>
      <c r="L123" s="4">
        <v>11</v>
      </c>
      <c r="M123" s="4">
        <v>3</v>
      </c>
      <c r="N123" s="4" t="s">
        <v>3</v>
      </c>
      <c r="O123" s="4">
        <v>2</v>
      </c>
      <c r="P123" s="4"/>
      <c r="Q123" s="4"/>
      <c r="R123" s="4"/>
      <c r="S123" s="4"/>
      <c r="T123" s="4"/>
      <c r="U123" s="4"/>
      <c r="V123" s="4"/>
      <c r="W123" s="4">
        <v>6203.77</v>
      </c>
      <c r="X123" s="4">
        <v>1</v>
      </c>
      <c r="Y123" s="4">
        <v>6203.77</v>
      </c>
      <c r="Z123" s="4"/>
      <c r="AA123" s="4"/>
      <c r="AB123" s="4"/>
    </row>
    <row r="124" spans="1:28" x14ac:dyDescent="0.2">
      <c r="A124" s="4">
        <v>50</v>
      </c>
      <c r="B124" s="4">
        <v>0</v>
      </c>
      <c r="C124" s="4">
        <v>0</v>
      </c>
      <c r="D124" s="4">
        <v>1</v>
      </c>
      <c r="E124" s="4">
        <v>231</v>
      </c>
      <c r="F124" s="4">
        <f>ROUND(Source!BB111,O124)</f>
        <v>0</v>
      </c>
      <c r="G124" s="4" t="s">
        <v>58</v>
      </c>
      <c r="H124" s="4" t="s">
        <v>59</v>
      </c>
      <c r="I124" s="4"/>
      <c r="J124" s="4"/>
      <c r="K124" s="4">
        <v>231</v>
      </c>
      <c r="L124" s="4">
        <v>12</v>
      </c>
      <c r="M124" s="4">
        <v>3</v>
      </c>
      <c r="N124" s="4" t="s">
        <v>3</v>
      </c>
      <c r="O124" s="4">
        <v>2</v>
      </c>
      <c r="P124" s="4"/>
      <c r="Q124" s="4"/>
      <c r="R124" s="4"/>
      <c r="S124" s="4"/>
      <c r="T124" s="4"/>
      <c r="U124" s="4"/>
      <c r="V124" s="4"/>
      <c r="W124" s="4">
        <v>0</v>
      </c>
      <c r="X124" s="4">
        <v>1</v>
      </c>
      <c r="Y124" s="4">
        <v>0</v>
      </c>
      <c r="Z124" s="4"/>
      <c r="AA124" s="4"/>
      <c r="AB124" s="4"/>
    </row>
    <row r="125" spans="1:28" x14ac:dyDescent="0.2">
      <c r="A125" s="4">
        <v>50</v>
      </c>
      <c r="B125" s="4">
        <v>0</v>
      </c>
      <c r="C125" s="4">
        <v>0</v>
      </c>
      <c r="D125" s="4">
        <v>1</v>
      </c>
      <c r="E125" s="4">
        <v>204</v>
      </c>
      <c r="F125" s="4">
        <f>ROUND(Source!R111,O125)</f>
        <v>3726.06</v>
      </c>
      <c r="G125" s="4" t="s">
        <v>60</v>
      </c>
      <c r="H125" s="4" t="s">
        <v>61</v>
      </c>
      <c r="I125" s="4"/>
      <c r="J125" s="4"/>
      <c r="K125" s="4">
        <v>204</v>
      </c>
      <c r="L125" s="4">
        <v>13</v>
      </c>
      <c r="M125" s="4">
        <v>3</v>
      </c>
      <c r="N125" s="4" t="s">
        <v>3</v>
      </c>
      <c r="O125" s="4">
        <v>2</v>
      </c>
      <c r="P125" s="4"/>
      <c r="Q125" s="4"/>
      <c r="R125" s="4"/>
      <c r="S125" s="4"/>
      <c r="T125" s="4"/>
      <c r="U125" s="4"/>
      <c r="V125" s="4"/>
      <c r="W125" s="4">
        <v>3726.06</v>
      </c>
      <c r="X125" s="4">
        <v>1</v>
      </c>
      <c r="Y125" s="4">
        <v>3726.06</v>
      </c>
      <c r="Z125" s="4"/>
      <c r="AA125" s="4"/>
      <c r="AB125" s="4"/>
    </row>
    <row r="126" spans="1:28" x14ac:dyDescent="0.2">
      <c r="A126" s="4">
        <v>50</v>
      </c>
      <c r="B126" s="4">
        <v>0</v>
      </c>
      <c r="C126" s="4">
        <v>0</v>
      </c>
      <c r="D126" s="4">
        <v>1</v>
      </c>
      <c r="E126" s="4">
        <v>205</v>
      </c>
      <c r="F126" s="4">
        <f>ROUND(Source!S111,O126)</f>
        <v>0</v>
      </c>
      <c r="G126" s="4" t="s">
        <v>62</v>
      </c>
      <c r="H126" s="4" t="s">
        <v>63</v>
      </c>
      <c r="I126" s="4"/>
      <c r="J126" s="4"/>
      <c r="K126" s="4">
        <v>205</v>
      </c>
      <c r="L126" s="4">
        <v>14</v>
      </c>
      <c r="M126" s="4">
        <v>3</v>
      </c>
      <c r="N126" s="4" t="s">
        <v>3</v>
      </c>
      <c r="O126" s="4">
        <v>2</v>
      </c>
      <c r="P126" s="4"/>
      <c r="Q126" s="4"/>
      <c r="R126" s="4"/>
      <c r="S126" s="4"/>
      <c r="T126" s="4"/>
      <c r="U126" s="4"/>
      <c r="V126" s="4"/>
      <c r="W126" s="4">
        <v>0</v>
      </c>
      <c r="X126" s="4">
        <v>1</v>
      </c>
      <c r="Y126" s="4">
        <v>0</v>
      </c>
      <c r="Z126" s="4"/>
      <c r="AA126" s="4"/>
      <c r="AB126" s="4"/>
    </row>
    <row r="127" spans="1:28" x14ac:dyDescent="0.2">
      <c r="A127" s="4">
        <v>50</v>
      </c>
      <c r="B127" s="4">
        <v>0</v>
      </c>
      <c r="C127" s="4">
        <v>0</v>
      </c>
      <c r="D127" s="4">
        <v>1</v>
      </c>
      <c r="E127" s="4">
        <v>232</v>
      </c>
      <c r="F127" s="4">
        <f>ROUND(Source!BC111,O127)</f>
        <v>0</v>
      </c>
      <c r="G127" s="4" t="s">
        <v>64</v>
      </c>
      <c r="H127" s="4" t="s">
        <v>65</v>
      </c>
      <c r="I127" s="4"/>
      <c r="J127" s="4"/>
      <c r="K127" s="4">
        <v>232</v>
      </c>
      <c r="L127" s="4">
        <v>15</v>
      </c>
      <c r="M127" s="4">
        <v>3</v>
      </c>
      <c r="N127" s="4" t="s">
        <v>3</v>
      </c>
      <c r="O127" s="4">
        <v>2</v>
      </c>
      <c r="P127" s="4"/>
      <c r="Q127" s="4"/>
      <c r="R127" s="4"/>
      <c r="S127" s="4"/>
      <c r="T127" s="4"/>
      <c r="U127" s="4"/>
      <c r="V127" s="4"/>
      <c r="W127" s="4">
        <v>0</v>
      </c>
      <c r="X127" s="4">
        <v>1</v>
      </c>
      <c r="Y127" s="4">
        <v>0</v>
      </c>
      <c r="Z127" s="4"/>
      <c r="AA127" s="4"/>
      <c r="AB127" s="4"/>
    </row>
    <row r="128" spans="1:28" x14ac:dyDescent="0.2">
      <c r="A128" s="4">
        <v>50</v>
      </c>
      <c r="B128" s="4">
        <v>0</v>
      </c>
      <c r="C128" s="4">
        <v>0</v>
      </c>
      <c r="D128" s="4">
        <v>1</v>
      </c>
      <c r="E128" s="4">
        <v>214</v>
      </c>
      <c r="F128" s="4">
        <f>ROUND(Source!AS111,O128)</f>
        <v>0</v>
      </c>
      <c r="G128" s="4" t="s">
        <v>66</v>
      </c>
      <c r="H128" s="4" t="s">
        <v>67</v>
      </c>
      <c r="I128" s="4"/>
      <c r="J128" s="4"/>
      <c r="K128" s="4">
        <v>214</v>
      </c>
      <c r="L128" s="4">
        <v>16</v>
      </c>
      <c r="M128" s="4">
        <v>3</v>
      </c>
      <c r="N128" s="4" t="s">
        <v>3</v>
      </c>
      <c r="O128" s="4">
        <v>2</v>
      </c>
      <c r="P128" s="4"/>
      <c r="Q128" s="4"/>
      <c r="R128" s="4"/>
      <c r="S128" s="4"/>
      <c r="T128" s="4"/>
      <c r="U128" s="4"/>
      <c r="V128" s="4"/>
      <c r="W128" s="4">
        <v>0</v>
      </c>
      <c r="X128" s="4">
        <v>1</v>
      </c>
      <c r="Y128" s="4">
        <v>0</v>
      </c>
      <c r="Z128" s="4"/>
      <c r="AA128" s="4"/>
      <c r="AB128" s="4"/>
    </row>
    <row r="129" spans="1:206" x14ac:dyDescent="0.2">
      <c r="A129" s="4">
        <v>50</v>
      </c>
      <c r="B129" s="4">
        <v>0</v>
      </c>
      <c r="C129" s="4">
        <v>0</v>
      </c>
      <c r="D129" s="4">
        <v>1</v>
      </c>
      <c r="E129" s="4">
        <v>215</v>
      </c>
      <c r="F129" s="4">
        <f>ROUND(Source!AT111,O129)</f>
        <v>0</v>
      </c>
      <c r="G129" s="4" t="s">
        <v>68</v>
      </c>
      <c r="H129" s="4" t="s">
        <v>69</v>
      </c>
      <c r="I129" s="4"/>
      <c r="J129" s="4"/>
      <c r="K129" s="4">
        <v>215</v>
      </c>
      <c r="L129" s="4">
        <v>17</v>
      </c>
      <c r="M129" s="4">
        <v>3</v>
      </c>
      <c r="N129" s="4" t="s">
        <v>3</v>
      </c>
      <c r="O129" s="4">
        <v>2</v>
      </c>
      <c r="P129" s="4"/>
      <c r="Q129" s="4"/>
      <c r="R129" s="4"/>
      <c r="S129" s="4"/>
      <c r="T129" s="4"/>
      <c r="U129" s="4"/>
      <c r="V129" s="4"/>
      <c r="W129" s="4">
        <v>0</v>
      </c>
      <c r="X129" s="4">
        <v>1</v>
      </c>
      <c r="Y129" s="4">
        <v>0</v>
      </c>
      <c r="Z129" s="4"/>
      <c r="AA129" s="4"/>
      <c r="AB129" s="4"/>
    </row>
    <row r="130" spans="1:206" x14ac:dyDescent="0.2">
      <c r="A130" s="4">
        <v>50</v>
      </c>
      <c r="B130" s="4">
        <v>0</v>
      </c>
      <c r="C130" s="4">
        <v>0</v>
      </c>
      <c r="D130" s="4">
        <v>1</v>
      </c>
      <c r="E130" s="4">
        <v>217</v>
      </c>
      <c r="F130" s="4">
        <f>ROUND(Source!AU111,O130)</f>
        <v>6351.58</v>
      </c>
      <c r="G130" s="4" t="s">
        <v>70</v>
      </c>
      <c r="H130" s="4" t="s">
        <v>71</v>
      </c>
      <c r="I130" s="4"/>
      <c r="J130" s="4"/>
      <c r="K130" s="4">
        <v>217</v>
      </c>
      <c r="L130" s="4">
        <v>18</v>
      </c>
      <c r="M130" s="4">
        <v>3</v>
      </c>
      <c r="N130" s="4" t="s">
        <v>3</v>
      </c>
      <c r="O130" s="4">
        <v>2</v>
      </c>
      <c r="P130" s="4"/>
      <c r="Q130" s="4"/>
      <c r="R130" s="4"/>
      <c r="S130" s="4"/>
      <c r="T130" s="4"/>
      <c r="U130" s="4"/>
      <c r="V130" s="4"/>
      <c r="W130" s="4">
        <v>6351.58</v>
      </c>
      <c r="X130" s="4">
        <v>1</v>
      </c>
      <c r="Y130" s="4">
        <v>6351.58</v>
      </c>
      <c r="Z130" s="4"/>
      <c r="AA130" s="4"/>
      <c r="AB130" s="4"/>
    </row>
    <row r="131" spans="1:206" x14ac:dyDescent="0.2">
      <c r="A131" s="4">
        <v>50</v>
      </c>
      <c r="B131" s="4">
        <v>0</v>
      </c>
      <c r="C131" s="4">
        <v>0</v>
      </c>
      <c r="D131" s="4">
        <v>1</v>
      </c>
      <c r="E131" s="4">
        <v>230</v>
      </c>
      <c r="F131" s="4">
        <f>ROUND(Source!BA111,O131)</f>
        <v>0</v>
      </c>
      <c r="G131" s="4" t="s">
        <v>72</v>
      </c>
      <c r="H131" s="4" t="s">
        <v>73</v>
      </c>
      <c r="I131" s="4"/>
      <c r="J131" s="4"/>
      <c r="K131" s="4">
        <v>230</v>
      </c>
      <c r="L131" s="4">
        <v>19</v>
      </c>
      <c r="M131" s="4">
        <v>3</v>
      </c>
      <c r="N131" s="4" t="s">
        <v>3</v>
      </c>
      <c r="O131" s="4">
        <v>2</v>
      </c>
      <c r="P131" s="4"/>
      <c r="Q131" s="4"/>
      <c r="R131" s="4"/>
      <c r="S131" s="4"/>
      <c r="T131" s="4"/>
      <c r="U131" s="4"/>
      <c r="V131" s="4"/>
      <c r="W131" s="4">
        <v>0</v>
      </c>
      <c r="X131" s="4">
        <v>1</v>
      </c>
      <c r="Y131" s="4">
        <v>0</v>
      </c>
      <c r="Z131" s="4"/>
      <c r="AA131" s="4"/>
      <c r="AB131" s="4"/>
    </row>
    <row r="132" spans="1:206" x14ac:dyDescent="0.2">
      <c r="A132" s="4">
        <v>50</v>
      </c>
      <c r="B132" s="4">
        <v>0</v>
      </c>
      <c r="C132" s="4">
        <v>0</v>
      </c>
      <c r="D132" s="4">
        <v>1</v>
      </c>
      <c r="E132" s="4">
        <v>206</v>
      </c>
      <c r="F132" s="4">
        <f>ROUND(Source!T111,O132)</f>
        <v>0</v>
      </c>
      <c r="G132" s="4" t="s">
        <v>74</v>
      </c>
      <c r="H132" s="4" t="s">
        <v>75</v>
      </c>
      <c r="I132" s="4"/>
      <c r="J132" s="4"/>
      <c r="K132" s="4">
        <v>206</v>
      </c>
      <c r="L132" s="4">
        <v>20</v>
      </c>
      <c r="M132" s="4">
        <v>3</v>
      </c>
      <c r="N132" s="4" t="s">
        <v>3</v>
      </c>
      <c r="O132" s="4">
        <v>2</v>
      </c>
      <c r="P132" s="4"/>
      <c r="Q132" s="4"/>
      <c r="R132" s="4"/>
      <c r="S132" s="4"/>
      <c r="T132" s="4"/>
      <c r="U132" s="4"/>
      <c r="V132" s="4"/>
      <c r="W132" s="4">
        <v>0</v>
      </c>
      <c r="X132" s="4">
        <v>1</v>
      </c>
      <c r="Y132" s="4">
        <v>0</v>
      </c>
      <c r="Z132" s="4"/>
      <c r="AA132" s="4"/>
      <c r="AB132" s="4"/>
    </row>
    <row r="133" spans="1:206" x14ac:dyDescent="0.2">
      <c r="A133" s="4">
        <v>50</v>
      </c>
      <c r="B133" s="4">
        <v>0</v>
      </c>
      <c r="C133" s="4">
        <v>0</v>
      </c>
      <c r="D133" s="4">
        <v>1</v>
      </c>
      <c r="E133" s="4">
        <v>207</v>
      </c>
      <c r="F133" s="4">
        <f>Source!U111</f>
        <v>0</v>
      </c>
      <c r="G133" s="4" t="s">
        <v>76</v>
      </c>
      <c r="H133" s="4" t="s">
        <v>77</v>
      </c>
      <c r="I133" s="4"/>
      <c r="J133" s="4"/>
      <c r="K133" s="4">
        <v>207</v>
      </c>
      <c r="L133" s="4">
        <v>21</v>
      </c>
      <c r="M133" s="4">
        <v>3</v>
      </c>
      <c r="N133" s="4" t="s">
        <v>3</v>
      </c>
      <c r="O133" s="4">
        <v>-1</v>
      </c>
      <c r="P133" s="4"/>
      <c r="Q133" s="4"/>
      <c r="R133" s="4"/>
      <c r="S133" s="4"/>
      <c r="T133" s="4"/>
      <c r="U133" s="4"/>
      <c r="V133" s="4"/>
      <c r="W133" s="4">
        <v>0</v>
      </c>
      <c r="X133" s="4">
        <v>1</v>
      </c>
      <c r="Y133" s="4">
        <v>0</v>
      </c>
      <c r="Z133" s="4"/>
      <c r="AA133" s="4"/>
      <c r="AB133" s="4"/>
    </row>
    <row r="134" spans="1:206" x14ac:dyDescent="0.2">
      <c r="A134" s="4">
        <v>50</v>
      </c>
      <c r="B134" s="4">
        <v>0</v>
      </c>
      <c r="C134" s="4">
        <v>0</v>
      </c>
      <c r="D134" s="4">
        <v>1</v>
      </c>
      <c r="E134" s="4">
        <v>208</v>
      </c>
      <c r="F134" s="4">
        <f>Source!V111</f>
        <v>0</v>
      </c>
      <c r="G134" s="4" t="s">
        <v>78</v>
      </c>
      <c r="H134" s="4" t="s">
        <v>79</v>
      </c>
      <c r="I134" s="4"/>
      <c r="J134" s="4"/>
      <c r="K134" s="4">
        <v>208</v>
      </c>
      <c r="L134" s="4">
        <v>22</v>
      </c>
      <c r="M134" s="4">
        <v>3</v>
      </c>
      <c r="N134" s="4" t="s">
        <v>3</v>
      </c>
      <c r="O134" s="4">
        <v>-1</v>
      </c>
      <c r="P134" s="4"/>
      <c r="Q134" s="4"/>
      <c r="R134" s="4"/>
      <c r="S134" s="4"/>
      <c r="T134" s="4"/>
      <c r="U134" s="4"/>
      <c r="V134" s="4"/>
      <c r="W134" s="4">
        <v>0</v>
      </c>
      <c r="X134" s="4">
        <v>1</v>
      </c>
      <c r="Y134" s="4">
        <v>0</v>
      </c>
      <c r="Z134" s="4"/>
      <c r="AA134" s="4"/>
      <c r="AB134" s="4"/>
    </row>
    <row r="135" spans="1:206" x14ac:dyDescent="0.2">
      <c r="A135" s="4">
        <v>50</v>
      </c>
      <c r="B135" s="4">
        <v>0</v>
      </c>
      <c r="C135" s="4">
        <v>0</v>
      </c>
      <c r="D135" s="4">
        <v>1</v>
      </c>
      <c r="E135" s="4">
        <v>209</v>
      </c>
      <c r="F135" s="4">
        <f>ROUND(Source!W111,O135)</f>
        <v>0</v>
      </c>
      <c r="G135" s="4" t="s">
        <v>80</v>
      </c>
      <c r="H135" s="4" t="s">
        <v>81</v>
      </c>
      <c r="I135" s="4"/>
      <c r="J135" s="4"/>
      <c r="K135" s="4">
        <v>209</v>
      </c>
      <c r="L135" s="4">
        <v>23</v>
      </c>
      <c r="M135" s="4">
        <v>3</v>
      </c>
      <c r="N135" s="4" t="s">
        <v>3</v>
      </c>
      <c r="O135" s="4">
        <v>2</v>
      </c>
      <c r="P135" s="4"/>
      <c r="Q135" s="4"/>
      <c r="R135" s="4"/>
      <c r="S135" s="4"/>
      <c r="T135" s="4"/>
      <c r="U135" s="4"/>
      <c r="V135" s="4"/>
      <c r="W135" s="4">
        <v>0</v>
      </c>
      <c r="X135" s="4">
        <v>1</v>
      </c>
      <c r="Y135" s="4">
        <v>0</v>
      </c>
      <c r="Z135" s="4"/>
      <c r="AA135" s="4"/>
      <c r="AB135" s="4"/>
    </row>
    <row r="136" spans="1:206" x14ac:dyDescent="0.2">
      <c r="A136" s="4">
        <v>50</v>
      </c>
      <c r="B136" s="4">
        <v>0</v>
      </c>
      <c r="C136" s="4">
        <v>0</v>
      </c>
      <c r="D136" s="4">
        <v>1</v>
      </c>
      <c r="E136" s="4">
        <v>233</v>
      </c>
      <c r="F136" s="4">
        <f>ROUND(Source!BD111,O136)</f>
        <v>0</v>
      </c>
      <c r="G136" s="4" t="s">
        <v>82</v>
      </c>
      <c r="H136" s="4" t="s">
        <v>83</v>
      </c>
      <c r="I136" s="4"/>
      <c r="J136" s="4"/>
      <c r="K136" s="4">
        <v>233</v>
      </c>
      <c r="L136" s="4">
        <v>24</v>
      </c>
      <c r="M136" s="4">
        <v>3</v>
      </c>
      <c r="N136" s="4" t="s">
        <v>3</v>
      </c>
      <c r="O136" s="4">
        <v>2</v>
      </c>
      <c r="P136" s="4"/>
      <c r="Q136" s="4"/>
      <c r="R136" s="4"/>
      <c r="S136" s="4"/>
      <c r="T136" s="4"/>
      <c r="U136" s="4"/>
      <c r="V136" s="4"/>
      <c r="W136" s="4">
        <v>0</v>
      </c>
      <c r="X136" s="4">
        <v>1</v>
      </c>
      <c r="Y136" s="4">
        <v>0</v>
      </c>
      <c r="Z136" s="4"/>
      <c r="AA136" s="4"/>
      <c r="AB136" s="4"/>
    </row>
    <row r="137" spans="1:206" x14ac:dyDescent="0.2">
      <c r="A137" s="4">
        <v>50</v>
      </c>
      <c r="B137" s="4">
        <v>0</v>
      </c>
      <c r="C137" s="4">
        <v>0</v>
      </c>
      <c r="D137" s="4">
        <v>1</v>
      </c>
      <c r="E137" s="4">
        <v>210</v>
      </c>
      <c r="F137" s="4">
        <f>ROUND(Source!X111,O137)</f>
        <v>0</v>
      </c>
      <c r="G137" s="4" t="s">
        <v>84</v>
      </c>
      <c r="H137" s="4" t="s">
        <v>85</v>
      </c>
      <c r="I137" s="4"/>
      <c r="J137" s="4"/>
      <c r="K137" s="4">
        <v>210</v>
      </c>
      <c r="L137" s="4">
        <v>25</v>
      </c>
      <c r="M137" s="4">
        <v>3</v>
      </c>
      <c r="N137" s="4" t="s">
        <v>3</v>
      </c>
      <c r="O137" s="4">
        <v>2</v>
      </c>
      <c r="P137" s="4"/>
      <c r="Q137" s="4"/>
      <c r="R137" s="4"/>
      <c r="S137" s="4"/>
      <c r="T137" s="4"/>
      <c r="U137" s="4"/>
      <c r="V137" s="4"/>
      <c r="W137" s="4">
        <v>0</v>
      </c>
      <c r="X137" s="4">
        <v>1</v>
      </c>
      <c r="Y137" s="4">
        <v>0</v>
      </c>
      <c r="Z137" s="4"/>
      <c r="AA137" s="4"/>
      <c r="AB137" s="4"/>
    </row>
    <row r="138" spans="1:206" x14ac:dyDescent="0.2">
      <c r="A138" s="4">
        <v>50</v>
      </c>
      <c r="B138" s="4">
        <v>0</v>
      </c>
      <c r="C138" s="4">
        <v>0</v>
      </c>
      <c r="D138" s="4">
        <v>1</v>
      </c>
      <c r="E138" s="4">
        <v>211</v>
      </c>
      <c r="F138" s="4">
        <f>ROUND(Source!Y111,O138)</f>
        <v>0</v>
      </c>
      <c r="G138" s="4" t="s">
        <v>86</v>
      </c>
      <c r="H138" s="4" t="s">
        <v>87</v>
      </c>
      <c r="I138" s="4"/>
      <c r="J138" s="4"/>
      <c r="K138" s="4">
        <v>211</v>
      </c>
      <c r="L138" s="4">
        <v>26</v>
      </c>
      <c r="M138" s="4">
        <v>3</v>
      </c>
      <c r="N138" s="4" t="s">
        <v>3</v>
      </c>
      <c r="O138" s="4">
        <v>2</v>
      </c>
      <c r="P138" s="4"/>
      <c r="Q138" s="4"/>
      <c r="R138" s="4"/>
      <c r="S138" s="4"/>
      <c r="T138" s="4"/>
      <c r="U138" s="4"/>
      <c r="V138" s="4"/>
      <c r="W138" s="4">
        <v>0</v>
      </c>
      <c r="X138" s="4">
        <v>1</v>
      </c>
      <c r="Y138" s="4">
        <v>0</v>
      </c>
      <c r="Z138" s="4"/>
      <c r="AA138" s="4"/>
      <c r="AB138" s="4"/>
    </row>
    <row r="139" spans="1:206" x14ac:dyDescent="0.2">
      <c r="A139" s="4">
        <v>50</v>
      </c>
      <c r="B139" s="4">
        <v>0</v>
      </c>
      <c r="C139" s="4">
        <v>0</v>
      </c>
      <c r="D139" s="4">
        <v>1</v>
      </c>
      <c r="E139" s="4">
        <v>224</v>
      </c>
      <c r="F139" s="4">
        <f>ROUND(Source!AR111,O139)</f>
        <v>6351.58</v>
      </c>
      <c r="G139" s="4" t="s">
        <v>88</v>
      </c>
      <c r="H139" s="4" t="s">
        <v>89</v>
      </c>
      <c r="I139" s="4"/>
      <c r="J139" s="4"/>
      <c r="K139" s="4">
        <v>224</v>
      </c>
      <c r="L139" s="4">
        <v>27</v>
      </c>
      <c r="M139" s="4">
        <v>3</v>
      </c>
      <c r="N139" s="4" t="s">
        <v>3</v>
      </c>
      <c r="O139" s="4">
        <v>2</v>
      </c>
      <c r="P139" s="4"/>
      <c r="Q139" s="4"/>
      <c r="R139" s="4"/>
      <c r="S139" s="4"/>
      <c r="T139" s="4"/>
      <c r="U139" s="4"/>
      <c r="V139" s="4"/>
      <c r="W139" s="4">
        <v>6351.58</v>
      </c>
      <c r="X139" s="4">
        <v>1</v>
      </c>
      <c r="Y139" s="4">
        <v>6351.58</v>
      </c>
      <c r="Z139" s="4"/>
      <c r="AA139" s="4"/>
      <c r="AB139" s="4"/>
    </row>
    <row r="141" spans="1:206" x14ac:dyDescent="0.2">
      <c r="A141" s="2">
        <v>51</v>
      </c>
      <c r="B141" s="2">
        <f>B20</f>
        <v>1</v>
      </c>
      <c r="C141" s="2">
        <f>A20</f>
        <v>3</v>
      </c>
      <c r="D141" s="2">
        <f>ROW(A20)</f>
        <v>20</v>
      </c>
      <c r="E141" s="2"/>
      <c r="F141" s="2" t="str">
        <f>IF(F20&lt;&gt;"",F20,"")</f>
        <v/>
      </c>
      <c r="G141" s="2" t="str">
        <f>IF(G20&lt;&gt;"",G20,"")</f>
        <v>Новая локальная смета</v>
      </c>
      <c r="H141" s="2">
        <v>0</v>
      </c>
      <c r="I141" s="2"/>
      <c r="J141" s="2"/>
      <c r="K141" s="2"/>
      <c r="L141" s="2"/>
      <c r="M141" s="2"/>
      <c r="N141" s="2"/>
      <c r="O141" s="2">
        <f t="shared" ref="O141:T141" si="51">ROUND(O33+O73+O111+AB141,2)</f>
        <v>158531.96</v>
      </c>
      <c r="P141" s="2">
        <f t="shared" si="51"/>
        <v>68377.22</v>
      </c>
      <c r="Q141" s="2">
        <f t="shared" si="51"/>
        <v>11409.61</v>
      </c>
      <c r="R141" s="2">
        <f t="shared" si="51"/>
        <v>6201.43</v>
      </c>
      <c r="S141" s="2">
        <f t="shared" si="51"/>
        <v>78745.13</v>
      </c>
      <c r="T141" s="2">
        <f t="shared" si="51"/>
        <v>0</v>
      </c>
      <c r="U141" s="2">
        <f>U33+U73+U111+AH141</f>
        <v>163.38800000000001</v>
      </c>
      <c r="V141" s="2">
        <f>V33+V73+V111+AI141</f>
        <v>0</v>
      </c>
      <c r="W141" s="2">
        <f>ROUND(W33+W73+W111+AJ141,2)</f>
        <v>0</v>
      </c>
      <c r="X141" s="2">
        <f>ROUND(X33+X73+X111+AK141,2)</f>
        <v>55121.59</v>
      </c>
      <c r="Y141" s="2">
        <f>ROUND(Y33+Y73+Y111+AL141,2)</f>
        <v>7874.52</v>
      </c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>
        <f t="shared" ref="AO141:BD141" si="52">ROUND(AO33+AO73+AO111+BX141,2)</f>
        <v>0</v>
      </c>
      <c r="AP141" s="2">
        <f t="shared" si="52"/>
        <v>0</v>
      </c>
      <c r="AQ141" s="2">
        <f t="shared" si="52"/>
        <v>0</v>
      </c>
      <c r="AR141" s="2">
        <f t="shared" si="52"/>
        <v>224349.28</v>
      </c>
      <c r="AS141" s="2">
        <f t="shared" si="52"/>
        <v>0</v>
      </c>
      <c r="AT141" s="2">
        <f t="shared" si="52"/>
        <v>0</v>
      </c>
      <c r="AU141" s="2">
        <f t="shared" si="52"/>
        <v>224349.28</v>
      </c>
      <c r="AV141" s="2">
        <f t="shared" si="52"/>
        <v>68377.22</v>
      </c>
      <c r="AW141" s="2">
        <f t="shared" si="52"/>
        <v>68377.22</v>
      </c>
      <c r="AX141" s="2">
        <f t="shared" si="52"/>
        <v>0</v>
      </c>
      <c r="AY141" s="2">
        <f t="shared" si="52"/>
        <v>68377.22</v>
      </c>
      <c r="AZ141" s="2">
        <f t="shared" si="52"/>
        <v>0</v>
      </c>
      <c r="BA141" s="2">
        <f t="shared" si="52"/>
        <v>0</v>
      </c>
      <c r="BB141" s="2">
        <f t="shared" si="52"/>
        <v>0</v>
      </c>
      <c r="BC141" s="2">
        <f t="shared" si="52"/>
        <v>0</v>
      </c>
      <c r="BD141" s="2">
        <f t="shared" si="52"/>
        <v>0</v>
      </c>
      <c r="BE141" s="2"/>
      <c r="BF141" s="2"/>
      <c r="BG141" s="2"/>
      <c r="BH141" s="2"/>
      <c r="BI141" s="2"/>
      <c r="BJ141" s="2"/>
      <c r="BK141" s="2"/>
      <c r="BL141" s="2"/>
      <c r="BM141" s="2"/>
      <c r="BN141" s="2"/>
      <c r="BO141" s="2"/>
      <c r="BP141" s="2"/>
      <c r="BQ141" s="2"/>
      <c r="BR141" s="2"/>
      <c r="BS141" s="2"/>
      <c r="BT141" s="2"/>
      <c r="BU141" s="2"/>
      <c r="BV141" s="2"/>
      <c r="BW141" s="2"/>
      <c r="BX141" s="2"/>
      <c r="BY141" s="2"/>
      <c r="BZ141" s="2"/>
      <c r="CA141" s="2"/>
      <c r="CB141" s="2"/>
      <c r="CC141" s="2"/>
      <c r="CD141" s="2"/>
      <c r="CE141" s="2"/>
      <c r="CF141" s="2"/>
      <c r="CG141" s="2"/>
      <c r="CH141" s="2"/>
      <c r="CI141" s="2"/>
      <c r="CJ141" s="2"/>
      <c r="CK141" s="2"/>
      <c r="CL141" s="2"/>
      <c r="CM141" s="2"/>
      <c r="CN141" s="2"/>
      <c r="CO141" s="2"/>
      <c r="CP141" s="2"/>
      <c r="CQ141" s="2"/>
      <c r="CR141" s="2"/>
      <c r="CS141" s="2"/>
      <c r="CT141" s="2"/>
      <c r="CU141" s="2"/>
      <c r="CV141" s="2"/>
      <c r="CW141" s="2"/>
      <c r="CX141" s="2"/>
      <c r="CY141" s="2"/>
      <c r="CZ141" s="2"/>
      <c r="DA141" s="2"/>
      <c r="DB141" s="2"/>
      <c r="DC141" s="2"/>
      <c r="DD141" s="2"/>
      <c r="DE141" s="2"/>
      <c r="DF141" s="2"/>
      <c r="DG141" s="3"/>
      <c r="DH141" s="3"/>
      <c r="DI141" s="3"/>
      <c r="DJ141" s="3"/>
      <c r="DK141" s="3"/>
      <c r="DL141" s="3"/>
      <c r="DM141" s="3"/>
      <c r="DN141" s="3"/>
      <c r="DO141" s="3"/>
      <c r="DP141" s="3"/>
      <c r="DQ141" s="3"/>
      <c r="DR141" s="3"/>
      <c r="DS141" s="3"/>
      <c r="DT141" s="3"/>
      <c r="DU141" s="3"/>
      <c r="DV141" s="3"/>
      <c r="DW141" s="3"/>
      <c r="DX141" s="3"/>
      <c r="DY141" s="3"/>
      <c r="DZ141" s="3"/>
      <c r="EA141" s="3"/>
      <c r="EB141" s="3"/>
      <c r="EC141" s="3"/>
      <c r="ED141" s="3"/>
      <c r="EE141" s="3"/>
      <c r="EF141" s="3"/>
      <c r="EG141" s="3"/>
      <c r="EH141" s="3"/>
      <c r="EI141" s="3"/>
      <c r="EJ141" s="3"/>
      <c r="EK141" s="3"/>
      <c r="EL141" s="3"/>
      <c r="EM141" s="3"/>
      <c r="EN141" s="3"/>
      <c r="EO141" s="3"/>
      <c r="EP141" s="3"/>
      <c r="EQ141" s="3"/>
      <c r="ER141" s="3"/>
      <c r="ES141" s="3"/>
      <c r="ET141" s="3"/>
      <c r="EU141" s="3"/>
      <c r="EV141" s="3"/>
      <c r="EW141" s="3"/>
      <c r="EX141" s="3"/>
      <c r="EY141" s="3"/>
      <c r="EZ141" s="3"/>
      <c r="FA141" s="3"/>
      <c r="FB141" s="3"/>
      <c r="FC141" s="3"/>
      <c r="FD141" s="3"/>
      <c r="FE141" s="3"/>
      <c r="FF141" s="3"/>
      <c r="FG141" s="3"/>
      <c r="FH141" s="3"/>
      <c r="FI141" s="3"/>
      <c r="FJ141" s="3"/>
      <c r="FK141" s="3"/>
      <c r="FL141" s="3"/>
      <c r="FM141" s="3"/>
      <c r="FN141" s="3"/>
      <c r="FO141" s="3"/>
      <c r="FP141" s="3"/>
      <c r="FQ141" s="3"/>
      <c r="FR141" s="3"/>
      <c r="FS141" s="3"/>
      <c r="FT141" s="3"/>
      <c r="FU141" s="3"/>
      <c r="FV141" s="3"/>
      <c r="FW141" s="3"/>
      <c r="FX141" s="3"/>
      <c r="FY141" s="3"/>
      <c r="FZ141" s="3"/>
      <c r="GA141" s="3"/>
      <c r="GB141" s="3"/>
      <c r="GC141" s="3"/>
      <c r="GD141" s="3"/>
      <c r="GE141" s="3"/>
      <c r="GF141" s="3"/>
      <c r="GG141" s="3"/>
      <c r="GH141" s="3"/>
      <c r="GI141" s="3"/>
      <c r="GJ141" s="3"/>
      <c r="GK141" s="3"/>
      <c r="GL141" s="3"/>
      <c r="GM141" s="3"/>
      <c r="GN141" s="3"/>
      <c r="GO141" s="3"/>
      <c r="GP141" s="3"/>
      <c r="GQ141" s="3"/>
      <c r="GR141" s="3"/>
      <c r="GS141" s="3"/>
      <c r="GT141" s="3"/>
      <c r="GU141" s="3"/>
      <c r="GV141" s="3"/>
      <c r="GW141" s="3"/>
      <c r="GX141" s="3">
        <v>0</v>
      </c>
    </row>
    <row r="143" spans="1:206" x14ac:dyDescent="0.2">
      <c r="A143" s="4">
        <v>50</v>
      </c>
      <c r="B143" s="4">
        <v>0</v>
      </c>
      <c r="C143" s="4">
        <v>0</v>
      </c>
      <c r="D143" s="4">
        <v>1</v>
      </c>
      <c r="E143" s="4">
        <v>201</v>
      </c>
      <c r="F143" s="4">
        <f>ROUND(Source!O141,O143)</f>
        <v>158531.96</v>
      </c>
      <c r="G143" s="4" t="s">
        <v>36</v>
      </c>
      <c r="H143" s="4" t="s">
        <v>37</v>
      </c>
      <c r="I143" s="4"/>
      <c r="J143" s="4"/>
      <c r="K143" s="4">
        <v>201</v>
      </c>
      <c r="L143" s="4">
        <v>1</v>
      </c>
      <c r="M143" s="4">
        <v>3</v>
      </c>
      <c r="N143" s="4" t="s">
        <v>3</v>
      </c>
      <c r="O143" s="4">
        <v>2</v>
      </c>
      <c r="P143" s="4"/>
      <c r="Q143" s="4"/>
      <c r="R143" s="4"/>
      <c r="S143" s="4"/>
      <c r="T143" s="4"/>
      <c r="U143" s="4"/>
      <c r="V143" s="4"/>
      <c r="W143" s="4">
        <v>158531.96</v>
      </c>
      <c r="X143" s="4">
        <v>1</v>
      </c>
      <c r="Y143" s="4">
        <v>158531.96</v>
      </c>
      <c r="Z143" s="4"/>
      <c r="AA143" s="4"/>
      <c r="AB143" s="4"/>
    </row>
    <row r="144" spans="1:206" x14ac:dyDescent="0.2">
      <c r="A144" s="4">
        <v>50</v>
      </c>
      <c r="B144" s="4">
        <v>0</v>
      </c>
      <c r="C144" s="4">
        <v>0</v>
      </c>
      <c r="D144" s="4">
        <v>1</v>
      </c>
      <c r="E144" s="4">
        <v>202</v>
      </c>
      <c r="F144" s="4">
        <f>ROUND(Source!P141,O144)</f>
        <v>68377.22</v>
      </c>
      <c r="G144" s="4" t="s">
        <v>38</v>
      </c>
      <c r="H144" s="4" t="s">
        <v>39</v>
      </c>
      <c r="I144" s="4"/>
      <c r="J144" s="4"/>
      <c r="K144" s="4">
        <v>202</v>
      </c>
      <c r="L144" s="4">
        <v>2</v>
      </c>
      <c r="M144" s="4">
        <v>3</v>
      </c>
      <c r="N144" s="4" t="s">
        <v>3</v>
      </c>
      <c r="O144" s="4">
        <v>2</v>
      </c>
      <c r="P144" s="4"/>
      <c r="Q144" s="4"/>
      <c r="R144" s="4"/>
      <c r="S144" s="4"/>
      <c r="T144" s="4"/>
      <c r="U144" s="4"/>
      <c r="V144" s="4"/>
      <c r="W144" s="4">
        <v>68377.22</v>
      </c>
      <c r="X144" s="4">
        <v>1</v>
      </c>
      <c r="Y144" s="4">
        <v>68377.22</v>
      </c>
      <c r="Z144" s="4"/>
      <c r="AA144" s="4"/>
      <c r="AB144" s="4"/>
    </row>
    <row r="145" spans="1:28" x14ac:dyDescent="0.2">
      <c r="A145" s="4">
        <v>50</v>
      </c>
      <c r="B145" s="4">
        <v>0</v>
      </c>
      <c r="C145" s="4">
        <v>0</v>
      </c>
      <c r="D145" s="4">
        <v>1</v>
      </c>
      <c r="E145" s="4">
        <v>222</v>
      </c>
      <c r="F145" s="4">
        <f>ROUND(Source!AO141,O145)</f>
        <v>0</v>
      </c>
      <c r="G145" s="4" t="s">
        <v>40</v>
      </c>
      <c r="H145" s="4" t="s">
        <v>41</v>
      </c>
      <c r="I145" s="4"/>
      <c r="J145" s="4"/>
      <c r="K145" s="4">
        <v>222</v>
      </c>
      <c r="L145" s="4">
        <v>3</v>
      </c>
      <c r="M145" s="4">
        <v>3</v>
      </c>
      <c r="N145" s="4" t="s">
        <v>3</v>
      </c>
      <c r="O145" s="4">
        <v>2</v>
      </c>
      <c r="P145" s="4"/>
      <c r="Q145" s="4"/>
      <c r="R145" s="4"/>
      <c r="S145" s="4"/>
      <c r="T145" s="4"/>
      <c r="U145" s="4"/>
      <c r="V145" s="4"/>
      <c r="W145" s="4">
        <v>0</v>
      </c>
      <c r="X145" s="4">
        <v>1</v>
      </c>
      <c r="Y145" s="4">
        <v>0</v>
      </c>
      <c r="Z145" s="4"/>
      <c r="AA145" s="4"/>
      <c r="AB145" s="4"/>
    </row>
    <row r="146" spans="1:28" x14ac:dyDescent="0.2">
      <c r="A146" s="4">
        <v>50</v>
      </c>
      <c r="B146" s="4">
        <v>0</v>
      </c>
      <c r="C146" s="4">
        <v>0</v>
      </c>
      <c r="D146" s="4">
        <v>1</v>
      </c>
      <c r="E146" s="4">
        <v>225</v>
      </c>
      <c r="F146" s="4">
        <f>ROUND(Source!AV141,O146)</f>
        <v>68377.22</v>
      </c>
      <c r="G146" s="4" t="s">
        <v>42</v>
      </c>
      <c r="H146" s="4" t="s">
        <v>43</v>
      </c>
      <c r="I146" s="4"/>
      <c r="J146" s="4"/>
      <c r="K146" s="4">
        <v>225</v>
      </c>
      <c r="L146" s="4">
        <v>4</v>
      </c>
      <c r="M146" s="4">
        <v>3</v>
      </c>
      <c r="N146" s="4" t="s">
        <v>3</v>
      </c>
      <c r="O146" s="4">
        <v>2</v>
      </c>
      <c r="P146" s="4"/>
      <c r="Q146" s="4"/>
      <c r="R146" s="4"/>
      <c r="S146" s="4"/>
      <c r="T146" s="4"/>
      <c r="U146" s="4"/>
      <c r="V146" s="4"/>
      <c r="W146" s="4">
        <v>68377.22</v>
      </c>
      <c r="X146" s="4">
        <v>1</v>
      </c>
      <c r="Y146" s="4">
        <v>68377.22</v>
      </c>
      <c r="Z146" s="4"/>
      <c r="AA146" s="4"/>
      <c r="AB146" s="4"/>
    </row>
    <row r="147" spans="1:28" x14ac:dyDescent="0.2">
      <c r="A147" s="4">
        <v>50</v>
      </c>
      <c r="B147" s="4">
        <v>0</v>
      </c>
      <c r="C147" s="4">
        <v>0</v>
      </c>
      <c r="D147" s="4">
        <v>1</v>
      </c>
      <c r="E147" s="4">
        <v>226</v>
      </c>
      <c r="F147" s="4">
        <f>ROUND(Source!AW141,O147)</f>
        <v>68377.22</v>
      </c>
      <c r="G147" s="4" t="s">
        <v>44</v>
      </c>
      <c r="H147" s="4" t="s">
        <v>45</v>
      </c>
      <c r="I147" s="4"/>
      <c r="J147" s="4"/>
      <c r="K147" s="4">
        <v>226</v>
      </c>
      <c r="L147" s="4">
        <v>5</v>
      </c>
      <c r="M147" s="4">
        <v>3</v>
      </c>
      <c r="N147" s="4" t="s">
        <v>3</v>
      </c>
      <c r="O147" s="4">
        <v>2</v>
      </c>
      <c r="P147" s="4"/>
      <c r="Q147" s="4"/>
      <c r="R147" s="4"/>
      <c r="S147" s="4"/>
      <c r="T147" s="4"/>
      <c r="U147" s="4"/>
      <c r="V147" s="4"/>
      <c r="W147" s="4">
        <v>68377.22</v>
      </c>
      <c r="X147" s="4">
        <v>1</v>
      </c>
      <c r="Y147" s="4">
        <v>68377.22</v>
      </c>
      <c r="Z147" s="4"/>
      <c r="AA147" s="4"/>
      <c r="AB147" s="4"/>
    </row>
    <row r="148" spans="1:28" x14ac:dyDescent="0.2">
      <c r="A148" s="4">
        <v>50</v>
      </c>
      <c r="B148" s="4">
        <v>0</v>
      </c>
      <c r="C148" s="4">
        <v>0</v>
      </c>
      <c r="D148" s="4">
        <v>1</v>
      </c>
      <c r="E148" s="4">
        <v>227</v>
      </c>
      <c r="F148" s="4">
        <f>ROUND(Source!AX141,O148)</f>
        <v>0</v>
      </c>
      <c r="G148" s="4" t="s">
        <v>46</v>
      </c>
      <c r="H148" s="4" t="s">
        <v>47</v>
      </c>
      <c r="I148" s="4"/>
      <c r="J148" s="4"/>
      <c r="K148" s="4">
        <v>227</v>
      </c>
      <c r="L148" s="4">
        <v>6</v>
      </c>
      <c r="M148" s="4">
        <v>3</v>
      </c>
      <c r="N148" s="4" t="s">
        <v>3</v>
      </c>
      <c r="O148" s="4">
        <v>2</v>
      </c>
      <c r="P148" s="4"/>
      <c r="Q148" s="4"/>
      <c r="R148" s="4"/>
      <c r="S148" s="4"/>
      <c r="T148" s="4"/>
      <c r="U148" s="4"/>
      <c r="V148" s="4"/>
      <c r="W148" s="4">
        <v>0</v>
      </c>
      <c r="X148" s="4">
        <v>1</v>
      </c>
      <c r="Y148" s="4">
        <v>0</v>
      </c>
      <c r="Z148" s="4"/>
      <c r="AA148" s="4"/>
      <c r="AB148" s="4"/>
    </row>
    <row r="149" spans="1:28" x14ac:dyDescent="0.2">
      <c r="A149" s="4">
        <v>50</v>
      </c>
      <c r="B149" s="4">
        <v>0</v>
      </c>
      <c r="C149" s="4">
        <v>0</v>
      </c>
      <c r="D149" s="4">
        <v>1</v>
      </c>
      <c r="E149" s="4">
        <v>228</v>
      </c>
      <c r="F149" s="4">
        <f>ROUND(Source!AY141,O149)</f>
        <v>68377.22</v>
      </c>
      <c r="G149" s="4" t="s">
        <v>48</v>
      </c>
      <c r="H149" s="4" t="s">
        <v>49</v>
      </c>
      <c r="I149" s="4"/>
      <c r="J149" s="4"/>
      <c r="K149" s="4">
        <v>228</v>
      </c>
      <c r="L149" s="4">
        <v>7</v>
      </c>
      <c r="M149" s="4">
        <v>3</v>
      </c>
      <c r="N149" s="4" t="s">
        <v>3</v>
      </c>
      <c r="O149" s="4">
        <v>2</v>
      </c>
      <c r="P149" s="4"/>
      <c r="Q149" s="4"/>
      <c r="R149" s="4"/>
      <c r="S149" s="4"/>
      <c r="T149" s="4"/>
      <c r="U149" s="4"/>
      <c r="V149" s="4"/>
      <c r="W149" s="4">
        <v>68377.22</v>
      </c>
      <c r="X149" s="4">
        <v>1</v>
      </c>
      <c r="Y149" s="4">
        <v>68377.22</v>
      </c>
      <c r="Z149" s="4"/>
      <c r="AA149" s="4"/>
      <c r="AB149" s="4"/>
    </row>
    <row r="150" spans="1:28" x14ac:dyDescent="0.2">
      <c r="A150" s="4">
        <v>50</v>
      </c>
      <c r="B150" s="4">
        <v>0</v>
      </c>
      <c r="C150" s="4">
        <v>0</v>
      </c>
      <c r="D150" s="4">
        <v>1</v>
      </c>
      <c r="E150" s="4">
        <v>216</v>
      </c>
      <c r="F150" s="4">
        <f>ROUND(Source!AP141,O150)</f>
        <v>0</v>
      </c>
      <c r="G150" s="4" t="s">
        <v>50</v>
      </c>
      <c r="H150" s="4" t="s">
        <v>51</v>
      </c>
      <c r="I150" s="4"/>
      <c r="J150" s="4"/>
      <c r="K150" s="4">
        <v>216</v>
      </c>
      <c r="L150" s="4">
        <v>8</v>
      </c>
      <c r="M150" s="4">
        <v>3</v>
      </c>
      <c r="N150" s="4" t="s">
        <v>3</v>
      </c>
      <c r="O150" s="4">
        <v>2</v>
      </c>
      <c r="P150" s="4"/>
      <c r="Q150" s="4"/>
      <c r="R150" s="4"/>
      <c r="S150" s="4"/>
      <c r="T150" s="4"/>
      <c r="U150" s="4"/>
      <c r="V150" s="4"/>
      <c r="W150" s="4">
        <v>0</v>
      </c>
      <c r="X150" s="4">
        <v>1</v>
      </c>
      <c r="Y150" s="4">
        <v>0</v>
      </c>
      <c r="Z150" s="4"/>
      <c r="AA150" s="4"/>
      <c r="AB150" s="4"/>
    </row>
    <row r="151" spans="1:28" x14ac:dyDescent="0.2">
      <c r="A151" s="4">
        <v>50</v>
      </c>
      <c r="B151" s="4">
        <v>0</v>
      </c>
      <c r="C151" s="4">
        <v>0</v>
      </c>
      <c r="D151" s="4">
        <v>1</v>
      </c>
      <c r="E151" s="4">
        <v>223</v>
      </c>
      <c r="F151" s="4">
        <f>ROUND(Source!AQ141,O151)</f>
        <v>0</v>
      </c>
      <c r="G151" s="4" t="s">
        <v>52</v>
      </c>
      <c r="H151" s="4" t="s">
        <v>53</v>
      </c>
      <c r="I151" s="4"/>
      <c r="J151" s="4"/>
      <c r="K151" s="4">
        <v>223</v>
      </c>
      <c r="L151" s="4">
        <v>9</v>
      </c>
      <c r="M151" s="4">
        <v>3</v>
      </c>
      <c r="N151" s="4" t="s">
        <v>3</v>
      </c>
      <c r="O151" s="4">
        <v>2</v>
      </c>
      <c r="P151" s="4"/>
      <c r="Q151" s="4"/>
      <c r="R151" s="4"/>
      <c r="S151" s="4"/>
      <c r="T151" s="4"/>
      <c r="U151" s="4"/>
      <c r="V151" s="4"/>
      <c r="W151" s="4">
        <v>0</v>
      </c>
      <c r="X151" s="4">
        <v>1</v>
      </c>
      <c r="Y151" s="4">
        <v>0</v>
      </c>
      <c r="Z151" s="4"/>
      <c r="AA151" s="4"/>
      <c r="AB151" s="4"/>
    </row>
    <row r="152" spans="1:28" x14ac:dyDescent="0.2">
      <c r="A152" s="4">
        <v>50</v>
      </c>
      <c r="B152" s="4">
        <v>0</v>
      </c>
      <c r="C152" s="4">
        <v>0</v>
      </c>
      <c r="D152" s="4">
        <v>1</v>
      </c>
      <c r="E152" s="4">
        <v>229</v>
      </c>
      <c r="F152" s="4">
        <f>ROUND(Source!AZ141,O152)</f>
        <v>0</v>
      </c>
      <c r="G152" s="4" t="s">
        <v>54</v>
      </c>
      <c r="H152" s="4" t="s">
        <v>55</v>
      </c>
      <c r="I152" s="4"/>
      <c r="J152" s="4"/>
      <c r="K152" s="4">
        <v>229</v>
      </c>
      <c r="L152" s="4">
        <v>10</v>
      </c>
      <c r="M152" s="4">
        <v>3</v>
      </c>
      <c r="N152" s="4" t="s">
        <v>3</v>
      </c>
      <c r="O152" s="4">
        <v>2</v>
      </c>
      <c r="P152" s="4"/>
      <c r="Q152" s="4"/>
      <c r="R152" s="4"/>
      <c r="S152" s="4"/>
      <c r="T152" s="4"/>
      <c r="U152" s="4"/>
      <c r="V152" s="4"/>
      <c r="W152" s="4">
        <v>0</v>
      </c>
      <c r="X152" s="4">
        <v>1</v>
      </c>
      <c r="Y152" s="4">
        <v>0</v>
      </c>
      <c r="Z152" s="4"/>
      <c r="AA152" s="4"/>
      <c r="AB152" s="4"/>
    </row>
    <row r="153" spans="1:28" x14ac:dyDescent="0.2">
      <c r="A153" s="4">
        <v>50</v>
      </c>
      <c r="B153" s="4">
        <v>0</v>
      </c>
      <c r="C153" s="4">
        <v>0</v>
      </c>
      <c r="D153" s="4">
        <v>1</v>
      </c>
      <c r="E153" s="4">
        <v>203</v>
      </c>
      <c r="F153" s="4">
        <f>ROUND(Source!Q141,O153)</f>
        <v>11409.61</v>
      </c>
      <c r="G153" s="4" t="s">
        <v>56</v>
      </c>
      <c r="H153" s="4" t="s">
        <v>57</v>
      </c>
      <c r="I153" s="4"/>
      <c r="J153" s="4"/>
      <c r="K153" s="4">
        <v>203</v>
      </c>
      <c r="L153" s="4">
        <v>11</v>
      </c>
      <c r="M153" s="4">
        <v>3</v>
      </c>
      <c r="N153" s="4" t="s">
        <v>3</v>
      </c>
      <c r="O153" s="4">
        <v>2</v>
      </c>
      <c r="P153" s="4"/>
      <c r="Q153" s="4"/>
      <c r="R153" s="4"/>
      <c r="S153" s="4"/>
      <c r="T153" s="4"/>
      <c r="U153" s="4"/>
      <c r="V153" s="4"/>
      <c r="W153" s="4">
        <v>11409.61</v>
      </c>
      <c r="X153" s="4">
        <v>1</v>
      </c>
      <c r="Y153" s="4">
        <v>11409.61</v>
      </c>
      <c r="Z153" s="4"/>
      <c r="AA153" s="4"/>
      <c r="AB153" s="4"/>
    </row>
    <row r="154" spans="1:28" x14ac:dyDescent="0.2">
      <c r="A154" s="4">
        <v>50</v>
      </c>
      <c r="B154" s="4">
        <v>0</v>
      </c>
      <c r="C154" s="4">
        <v>0</v>
      </c>
      <c r="D154" s="4">
        <v>1</v>
      </c>
      <c r="E154" s="4">
        <v>231</v>
      </c>
      <c r="F154" s="4">
        <f>ROUND(Source!BB141,O154)</f>
        <v>0</v>
      </c>
      <c r="G154" s="4" t="s">
        <v>58</v>
      </c>
      <c r="H154" s="4" t="s">
        <v>59</v>
      </c>
      <c r="I154" s="4"/>
      <c r="J154" s="4"/>
      <c r="K154" s="4">
        <v>231</v>
      </c>
      <c r="L154" s="4">
        <v>12</v>
      </c>
      <c r="M154" s="4">
        <v>3</v>
      </c>
      <c r="N154" s="4" t="s">
        <v>3</v>
      </c>
      <c r="O154" s="4">
        <v>2</v>
      </c>
      <c r="P154" s="4"/>
      <c r="Q154" s="4"/>
      <c r="R154" s="4"/>
      <c r="S154" s="4"/>
      <c r="T154" s="4"/>
      <c r="U154" s="4"/>
      <c r="V154" s="4"/>
      <c r="W154" s="4">
        <v>0</v>
      </c>
      <c r="X154" s="4">
        <v>1</v>
      </c>
      <c r="Y154" s="4">
        <v>0</v>
      </c>
      <c r="Z154" s="4"/>
      <c r="AA154" s="4"/>
      <c r="AB154" s="4"/>
    </row>
    <row r="155" spans="1:28" x14ac:dyDescent="0.2">
      <c r="A155" s="4">
        <v>50</v>
      </c>
      <c r="B155" s="4">
        <v>0</v>
      </c>
      <c r="C155" s="4">
        <v>0</v>
      </c>
      <c r="D155" s="4">
        <v>1</v>
      </c>
      <c r="E155" s="4">
        <v>204</v>
      </c>
      <c r="F155" s="4">
        <f>ROUND(Source!R141,O155)</f>
        <v>6201.43</v>
      </c>
      <c r="G155" s="4" t="s">
        <v>60</v>
      </c>
      <c r="H155" s="4" t="s">
        <v>61</v>
      </c>
      <c r="I155" s="4"/>
      <c r="J155" s="4"/>
      <c r="K155" s="4">
        <v>204</v>
      </c>
      <c r="L155" s="4">
        <v>13</v>
      </c>
      <c r="M155" s="4">
        <v>3</v>
      </c>
      <c r="N155" s="4" t="s">
        <v>3</v>
      </c>
      <c r="O155" s="4">
        <v>2</v>
      </c>
      <c r="P155" s="4"/>
      <c r="Q155" s="4"/>
      <c r="R155" s="4"/>
      <c r="S155" s="4"/>
      <c r="T155" s="4"/>
      <c r="U155" s="4"/>
      <c r="V155" s="4"/>
      <c r="W155" s="4">
        <v>6201.43</v>
      </c>
      <c r="X155" s="4">
        <v>1</v>
      </c>
      <c r="Y155" s="4">
        <v>6201.43</v>
      </c>
      <c r="Z155" s="4"/>
      <c r="AA155" s="4"/>
      <c r="AB155" s="4"/>
    </row>
    <row r="156" spans="1:28" x14ac:dyDescent="0.2">
      <c r="A156" s="4">
        <v>50</v>
      </c>
      <c r="B156" s="4">
        <v>0</v>
      </c>
      <c r="C156" s="4">
        <v>0</v>
      </c>
      <c r="D156" s="4">
        <v>1</v>
      </c>
      <c r="E156" s="4">
        <v>205</v>
      </c>
      <c r="F156" s="4">
        <f>ROUND(Source!S141,O156)</f>
        <v>78745.13</v>
      </c>
      <c r="G156" s="4" t="s">
        <v>62</v>
      </c>
      <c r="H156" s="4" t="s">
        <v>63</v>
      </c>
      <c r="I156" s="4"/>
      <c r="J156" s="4"/>
      <c r="K156" s="4">
        <v>205</v>
      </c>
      <c r="L156" s="4">
        <v>14</v>
      </c>
      <c r="M156" s="4">
        <v>3</v>
      </c>
      <c r="N156" s="4" t="s">
        <v>3</v>
      </c>
      <c r="O156" s="4">
        <v>2</v>
      </c>
      <c r="P156" s="4"/>
      <c r="Q156" s="4"/>
      <c r="R156" s="4"/>
      <c r="S156" s="4"/>
      <c r="T156" s="4"/>
      <c r="U156" s="4"/>
      <c r="V156" s="4"/>
      <c r="W156" s="4">
        <v>78745.13</v>
      </c>
      <c r="X156" s="4">
        <v>1</v>
      </c>
      <c r="Y156" s="4">
        <v>78745.13</v>
      </c>
      <c r="Z156" s="4"/>
      <c r="AA156" s="4"/>
      <c r="AB156" s="4"/>
    </row>
    <row r="157" spans="1:28" x14ac:dyDescent="0.2">
      <c r="A157" s="4">
        <v>50</v>
      </c>
      <c r="B157" s="4">
        <v>0</v>
      </c>
      <c r="C157" s="4">
        <v>0</v>
      </c>
      <c r="D157" s="4">
        <v>1</v>
      </c>
      <c r="E157" s="4">
        <v>232</v>
      </c>
      <c r="F157" s="4">
        <f>ROUND(Source!BC141,O157)</f>
        <v>0</v>
      </c>
      <c r="G157" s="4" t="s">
        <v>64</v>
      </c>
      <c r="H157" s="4" t="s">
        <v>65</v>
      </c>
      <c r="I157" s="4"/>
      <c r="J157" s="4"/>
      <c r="K157" s="4">
        <v>232</v>
      </c>
      <c r="L157" s="4">
        <v>15</v>
      </c>
      <c r="M157" s="4">
        <v>3</v>
      </c>
      <c r="N157" s="4" t="s">
        <v>3</v>
      </c>
      <c r="O157" s="4">
        <v>2</v>
      </c>
      <c r="P157" s="4"/>
      <c r="Q157" s="4"/>
      <c r="R157" s="4"/>
      <c r="S157" s="4"/>
      <c r="T157" s="4"/>
      <c r="U157" s="4"/>
      <c r="V157" s="4"/>
      <c r="W157" s="4">
        <v>0</v>
      </c>
      <c r="X157" s="4">
        <v>1</v>
      </c>
      <c r="Y157" s="4">
        <v>0</v>
      </c>
      <c r="Z157" s="4"/>
      <c r="AA157" s="4"/>
      <c r="AB157" s="4"/>
    </row>
    <row r="158" spans="1:28" x14ac:dyDescent="0.2">
      <c r="A158" s="4">
        <v>50</v>
      </c>
      <c r="B158" s="4">
        <v>0</v>
      </c>
      <c r="C158" s="4">
        <v>0</v>
      </c>
      <c r="D158" s="4">
        <v>1</v>
      </c>
      <c r="E158" s="4">
        <v>214</v>
      </c>
      <c r="F158" s="4">
        <f>ROUND(Source!AS141,O158)</f>
        <v>0</v>
      </c>
      <c r="G158" s="4" t="s">
        <v>66</v>
      </c>
      <c r="H158" s="4" t="s">
        <v>67</v>
      </c>
      <c r="I158" s="4"/>
      <c r="J158" s="4"/>
      <c r="K158" s="4">
        <v>214</v>
      </c>
      <c r="L158" s="4">
        <v>16</v>
      </c>
      <c r="M158" s="4">
        <v>3</v>
      </c>
      <c r="N158" s="4" t="s">
        <v>3</v>
      </c>
      <c r="O158" s="4">
        <v>2</v>
      </c>
      <c r="P158" s="4"/>
      <c r="Q158" s="4"/>
      <c r="R158" s="4"/>
      <c r="S158" s="4"/>
      <c r="T158" s="4"/>
      <c r="U158" s="4"/>
      <c r="V158" s="4"/>
      <c r="W158" s="4">
        <v>0</v>
      </c>
      <c r="X158" s="4">
        <v>1</v>
      </c>
      <c r="Y158" s="4">
        <v>0</v>
      </c>
      <c r="Z158" s="4"/>
      <c r="AA158" s="4"/>
      <c r="AB158" s="4"/>
    </row>
    <row r="159" spans="1:28" x14ac:dyDescent="0.2">
      <c r="A159" s="4">
        <v>50</v>
      </c>
      <c r="B159" s="4">
        <v>0</v>
      </c>
      <c r="C159" s="4">
        <v>0</v>
      </c>
      <c r="D159" s="4">
        <v>1</v>
      </c>
      <c r="E159" s="4">
        <v>215</v>
      </c>
      <c r="F159" s="4">
        <f>ROUND(Source!AT141,O159)</f>
        <v>0</v>
      </c>
      <c r="G159" s="4" t="s">
        <v>68</v>
      </c>
      <c r="H159" s="4" t="s">
        <v>69</v>
      </c>
      <c r="I159" s="4"/>
      <c r="J159" s="4"/>
      <c r="K159" s="4">
        <v>215</v>
      </c>
      <c r="L159" s="4">
        <v>17</v>
      </c>
      <c r="M159" s="4">
        <v>3</v>
      </c>
      <c r="N159" s="4" t="s">
        <v>3</v>
      </c>
      <c r="O159" s="4">
        <v>2</v>
      </c>
      <c r="P159" s="4"/>
      <c r="Q159" s="4"/>
      <c r="R159" s="4"/>
      <c r="S159" s="4"/>
      <c r="T159" s="4"/>
      <c r="U159" s="4"/>
      <c r="V159" s="4"/>
      <c r="W159" s="4">
        <v>0</v>
      </c>
      <c r="X159" s="4">
        <v>1</v>
      </c>
      <c r="Y159" s="4">
        <v>0</v>
      </c>
      <c r="Z159" s="4"/>
      <c r="AA159" s="4"/>
      <c r="AB159" s="4"/>
    </row>
    <row r="160" spans="1:28" x14ac:dyDescent="0.2">
      <c r="A160" s="4">
        <v>50</v>
      </c>
      <c r="B160" s="4">
        <v>0</v>
      </c>
      <c r="C160" s="4">
        <v>0</v>
      </c>
      <c r="D160" s="4">
        <v>1</v>
      </c>
      <c r="E160" s="4">
        <v>217</v>
      </c>
      <c r="F160" s="4">
        <f>ROUND(Source!AU141,O160)</f>
        <v>224349.28</v>
      </c>
      <c r="G160" s="4" t="s">
        <v>70</v>
      </c>
      <c r="H160" s="4" t="s">
        <v>71</v>
      </c>
      <c r="I160" s="4"/>
      <c r="J160" s="4"/>
      <c r="K160" s="4">
        <v>217</v>
      </c>
      <c r="L160" s="4">
        <v>18</v>
      </c>
      <c r="M160" s="4">
        <v>3</v>
      </c>
      <c r="N160" s="4" t="s">
        <v>3</v>
      </c>
      <c r="O160" s="4">
        <v>2</v>
      </c>
      <c r="P160" s="4"/>
      <c r="Q160" s="4"/>
      <c r="R160" s="4"/>
      <c r="S160" s="4"/>
      <c r="T160" s="4"/>
      <c r="U160" s="4"/>
      <c r="V160" s="4"/>
      <c r="W160" s="4">
        <v>224349.28</v>
      </c>
      <c r="X160" s="4">
        <v>1</v>
      </c>
      <c r="Y160" s="4">
        <v>224349.28</v>
      </c>
      <c r="Z160" s="4"/>
      <c r="AA160" s="4"/>
      <c r="AB160" s="4"/>
    </row>
    <row r="161" spans="1:206" x14ac:dyDescent="0.2">
      <c r="A161" s="4">
        <v>50</v>
      </c>
      <c r="B161" s="4">
        <v>0</v>
      </c>
      <c r="C161" s="4">
        <v>0</v>
      </c>
      <c r="D161" s="4">
        <v>1</v>
      </c>
      <c r="E161" s="4">
        <v>230</v>
      </c>
      <c r="F161" s="4">
        <f>ROUND(Source!BA141,O161)</f>
        <v>0</v>
      </c>
      <c r="G161" s="4" t="s">
        <v>72</v>
      </c>
      <c r="H161" s="4" t="s">
        <v>73</v>
      </c>
      <c r="I161" s="4"/>
      <c r="J161" s="4"/>
      <c r="K161" s="4">
        <v>230</v>
      </c>
      <c r="L161" s="4">
        <v>19</v>
      </c>
      <c r="M161" s="4">
        <v>3</v>
      </c>
      <c r="N161" s="4" t="s">
        <v>3</v>
      </c>
      <c r="O161" s="4">
        <v>2</v>
      </c>
      <c r="P161" s="4"/>
      <c r="Q161" s="4"/>
      <c r="R161" s="4"/>
      <c r="S161" s="4"/>
      <c r="T161" s="4"/>
      <c r="U161" s="4"/>
      <c r="V161" s="4"/>
      <c r="W161" s="4">
        <v>0</v>
      </c>
      <c r="X161" s="4">
        <v>1</v>
      </c>
      <c r="Y161" s="4">
        <v>0</v>
      </c>
      <c r="Z161" s="4"/>
      <c r="AA161" s="4"/>
      <c r="AB161" s="4"/>
    </row>
    <row r="162" spans="1:206" x14ac:dyDescent="0.2">
      <c r="A162" s="4">
        <v>50</v>
      </c>
      <c r="B162" s="4">
        <v>0</v>
      </c>
      <c r="C162" s="4">
        <v>0</v>
      </c>
      <c r="D162" s="4">
        <v>1</v>
      </c>
      <c r="E162" s="4">
        <v>206</v>
      </c>
      <c r="F162" s="4">
        <f>ROUND(Source!T141,O162)</f>
        <v>0</v>
      </c>
      <c r="G162" s="4" t="s">
        <v>74</v>
      </c>
      <c r="H162" s="4" t="s">
        <v>75</v>
      </c>
      <c r="I162" s="4"/>
      <c r="J162" s="4"/>
      <c r="K162" s="4">
        <v>206</v>
      </c>
      <c r="L162" s="4">
        <v>20</v>
      </c>
      <c r="M162" s="4">
        <v>3</v>
      </c>
      <c r="N162" s="4" t="s">
        <v>3</v>
      </c>
      <c r="O162" s="4">
        <v>2</v>
      </c>
      <c r="P162" s="4"/>
      <c r="Q162" s="4"/>
      <c r="R162" s="4"/>
      <c r="S162" s="4"/>
      <c r="T162" s="4"/>
      <c r="U162" s="4"/>
      <c r="V162" s="4"/>
      <c r="W162" s="4">
        <v>0</v>
      </c>
      <c r="X162" s="4">
        <v>1</v>
      </c>
      <c r="Y162" s="4">
        <v>0</v>
      </c>
      <c r="Z162" s="4"/>
      <c r="AA162" s="4"/>
      <c r="AB162" s="4"/>
    </row>
    <row r="163" spans="1:206" x14ac:dyDescent="0.2">
      <c r="A163" s="4">
        <v>50</v>
      </c>
      <c r="B163" s="4">
        <v>0</v>
      </c>
      <c r="C163" s="4">
        <v>0</v>
      </c>
      <c r="D163" s="4">
        <v>1</v>
      </c>
      <c r="E163" s="4">
        <v>207</v>
      </c>
      <c r="F163" s="4">
        <f>Source!U141</f>
        <v>163.38800000000001</v>
      </c>
      <c r="G163" s="4" t="s">
        <v>76</v>
      </c>
      <c r="H163" s="4" t="s">
        <v>77</v>
      </c>
      <c r="I163" s="4"/>
      <c r="J163" s="4"/>
      <c r="K163" s="4">
        <v>207</v>
      </c>
      <c r="L163" s="4">
        <v>21</v>
      </c>
      <c r="M163" s="4">
        <v>3</v>
      </c>
      <c r="N163" s="4" t="s">
        <v>3</v>
      </c>
      <c r="O163" s="4">
        <v>-1</v>
      </c>
      <c r="P163" s="4"/>
      <c r="Q163" s="4"/>
      <c r="R163" s="4"/>
      <c r="S163" s="4"/>
      <c r="T163" s="4"/>
      <c r="U163" s="4"/>
      <c r="V163" s="4"/>
      <c r="W163" s="4">
        <v>163.38800000000001</v>
      </c>
      <c r="X163" s="4">
        <v>1</v>
      </c>
      <c r="Y163" s="4">
        <v>163.38800000000001</v>
      </c>
      <c r="Z163" s="4"/>
      <c r="AA163" s="4"/>
      <c r="AB163" s="4"/>
    </row>
    <row r="164" spans="1:206" x14ac:dyDescent="0.2">
      <c r="A164" s="4">
        <v>50</v>
      </c>
      <c r="B164" s="4">
        <v>0</v>
      </c>
      <c r="C164" s="4">
        <v>0</v>
      </c>
      <c r="D164" s="4">
        <v>1</v>
      </c>
      <c r="E164" s="4">
        <v>208</v>
      </c>
      <c r="F164" s="4">
        <f>Source!V141</f>
        <v>0</v>
      </c>
      <c r="G164" s="4" t="s">
        <v>78</v>
      </c>
      <c r="H164" s="4" t="s">
        <v>79</v>
      </c>
      <c r="I164" s="4"/>
      <c r="J164" s="4"/>
      <c r="K164" s="4">
        <v>208</v>
      </c>
      <c r="L164" s="4">
        <v>22</v>
      </c>
      <c r="M164" s="4">
        <v>3</v>
      </c>
      <c r="N164" s="4" t="s">
        <v>3</v>
      </c>
      <c r="O164" s="4">
        <v>-1</v>
      </c>
      <c r="P164" s="4"/>
      <c r="Q164" s="4"/>
      <c r="R164" s="4"/>
      <c r="S164" s="4"/>
      <c r="T164" s="4"/>
      <c r="U164" s="4"/>
      <c r="V164" s="4"/>
      <c r="W164" s="4">
        <v>0</v>
      </c>
      <c r="X164" s="4">
        <v>1</v>
      </c>
      <c r="Y164" s="4">
        <v>0</v>
      </c>
      <c r="Z164" s="4"/>
      <c r="AA164" s="4"/>
      <c r="AB164" s="4"/>
    </row>
    <row r="165" spans="1:206" x14ac:dyDescent="0.2">
      <c r="A165" s="4">
        <v>50</v>
      </c>
      <c r="B165" s="4">
        <v>0</v>
      </c>
      <c r="C165" s="4">
        <v>0</v>
      </c>
      <c r="D165" s="4">
        <v>1</v>
      </c>
      <c r="E165" s="4">
        <v>209</v>
      </c>
      <c r="F165" s="4">
        <f>ROUND(Source!W141,O165)</f>
        <v>0</v>
      </c>
      <c r="G165" s="4" t="s">
        <v>80</v>
      </c>
      <c r="H165" s="4" t="s">
        <v>81</v>
      </c>
      <c r="I165" s="4"/>
      <c r="J165" s="4"/>
      <c r="K165" s="4">
        <v>209</v>
      </c>
      <c r="L165" s="4">
        <v>23</v>
      </c>
      <c r="M165" s="4">
        <v>3</v>
      </c>
      <c r="N165" s="4" t="s">
        <v>3</v>
      </c>
      <c r="O165" s="4">
        <v>2</v>
      </c>
      <c r="P165" s="4"/>
      <c r="Q165" s="4"/>
      <c r="R165" s="4"/>
      <c r="S165" s="4"/>
      <c r="T165" s="4"/>
      <c r="U165" s="4"/>
      <c r="V165" s="4"/>
      <c r="W165" s="4">
        <v>0</v>
      </c>
      <c r="X165" s="4">
        <v>1</v>
      </c>
      <c r="Y165" s="4">
        <v>0</v>
      </c>
      <c r="Z165" s="4"/>
      <c r="AA165" s="4"/>
      <c r="AB165" s="4"/>
    </row>
    <row r="166" spans="1:206" x14ac:dyDescent="0.2">
      <c r="A166" s="4">
        <v>50</v>
      </c>
      <c r="B166" s="4">
        <v>0</v>
      </c>
      <c r="C166" s="4">
        <v>0</v>
      </c>
      <c r="D166" s="4">
        <v>1</v>
      </c>
      <c r="E166" s="4">
        <v>233</v>
      </c>
      <c r="F166" s="4">
        <f>ROUND(Source!BD141,O166)</f>
        <v>0</v>
      </c>
      <c r="G166" s="4" t="s">
        <v>82</v>
      </c>
      <c r="H166" s="4" t="s">
        <v>83</v>
      </c>
      <c r="I166" s="4"/>
      <c r="J166" s="4"/>
      <c r="K166" s="4">
        <v>233</v>
      </c>
      <c r="L166" s="4">
        <v>24</v>
      </c>
      <c r="M166" s="4">
        <v>3</v>
      </c>
      <c r="N166" s="4" t="s">
        <v>3</v>
      </c>
      <c r="O166" s="4">
        <v>2</v>
      </c>
      <c r="P166" s="4"/>
      <c r="Q166" s="4"/>
      <c r="R166" s="4"/>
      <c r="S166" s="4"/>
      <c r="T166" s="4"/>
      <c r="U166" s="4"/>
      <c r="V166" s="4"/>
      <c r="W166" s="4">
        <v>0</v>
      </c>
      <c r="X166" s="4">
        <v>1</v>
      </c>
      <c r="Y166" s="4">
        <v>0</v>
      </c>
      <c r="Z166" s="4"/>
      <c r="AA166" s="4"/>
      <c r="AB166" s="4"/>
    </row>
    <row r="167" spans="1:206" x14ac:dyDescent="0.2">
      <c r="A167" s="4">
        <v>50</v>
      </c>
      <c r="B167" s="4">
        <v>0</v>
      </c>
      <c r="C167" s="4">
        <v>0</v>
      </c>
      <c r="D167" s="4">
        <v>1</v>
      </c>
      <c r="E167" s="4">
        <v>210</v>
      </c>
      <c r="F167" s="4">
        <f>ROUND(Source!X141,O167)</f>
        <v>55121.59</v>
      </c>
      <c r="G167" s="4" t="s">
        <v>84</v>
      </c>
      <c r="H167" s="4" t="s">
        <v>85</v>
      </c>
      <c r="I167" s="4"/>
      <c r="J167" s="4"/>
      <c r="K167" s="4">
        <v>210</v>
      </c>
      <c r="L167" s="4">
        <v>25</v>
      </c>
      <c r="M167" s="4">
        <v>3</v>
      </c>
      <c r="N167" s="4" t="s">
        <v>3</v>
      </c>
      <c r="O167" s="4">
        <v>2</v>
      </c>
      <c r="P167" s="4"/>
      <c r="Q167" s="4"/>
      <c r="R167" s="4"/>
      <c r="S167" s="4"/>
      <c r="T167" s="4"/>
      <c r="U167" s="4"/>
      <c r="V167" s="4"/>
      <c r="W167" s="4">
        <v>55121.59</v>
      </c>
      <c r="X167" s="4">
        <v>1</v>
      </c>
      <c r="Y167" s="4">
        <v>55121.59</v>
      </c>
      <c r="Z167" s="4"/>
      <c r="AA167" s="4"/>
      <c r="AB167" s="4"/>
    </row>
    <row r="168" spans="1:206" x14ac:dyDescent="0.2">
      <c r="A168" s="4">
        <v>50</v>
      </c>
      <c r="B168" s="4">
        <v>0</v>
      </c>
      <c r="C168" s="4">
        <v>0</v>
      </c>
      <c r="D168" s="4">
        <v>1</v>
      </c>
      <c r="E168" s="4">
        <v>211</v>
      </c>
      <c r="F168" s="4">
        <f>ROUND(Source!Y141,O168)</f>
        <v>7874.52</v>
      </c>
      <c r="G168" s="4" t="s">
        <v>86</v>
      </c>
      <c r="H168" s="4" t="s">
        <v>87</v>
      </c>
      <c r="I168" s="4"/>
      <c r="J168" s="4"/>
      <c r="K168" s="4">
        <v>211</v>
      </c>
      <c r="L168" s="4">
        <v>26</v>
      </c>
      <c r="M168" s="4">
        <v>3</v>
      </c>
      <c r="N168" s="4" t="s">
        <v>3</v>
      </c>
      <c r="O168" s="4">
        <v>2</v>
      </c>
      <c r="P168" s="4"/>
      <c r="Q168" s="4"/>
      <c r="R168" s="4"/>
      <c r="S168" s="4"/>
      <c r="T168" s="4"/>
      <c r="U168" s="4"/>
      <c r="V168" s="4"/>
      <c r="W168" s="4">
        <v>7874.52</v>
      </c>
      <c r="X168" s="4">
        <v>1</v>
      </c>
      <c r="Y168" s="4">
        <v>7874.52</v>
      </c>
      <c r="Z168" s="4"/>
      <c r="AA168" s="4"/>
      <c r="AB168" s="4"/>
    </row>
    <row r="169" spans="1:206" x14ac:dyDescent="0.2">
      <c r="A169" s="4">
        <v>50</v>
      </c>
      <c r="B169" s="4">
        <v>0</v>
      </c>
      <c r="C169" s="4">
        <v>0</v>
      </c>
      <c r="D169" s="4">
        <v>1</v>
      </c>
      <c r="E169" s="4">
        <v>224</v>
      </c>
      <c r="F169" s="4">
        <f>ROUND(Source!AR141,O169)</f>
        <v>224349.28</v>
      </c>
      <c r="G169" s="4" t="s">
        <v>88</v>
      </c>
      <c r="H169" s="4" t="s">
        <v>89</v>
      </c>
      <c r="I169" s="4"/>
      <c r="J169" s="4"/>
      <c r="K169" s="4">
        <v>224</v>
      </c>
      <c r="L169" s="4">
        <v>27</v>
      </c>
      <c r="M169" s="4">
        <v>3</v>
      </c>
      <c r="N169" s="4" t="s">
        <v>3</v>
      </c>
      <c r="O169" s="4">
        <v>2</v>
      </c>
      <c r="P169" s="4"/>
      <c r="Q169" s="4"/>
      <c r="R169" s="4"/>
      <c r="S169" s="4"/>
      <c r="T169" s="4"/>
      <c r="U169" s="4"/>
      <c r="V169" s="4"/>
      <c r="W169" s="4">
        <v>224349.28</v>
      </c>
      <c r="X169" s="4">
        <v>1</v>
      </c>
      <c r="Y169" s="4">
        <v>224349.28</v>
      </c>
      <c r="Z169" s="4"/>
      <c r="AA169" s="4"/>
      <c r="AB169" s="4"/>
    </row>
    <row r="171" spans="1:206" x14ac:dyDescent="0.2">
      <c r="A171" s="2">
        <v>51</v>
      </c>
      <c r="B171" s="2">
        <f>B12</f>
        <v>206</v>
      </c>
      <c r="C171" s="2">
        <f>A12</f>
        <v>1</v>
      </c>
      <c r="D171" s="2">
        <f>ROW(A12)</f>
        <v>12</v>
      </c>
      <c r="E171" s="2"/>
      <c r="F171" s="2" t="str">
        <f>IF(F12&lt;&gt;"",F12,"")</f>
        <v>Новый объект</v>
      </c>
      <c r="G171" s="2" t="str">
        <f>IF(G12&lt;&gt;"",G12,"")</f>
        <v>ГБОУ Школа №1440. Крылатские холмы д. 17. Фасад, кровля (в ценах на 01.04.2025 г)</v>
      </c>
      <c r="H171" s="2">
        <v>0</v>
      </c>
      <c r="I171" s="2"/>
      <c r="J171" s="2"/>
      <c r="K171" s="2"/>
      <c r="L171" s="2"/>
      <c r="M171" s="2"/>
      <c r="N171" s="2"/>
      <c r="O171" s="2">
        <f t="shared" ref="O171:T171" si="53">ROUND(O141,2)</f>
        <v>158531.96</v>
      </c>
      <c r="P171" s="2">
        <f t="shared" si="53"/>
        <v>68377.22</v>
      </c>
      <c r="Q171" s="2">
        <f t="shared" si="53"/>
        <v>11409.61</v>
      </c>
      <c r="R171" s="2">
        <f t="shared" si="53"/>
        <v>6201.43</v>
      </c>
      <c r="S171" s="2">
        <f t="shared" si="53"/>
        <v>78745.13</v>
      </c>
      <c r="T171" s="2">
        <f t="shared" si="53"/>
        <v>0</v>
      </c>
      <c r="U171" s="2">
        <f>U141</f>
        <v>163.38800000000001</v>
      </c>
      <c r="V171" s="2">
        <f>V141</f>
        <v>0</v>
      </c>
      <c r="W171" s="2">
        <f>ROUND(W141,2)</f>
        <v>0</v>
      </c>
      <c r="X171" s="2">
        <f>ROUND(X141,2)</f>
        <v>55121.59</v>
      </c>
      <c r="Y171" s="2">
        <f>ROUND(Y141,2)</f>
        <v>7874.52</v>
      </c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>
        <f t="shared" ref="AO171:BD171" si="54">ROUND(AO141,2)</f>
        <v>0</v>
      </c>
      <c r="AP171" s="2">
        <f t="shared" si="54"/>
        <v>0</v>
      </c>
      <c r="AQ171" s="2">
        <f t="shared" si="54"/>
        <v>0</v>
      </c>
      <c r="AR171" s="2">
        <f t="shared" si="54"/>
        <v>224349.28</v>
      </c>
      <c r="AS171" s="2">
        <f t="shared" si="54"/>
        <v>0</v>
      </c>
      <c r="AT171" s="2">
        <f t="shared" si="54"/>
        <v>0</v>
      </c>
      <c r="AU171" s="2">
        <f t="shared" si="54"/>
        <v>224349.28</v>
      </c>
      <c r="AV171" s="2">
        <f t="shared" si="54"/>
        <v>68377.22</v>
      </c>
      <c r="AW171" s="2">
        <f t="shared" si="54"/>
        <v>68377.22</v>
      </c>
      <c r="AX171" s="2">
        <f t="shared" si="54"/>
        <v>0</v>
      </c>
      <c r="AY171" s="2">
        <f t="shared" si="54"/>
        <v>68377.22</v>
      </c>
      <c r="AZ171" s="2">
        <f t="shared" si="54"/>
        <v>0</v>
      </c>
      <c r="BA171" s="2">
        <f t="shared" si="54"/>
        <v>0</v>
      </c>
      <c r="BB171" s="2">
        <f t="shared" si="54"/>
        <v>0</v>
      </c>
      <c r="BC171" s="2">
        <f t="shared" si="54"/>
        <v>0</v>
      </c>
      <c r="BD171" s="2">
        <f t="shared" si="54"/>
        <v>0</v>
      </c>
      <c r="BE171" s="2"/>
      <c r="BF171" s="2"/>
      <c r="BG171" s="2"/>
      <c r="BH171" s="2"/>
      <c r="BI171" s="2"/>
      <c r="BJ171" s="2"/>
      <c r="BK171" s="2"/>
      <c r="BL171" s="2"/>
      <c r="BM171" s="2"/>
      <c r="BN171" s="2"/>
      <c r="BO171" s="2"/>
      <c r="BP171" s="2"/>
      <c r="BQ171" s="2"/>
      <c r="BR171" s="2"/>
      <c r="BS171" s="2"/>
      <c r="BT171" s="2"/>
      <c r="BU171" s="2"/>
      <c r="BV171" s="2"/>
      <c r="BW171" s="2"/>
      <c r="BX171" s="2"/>
      <c r="BY171" s="2"/>
      <c r="BZ171" s="2"/>
      <c r="CA171" s="2"/>
      <c r="CB171" s="2"/>
      <c r="CC171" s="2"/>
      <c r="CD171" s="2"/>
      <c r="CE171" s="2"/>
      <c r="CF171" s="2"/>
      <c r="CG171" s="2"/>
      <c r="CH171" s="2"/>
      <c r="CI171" s="2"/>
      <c r="CJ171" s="2"/>
      <c r="CK171" s="2"/>
      <c r="CL171" s="2"/>
      <c r="CM171" s="2"/>
      <c r="CN171" s="2"/>
      <c r="CO171" s="2"/>
      <c r="CP171" s="2"/>
      <c r="CQ171" s="2"/>
      <c r="CR171" s="2"/>
      <c r="CS171" s="2"/>
      <c r="CT171" s="2"/>
      <c r="CU171" s="2"/>
      <c r="CV171" s="2"/>
      <c r="CW171" s="2"/>
      <c r="CX171" s="2"/>
      <c r="CY171" s="2"/>
      <c r="CZ171" s="2"/>
      <c r="DA171" s="2"/>
      <c r="DB171" s="2"/>
      <c r="DC171" s="2"/>
      <c r="DD171" s="2"/>
      <c r="DE171" s="2"/>
      <c r="DF171" s="2"/>
      <c r="DG171" s="3"/>
      <c r="DH171" s="3"/>
      <c r="DI171" s="3"/>
      <c r="DJ171" s="3"/>
      <c r="DK171" s="3"/>
      <c r="DL171" s="3"/>
      <c r="DM171" s="3"/>
      <c r="DN171" s="3"/>
      <c r="DO171" s="3"/>
      <c r="DP171" s="3"/>
      <c r="DQ171" s="3"/>
      <c r="DR171" s="3"/>
      <c r="DS171" s="3"/>
      <c r="DT171" s="3"/>
      <c r="DU171" s="3"/>
      <c r="DV171" s="3"/>
      <c r="DW171" s="3"/>
      <c r="DX171" s="3"/>
      <c r="DY171" s="3"/>
      <c r="DZ171" s="3"/>
      <c r="EA171" s="3"/>
      <c r="EB171" s="3"/>
      <c r="EC171" s="3"/>
      <c r="ED171" s="3"/>
      <c r="EE171" s="3"/>
      <c r="EF171" s="3"/>
      <c r="EG171" s="3"/>
      <c r="EH171" s="3"/>
      <c r="EI171" s="3"/>
      <c r="EJ171" s="3"/>
      <c r="EK171" s="3"/>
      <c r="EL171" s="3"/>
      <c r="EM171" s="3"/>
      <c r="EN171" s="3"/>
      <c r="EO171" s="3"/>
      <c r="EP171" s="3"/>
      <c r="EQ171" s="3"/>
      <c r="ER171" s="3"/>
      <c r="ES171" s="3"/>
      <c r="ET171" s="3"/>
      <c r="EU171" s="3"/>
      <c r="EV171" s="3"/>
      <c r="EW171" s="3"/>
      <c r="EX171" s="3"/>
      <c r="EY171" s="3"/>
      <c r="EZ171" s="3"/>
      <c r="FA171" s="3"/>
      <c r="FB171" s="3"/>
      <c r="FC171" s="3"/>
      <c r="FD171" s="3"/>
      <c r="FE171" s="3"/>
      <c r="FF171" s="3"/>
      <c r="FG171" s="3"/>
      <c r="FH171" s="3"/>
      <c r="FI171" s="3"/>
      <c r="FJ171" s="3"/>
      <c r="FK171" s="3"/>
      <c r="FL171" s="3"/>
      <c r="FM171" s="3"/>
      <c r="FN171" s="3"/>
      <c r="FO171" s="3"/>
      <c r="FP171" s="3"/>
      <c r="FQ171" s="3"/>
      <c r="FR171" s="3"/>
      <c r="FS171" s="3"/>
      <c r="FT171" s="3"/>
      <c r="FU171" s="3"/>
      <c r="FV171" s="3"/>
      <c r="FW171" s="3"/>
      <c r="FX171" s="3"/>
      <c r="FY171" s="3"/>
      <c r="FZ171" s="3"/>
      <c r="GA171" s="3"/>
      <c r="GB171" s="3"/>
      <c r="GC171" s="3"/>
      <c r="GD171" s="3"/>
      <c r="GE171" s="3"/>
      <c r="GF171" s="3"/>
      <c r="GG171" s="3"/>
      <c r="GH171" s="3"/>
      <c r="GI171" s="3"/>
      <c r="GJ171" s="3"/>
      <c r="GK171" s="3"/>
      <c r="GL171" s="3"/>
      <c r="GM171" s="3"/>
      <c r="GN171" s="3"/>
      <c r="GO171" s="3"/>
      <c r="GP171" s="3"/>
      <c r="GQ171" s="3"/>
      <c r="GR171" s="3"/>
      <c r="GS171" s="3"/>
      <c r="GT171" s="3"/>
      <c r="GU171" s="3"/>
      <c r="GV171" s="3"/>
      <c r="GW171" s="3"/>
      <c r="GX171" s="3">
        <v>0</v>
      </c>
    </row>
    <row r="173" spans="1:206" x14ac:dyDescent="0.2">
      <c r="A173" s="4">
        <v>50</v>
      </c>
      <c r="B173" s="4">
        <v>0</v>
      </c>
      <c r="C173" s="4">
        <v>0</v>
      </c>
      <c r="D173" s="4">
        <v>1</v>
      </c>
      <c r="E173" s="4">
        <v>201</v>
      </c>
      <c r="F173" s="4">
        <f>ROUND(Source!O171,O173)</f>
        <v>158531.96</v>
      </c>
      <c r="G173" s="4" t="s">
        <v>36</v>
      </c>
      <c r="H173" s="4" t="s">
        <v>37</v>
      </c>
      <c r="I173" s="4"/>
      <c r="J173" s="4"/>
      <c r="K173" s="4">
        <v>201</v>
      </c>
      <c r="L173" s="4">
        <v>1</v>
      </c>
      <c r="M173" s="4">
        <v>3</v>
      </c>
      <c r="N173" s="4" t="s">
        <v>3</v>
      </c>
      <c r="O173" s="4">
        <v>2</v>
      </c>
      <c r="P173" s="4"/>
      <c r="Q173" s="4"/>
      <c r="R173" s="4"/>
      <c r="S173" s="4"/>
      <c r="T173" s="4"/>
      <c r="U173" s="4"/>
      <c r="V173" s="4"/>
      <c r="W173" s="4">
        <v>158531.96</v>
      </c>
      <c r="X173" s="4">
        <v>1</v>
      </c>
      <c r="Y173" s="4">
        <v>158531.96</v>
      </c>
      <c r="Z173" s="4"/>
      <c r="AA173" s="4"/>
      <c r="AB173" s="4"/>
    </row>
    <row r="174" spans="1:206" x14ac:dyDescent="0.2">
      <c r="A174" s="4">
        <v>50</v>
      </c>
      <c r="B174" s="4">
        <v>0</v>
      </c>
      <c r="C174" s="4">
        <v>0</v>
      </c>
      <c r="D174" s="4">
        <v>1</v>
      </c>
      <c r="E174" s="4">
        <v>202</v>
      </c>
      <c r="F174" s="4">
        <f>ROUND(Source!P171,O174)</f>
        <v>68377.22</v>
      </c>
      <c r="G174" s="4" t="s">
        <v>38</v>
      </c>
      <c r="H174" s="4" t="s">
        <v>39</v>
      </c>
      <c r="I174" s="4"/>
      <c r="J174" s="4"/>
      <c r="K174" s="4">
        <v>202</v>
      </c>
      <c r="L174" s="4">
        <v>2</v>
      </c>
      <c r="M174" s="4">
        <v>3</v>
      </c>
      <c r="N174" s="4" t="s">
        <v>3</v>
      </c>
      <c r="O174" s="4">
        <v>2</v>
      </c>
      <c r="P174" s="4"/>
      <c r="Q174" s="4"/>
      <c r="R174" s="4"/>
      <c r="S174" s="4"/>
      <c r="T174" s="4"/>
      <c r="U174" s="4"/>
      <c r="V174" s="4"/>
      <c r="W174" s="4">
        <v>68377.22</v>
      </c>
      <c r="X174" s="4">
        <v>1</v>
      </c>
      <c r="Y174" s="4">
        <v>68377.22</v>
      </c>
      <c r="Z174" s="4"/>
      <c r="AA174" s="4"/>
      <c r="AB174" s="4"/>
    </row>
    <row r="175" spans="1:206" x14ac:dyDescent="0.2">
      <c r="A175" s="4">
        <v>50</v>
      </c>
      <c r="B175" s="4">
        <v>0</v>
      </c>
      <c r="C175" s="4">
        <v>0</v>
      </c>
      <c r="D175" s="4">
        <v>1</v>
      </c>
      <c r="E175" s="4">
        <v>222</v>
      </c>
      <c r="F175" s="4">
        <f>ROUND(Source!AO171,O175)</f>
        <v>0</v>
      </c>
      <c r="G175" s="4" t="s">
        <v>40</v>
      </c>
      <c r="H175" s="4" t="s">
        <v>41</v>
      </c>
      <c r="I175" s="4"/>
      <c r="J175" s="4"/>
      <c r="K175" s="4">
        <v>222</v>
      </c>
      <c r="L175" s="4">
        <v>3</v>
      </c>
      <c r="M175" s="4">
        <v>3</v>
      </c>
      <c r="N175" s="4" t="s">
        <v>3</v>
      </c>
      <c r="O175" s="4">
        <v>2</v>
      </c>
      <c r="P175" s="4"/>
      <c r="Q175" s="4"/>
      <c r="R175" s="4"/>
      <c r="S175" s="4"/>
      <c r="T175" s="4"/>
      <c r="U175" s="4"/>
      <c r="V175" s="4"/>
      <c r="W175" s="4">
        <v>0</v>
      </c>
      <c r="X175" s="4">
        <v>1</v>
      </c>
      <c r="Y175" s="4">
        <v>0</v>
      </c>
      <c r="Z175" s="4"/>
      <c r="AA175" s="4"/>
      <c r="AB175" s="4"/>
    </row>
    <row r="176" spans="1:206" x14ac:dyDescent="0.2">
      <c r="A176" s="4">
        <v>50</v>
      </c>
      <c r="B176" s="4">
        <v>0</v>
      </c>
      <c r="C176" s="4">
        <v>0</v>
      </c>
      <c r="D176" s="4">
        <v>1</v>
      </c>
      <c r="E176" s="4">
        <v>225</v>
      </c>
      <c r="F176" s="4">
        <f>ROUND(Source!AV171,O176)</f>
        <v>68377.22</v>
      </c>
      <c r="G176" s="4" t="s">
        <v>42</v>
      </c>
      <c r="H176" s="4" t="s">
        <v>43</v>
      </c>
      <c r="I176" s="4"/>
      <c r="J176" s="4"/>
      <c r="K176" s="4">
        <v>225</v>
      </c>
      <c r="L176" s="4">
        <v>4</v>
      </c>
      <c r="M176" s="4">
        <v>3</v>
      </c>
      <c r="N176" s="4" t="s">
        <v>3</v>
      </c>
      <c r="O176" s="4">
        <v>2</v>
      </c>
      <c r="P176" s="4"/>
      <c r="Q176" s="4"/>
      <c r="R176" s="4"/>
      <c r="S176" s="4"/>
      <c r="T176" s="4"/>
      <c r="U176" s="4"/>
      <c r="V176" s="4"/>
      <c r="W176" s="4">
        <v>68377.22</v>
      </c>
      <c r="X176" s="4">
        <v>1</v>
      </c>
      <c r="Y176" s="4">
        <v>68377.22</v>
      </c>
      <c r="Z176" s="4"/>
      <c r="AA176" s="4"/>
      <c r="AB176" s="4"/>
    </row>
    <row r="177" spans="1:28" x14ac:dyDescent="0.2">
      <c r="A177" s="4">
        <v>50</v>
      </c>
      <c r="B177" s="4">
        <v>0</v>
      </c>
      <c r="C177" s="4">
        <v>0</v>
      </c>
      <c r="D177" s="4">
        <v>1</v>
      </c>
      <c r="E177" s="4">
        <v>226</v>
      </c>
      <c r="F177" s="4">
        <f>ROUND(Source!AW171,O177)</f>
        <v>68377.22</v>
      </c>
      <c r="G177" s="4" t="s">
        <v>44</v>
      </c>
      <c r="H177" s="4" t="s">
        <v>45</v>
      </c>
      <c r="I177" s="4"/>
      <c r="J177" s="4"/>
      <c r="K177" s="4">
        <v>226</v>
      </c>
      <c r="L177" s="4">
        <v>5</v>
      </c>
      <c r="M177" s="4">
        <v>3</v>
      </c>
      <c r="N177" s="4" t="s">
        <v>3</v>
      </c>
      <c r="O177" s="4">
        <v>2</v>
      </c>
      <c r="P177" s="4"/>
      <c r="Q177" s="4"/>
      <c r="R177" s="4"/>
      <c r="S177" s="4"/>
      <c r="T177" s="4"/>
      <c r="U177" s="4"/>
      <c r="V177" s="4"/>
      <c r="W177" s="4">
        <v>68377.22</v>
      </c>
      <c r="X177" s="4">
        <v>1</v>
      </c>
      <c r="Y177" s="4">
        <v>68377.22</v>
      </c>
      <c r="Z177" s="4"/>
      <c r="AA177" s="4"/>
      <c r="AB177" s="4"/>
    </row>
    <row r="178" spans="1:28" x14ac:dyDescent="0.2">
      <c r="A178" s="4">
        <v>50</v>
      </c>
      <c r="B178" s="4">
        <v>0</v>
      </c>
      <c r="C178" s="4">
        <v>0</v>
      </c>
      <c r="D178" s="4">
        <v>1</v>
      </c>
      <c r="E178" s="4">
        <v>227</v>
      </c>
      <c r="F178" s="4">
        <f>ROUND(Source!AX171,O178)</f>
        <v>0</v>
      </c>
      <c r="G178" s="4" t="s">
        <v>46</v>
      </c>
      <c r="H178" s="4" t="s">
        <v>47</v>
      </c>
      <c r="I178" s="4"/>
      <c r="J178" s="4"/>
      <c r="K178" s="4">
        <v>227</v>
      </c>
      <c r="L178" s="4">
        <v>6</v>
      </c>
      <c r="M178" s="4">
        <v>3</v>
      </c>
      <c r="N178" s="4" t="s">
        <v>3</v>
      </c>
      <c r="O178" s="4">
        <v>2</v>
      </c>
      <c r="P178" s="4"/>
      <c r="Q178" s="4"/>
      <c r="R178" s="4"/>
      <c r="S178" s="4"/>
      <c r="T178" s="4"/>
      <c r="U178" s="4"/>
      <c r="V178" s="4"/>
      <c r="W178" s="4">
        <v>0</v>
      </c>
      <c r="X178" s="4">
        <v>1</v>
      </c>
      <c r="Y178" s="4">
        <v>0</v>
      </c>
      <c r="Z178" s="4"/>
      <c r="AA178" s="4"/>
      <c r="AB178" s="4"/>
    </row>
    <row r="179" spans="1:28" x14ac:dyDescent="0.2">
      <c r="A179" s="4">
        <v>50</v>
      </c>
      <c r="B179" s="4">
        <v>0</v>
      </c>
      <c r="C179" s="4">
        <v>0</v>
      </c>
      <c r="D179" s="4">
        <v>1</v>
      </c>
      <c r="E179" s="4">
        <v>228</v>
      </c>
      <c r="F179" s="4">
        <f>ROUND(Source!AY171,O179)</f>
        <v>68377.22</v>
      </c>
      <c r="G179" s="4" t="s">
        <v>48</v>
      </c>
      <c r="H179" s="4" t="s">
        <v>49</v>
      </c>
      <c r="I179" s="4"/>
      <c r="J179" s="4"/>
      <c r="K179" s="4">
        <v>228</v>
      </c>
      <c r="L179" s="4">
        <v>7</v>
      </c>
      <c r="M179" s="4">
        <v>3</v>
      </c>
      <c r="N179" s="4" t="s">
        <v>3</v>
      </c>
      <c r="O179" s="4">
        <v>2</v>
      </c>
      <c r="P179" s="4"/>
      <c r="Q179" s="4"/>
      <c r="R179" s="4"/>
      <c r="S179" s="4"/>
      <c r="T179" s="4"/>
      <c r="U179" s="4"/>
      <c r="V179" s="4"/>
      <c r="W179" s="4">
        <v>68377.22</v>
      </c>
      <c r="X179" s="4">
        <v>1</v>
      </c>
      <c r="Y179" s="4">
        <v>68377.22</v>
      </c>
      <c r="Z179" s="4"/>
      <c r="AA179" s="4"/>
      <c r="AB179" s="4"/>
    </row>
    <row r="180" spans="1:28" x14ac:dyDescent="0.2">
      <c r="A180" s="4">
        <v>50</v>
      </c>
      <c r="B180" s="4">
        <v>0</v>
      </c>
      <c r="C180" s="4">
        <v>0</v>
      </c>
      <c r="D180" s="4">
        <v>1</v>
      </c>
      <c r="E180" s="4">
        <v>216</v>
      </c>
      <c r="F180" s="4">
        <f>ROUND(Source!AP171,O180)</f>
        <v>0</v>
      </c>
      <c r="G180" s="4" t="s">
        <v>50</v>
      </c>
      <c r="H180" s="4" t="s">
        <v>51</v>
      </c>
      <c r="I180" s="4"/>
      <c r="J180" s="4"/>
      <c r="K180" s="4">
        <v>216</v>
      </c>
      <c r="L180" s="4">
        <v>8</v>
      </c>
      <c r="M180" s="4">
        <v>3</v>
      </c>
      <c r="N180" s="4" t="s">
        <v>3</v>
      </c>
      <c r="O180" s="4">
        <v>2</v>
      </c>
      <c r="P180" s="4"/>
      <c r="Q180" s="4"/>
      <c r="R180" s="4"/>
      <c r="S180" s="4"/>
      <c r="T180" s="4"/>
      <c r="U180" s="4"/>
      <c r="V180" s="4"/>
      <c r="W180" s="4">
        <v>0</v>
      </c>
      <c r="X180" s="4">
        <v>1</v>
      </c>
      <c r="Y180" s="4">
        <v>0</v>
      </c>
      <c r="Z180" s="4"/>
      <c r="AA180" s="4"/>
      <c r="AB180" s="4"/>
    </row>
    <row r="181" spans="1:28" x14ac:dyDescent="0.2">
      <c r="A181" s="4">
        <v>50</v>
      </c>
      <c r="B181" s="4">
        <v>0</v>
      </c>
      <c r="C181" s="4">
        <v>0</v>
      </c>
      <c r="D181" s="4">
        <v>1</v>
      </c>
      <c r="E181" s="4">
        <v>223</v>
      </c>
      <c r="F181" s="4">
        <f>ROUND(Source!AQ171,O181)</f>
        <v>0</v>
      </c>
      <c r="G181" s="4" t="s">
        <v>52</v>
      </c>
      <c r="H181" s="4" t="s">
        <v>53</v>
      </c>
      <c r="I181" s="4"/>
      <c r="J181" s="4"/>
      <c r="K181" s="4">
        <v>223</v>
      </c>
      <c r="L181" s="4">
        <v>9</v>
      </c>
      <c r="M181" s="4">
        <v>3</v>
      </c>
      <c r="N181" s="4" t="s">
        <v>3</v>
      </c>
      <c r="O181" s="4">
        <v>2</v>
      </c>
      <c r="P181" s="4"/>
      <c r="Q181" s="4"/>
      <c r="R181" s="4"/>
      <c r="S181" s="4"/>
      <c r="T181" s="4"/>
      <c r="U181" s="4"/>
      <c r="V181" s="4"/>
      <c r="W181" s="4">
        <v>0</v>
      </c>
      <c r="X181" s="4">
        <v>1</v>
      </c>
      <c r="Y181" s="4">
        <v>0</v>
      </c>
      <c r="Z181" s="4"/>
      <c r="AA181" s="4"/>
      <c r="AB181" s="4"/>
    </row>
    <row r="182" spans="1:28" x14ac:dyDescent="0.2">
      <c r="A182" s="4">
        <v>50</v>
      </c>
      <c r="B182" s="4">
        <v>0</v>
      </c>
      <c r="C182" s="4">
        <v>0</v>
      </c>
      <c r="D182" s="4">
        <v>1</v>
      </c>
      <c r="E182" s="4">
        <v>229</v>
      </c>
      <c r="F182" s="4">
        <f>ROUND(Source!AZ171,O182)</f>
        <v>0</v>
      </c>
      <c r="G182" s="4" t="s">
        <v>54</v>
      </c>
      <c r="H182" s="4" t="s">
        <v>55</v>
      </c>
      <c r="I182" s="4"/>
      <c r="J182" s="4"/>
      <c r="K182" s="4">
        <v>229</v>
      </c>
      <c r="L182" s="4">
        <v>10</v>
      </c>
      <c r="M182" s="4">
        <v>3</v>
      </c>
      <c r="N182" s="4" t="s">
        <v>3</v>
      </c>
      <c r="O182" s="4">
        <v>2</v>
      </c>
      <c r="P182" s="4"/>
      <c r="Q182" s="4"/>
      <c r="R182" s="4"/>
      <c r="S182" s="4"/>
      <c r="T182" s="4"/>
      <c r="U182" s="4"/>
      <c r="V182" s="4"/>
      <c r="W182" s="4">
        <v>0</v>
      </c>
      <c r="X182" s="4">
        <v>1</v>
      </c>
      <c r="Y182" s="4">
        <v>0</v>
      </c>
      <c r="Z182" s="4"/>
      <c r="AA182" s="4"/>
      <c r="AB182" s="4"/>
    </row>
    <row r="183" spans="1:28" x14ac:dyDescent="0.2">
      <c r="A183" s="4">
        <v>50</v>
      </c>
      <c r="B183" s="4">
        <v>0</v>
      </c>
      <c r="C183" s="4">
        <v>0</v>
      </c>
      <c r="D183" s="4">
        <v>1</v>
      </c>
      <c r="E183" s="4">
        <v>203</v>
      </c>
      <c r="F183" s="4">
        <f>ROUND(Source!Q171,O183)</f>
        <v>11409.61</v>
      </c>
      <c r="G183" s="4" t="s">
        <v>56</v>
      </c>
      <c r="H183" s="4" t="s">
        <v>57</v>
      </c>
      <c r="I183" s="4"/>
      <c r="J183" s="4"/>
      <c r="K183" s="4">
        <v>203</v>
      </c>
      <c r="L183" s="4">
        <v>11</v>
      </c>
      <c r="M183" s="4">
        <v>3</v>
      </c>
      <c r="N183" s="4" t="s">
        <v>3</v>
      </c>
      <c r="O183" s="4">
        <v>2</v>
      </c>
      <c r="P183" s="4"/>
      <c r="Q183" s="4"/>
      <c r="R183" s="4"/>
      <c r="S183" s="4"/>
      <c r="T183" s="4"/>
      <c r="U183" s="4"/>
      <c r="V183" s="4"/>
      <c r="W183" s="4">
        <v>11409.61</v>
      </c>
      <c r="X183" s="4">
        <v>1</v>
      </c>
      <c r="Y183" s="4">
        <v>11409.61</v>
      </c>
      <c r="Z183" s="4"/>
      <c r="AA183" s="4"/>
      <c r="AB183" s="4"/>
    </row>
    <row r="184" spans="1:28" x14ac:dyDescent="0.2">
      <c r="A184" s="4">
        <v>50</v>
      </c>
      <c r="B184" s="4">
        <v>0</v>
      </c>
      <c r="C184" s="4">
        <v>0</v>
      </c>
      <c r="D184" s="4">
        <v>1</v>
      </c>
      <c r="E184" s="4">
        <v>231</v>
      </c>
      <c r="F184" s="4">
        <f>ROUND(Source!BB171,O184)</f>
        <v>0</v>
      </c>
      <c r="G184" s="4" t="s">
        <v>58</v>
      </c>
      <c r="H184" s="4" t="s">
        <v>59</v>
      </c>
      <c r="I184" s="4"/>
      <c r="J184" s="4"/>
      <c r="K184" s="4">
        <v>231</v>
      </c>
      <c r="L184" s="4">
        <v>12</v>
      </c>
      <c r="M184" s="4">
        <v>3</v>
      </c>
      <c r="N184" s="4" t="s">
        <v>3</v>
      </c>
      <c r="O184" s="4">
        <v>2</v>
      </c>
      <c r="P184" s="4"/>
      <c r="Q184" s="4"/>
      <c r="R184" s="4"/>
      <c r="S184" s="4"/>
      <c r="T184" s="4"/>
      <c r="U184" s="4"/>
      <c r="V184" s="4"/>
      <c r="W184" s="4">
        <v>0</v>
      </c>
      <c r="X184" s="4">
        <v>1</v>
      </c>
      <c r="Y184" s="4">
        <v>0</v>
      </c>
      <c r="Z184" s="4"/>
      <c r="AA184" s="4"/>
      <c r="AB184" s="4"/>
    </row>
    <row r="185" spans="1:28" x14ac:dyDescent="0.2">
      <c r="A185" s="4">
        <v>50</v>
      </c>
      <c r="B185" s="4">
        <v>0</v>
      </c>
      <c r="C185" s="4">
        <v>0</v>
      </c>
      <c r="D185" s="4">
        <v>1</v>
      </c>
      <c r="E185" s="4">
        <v>204</v>
      </c>
      <c r="F185" s="4">
        <f>ROUND(Source!R171,O185)</f>
        <v>6201.43</v>
      </c>
      <c r="G185" s="4" t="s">
        <v>60</v>
      </c>
      <c r="H185" s="4" t="s">
        <v>61</v>
      </c>
      <c r="I185" s="4"/>
      <c r="J185" s="4"/>
      <c r="K185" s="4">
        <v>204</v>
      </c>
      <c r="L185" s="4">
        <v>13</v>
      </c>
      <c r="M185" s="4">
        <v>3</v>
      </c>
      <c r="N185" s="4" t="s">
        <v>3</v>
      </c>
      <c r="O185" s="4">
        <v>2</v>
      </c>
      <c r="P185" s="4"/>
      <c r="Q185" s="4"/>
      <c r="R185" s="4"/>
      <c r="S185" s="4"/>
      <c r="T185" s="4"/>
      <c r="U185" s="4"/>
      <c r="V185" s="4"/>
      <c r="W185" s="4">
        <v>6201.43</v>
      </c>
      <c r="X185" s="4">
        <v>1</v>
      </c>
      <c r="Y185" s="4">
        <v>6201.43</v>
      </c>
      <c r="Z185" s="4"/>
      <c r="AA185" s="4"/>
      <c r="AB185" s="4"/>
    </row>
    <row r="186" spans="1:28" x14ac:dyDescent="0.2">
      <c r="A186" s="4">
        <v>50</v>
      </c>
      <c r="B186" s="4">
        <v>0</v>
      </c>
      <c r="C186" s="4">
        <v>0</v>
      </c>
      <c r="D186" s="4">
        <v>1</v>
      </c>
      <c r="E186" s="4">
        <v>205</v>
      </c>
      <c r="F186" s="4">
        <f>ROUND(Source!S171,O186)</f>
        <v>78745.13</v>
      </c>
      <c r="G186" s="4" t="s">
        <v>62</v>
      </c>
      <c r="H186" s="4" t="s">
        <v>63</v>
      </c>
      <c r="I186" s="4"/>
      <c r="J186" s="4"/>
      <c r="K186" s="4">
        <v>205</v>
      </c>
      <c r="L186" s="4">
        <v>14</v>
      </c>
      <c r="M186" s="4">
        <v>3</v>
      </c>
      <c r="N186" s="4" t="s">
        <v>3</v>
      </c>
      <c r="O186" s="4">
        <v>2</v>
      </c>
      <c r="P186" s="4"/>
      <c r="Q186" s="4"/>
      <c r="R186" s="4"/>
      <c r="S186" s="4"/>
      <c r="T186" s="4"/>
      <c r="U186" s="4"/>
      <c r="V186" s="4"/>
      <c r="W186" s="4">
        <v>78745.13</v>
      </c>
      <c r="X186" s="4">
        <v>1</v>
      </c>
      <c r="Y186" s="4">
        <v>78745.13</v>
      </c>
      <c r="Z186" s="4"/>
      <c r="AA186" s="4"/>
      <c r="AB186" s="4"/>
    </row>
    <row r="187" spans="1:28" x14ac:dyDescent="0.2">
      <c r="A187" s="4">
        <v>50</v>
      </c>
      <c r="B187" s="4">
        <v>0</v>
      </c>
      <c r="C187" s="4">
        <v>0</v>
      </c>
      <c r="D187" s="4">
        <v>1</v>
      </c>
      <c r="E187" s="4">
        <v>232</v>
      </c>
      <c r="F187" s="4">
        <f>ROUND(Source!BC171,O187)</f>
        <v>0</v>
      </c>
      <c r="G187" s="4" t="s">
        <v>64</v>
      </c>
      <c r="H187" s="4" t="s">
        <v>65</v>
      </c>
      <c r="I187" s="4"/>
      <c r="J187" s="4"/>
      <c r="K187" s="4">
        <v>232</v>
      </c>
      <c r="L187" s="4">
        <v>15</v>
      </c>
      <c r="M187" s="4">
        <v>3</v>
      </c>
      <c r="N187" s="4" t="s">
        <v>3</v>
      </c>
      <c r="O187" s="4">
        <v>2</v>
      </c>
      <c r="P187" s="4"/>
      <c r="Q187" s="4"/>
      <c r="R187" s="4"/>
      <c r="S187" s="4"/>
      <c r="T187" s="4"/>
      <c r="U187" s="4"/>
      <c r="V187" s="4"/>
      <c r="W187" s="4">
        <v>0</v>
      </c>
      <c r="X187" s="4">
        <v>1</v>
      </c>
      <c r="Y187" s="4">
        <v>0</v>
      </c>
      <c r="Z187" s="4"/>
      <c r="AA187" s="4"/>
      <c r="AB187" s="4"/>
    </row>
    <row r="188" spans="1:28" x14ac:dyDescent="0.2">
      <c r="A188" s="4">
        <v>50</v>
      </c>
      <c r="B188" s="4">
        <v>0</v>
      </c>
      <c r="C188" s="4">
        <v>0</v>
      </c>
      <c r="D188" s="4">
        <v>1</v>
      </c>
      <c r="E188" s="4">
        <v>214</v>
      </c>
      <c r="F188" s="4">
        <f>ROUND(Source!AS171,O188)</f>
        <v>0</v>
      </c>
      <c r="G188" s="4" t="s">
        <v>66</v>
      </c>
      <c r="H188" s="4" t="s">
        <v>67</v>
      </c>
      <c r="I188" s="4"/>
      <c r="J188" s="4"/>
      <c r="K188" s="4">
        <v>214</v>
      </c>
      <c r="L188" s="4">
        <v>16</v>
      </c>
      <c r="M188" s="4">
        <v>3</v>
      </c>
      <c r="N188" s="4" t="s">
        <v>3</v>
      </c>
      <c r="O188" s="4">
        <v>2</v>
      </c>
      <c r="P188" s="4"/>
      <c r="Q188" s="4"/>
      <c r="R188" s="4"/>
      <c r="S188" s="4"/>
      <c r="T188" s="4"/>
      <c r="U188" s="4"/>
      <c r="V188" s="4"/>
      <c r="W188" s="4">
        <v>0</v>
      </c>
      <c r="X188" s="4">
        <v>1</v>
      </c>
      <c r="Y188" s="4">
        <v>0</v>
      </c>
      <c r="Z188" s="4"/>
      <c r="AA188" s="4"/>
      <c r="AB188" s="4"/>
    </row>
    <row r="189" spans="1:28" x14ac:dyDescent="0.2">
      <c r="A189" s="4">
        <v>50</v>
      </c>
      <c r="B189" s="4">
        <v>0</v>
      </c>
      <c r="C189" s="4">
        <v>0</v>
      </c>
      <c r="D189" s="4">
        <v>1</v>
      </c>
      <c r="E189" s="4">
        <v>215</v>
      </c>
      <c r="F189" s="4">
        <f>ROUND(Source!AT171,O189)</f>
        <v>0</v>
      </c>
      <c r="G189" s="4" t="s">
        <v>68</v>
      </c>
      <c r="H189" s="4" t="s">
        <v>69</v>
      </c>
      <c r="I189" s="4"/>
      <c r="J189" s="4"/>
      <c r="K189" s="4">
        <v>215</v>
      </c>
      <c r="L189" s="4">
        <v>17</v>
      </c>
      <c r="M189" s="4">
        <v>3</v>
      </c>
      <c r="N189" s="4" t="s">
        <v>3</v>
      </c>
      <c r="O189" s="4">
        <v>2</v>
      </c>
      <c r="P189" s="4"/>
      <c r="Q189" s="4"/>
      <c r="R189" s="4"/>
      <c r="S189" s="4"/>
      <c r="T189" s="4"/>
      <c r="U189" s="4"/>
      <c r="V189" s="4"/>
      <c r="W189" s="4">
        <v>0</v>
      </c>
      <c r="X189" s="4">
        <v>1</v>
      </c>
      <c r="Y189" s="4">
        <v>0</v>
      </c>
      <c r="Z189" s="4"/>
      <c r="AA189" s="4"/>
      <c r="AB189" s="4"/>
    </row>
    <row r="190" spans="1:28" x14ac:dyDescent="0.2">
      <c r="A190" s="4">
        <v>50</v>
      </c>
      <c r="B190" s="4">
        <v>0</v>
      </c>
      <c r="C190" s="4">
        <v>0</v>
      </c>
      <c r="D190" s="4">
        <v>1</v>
      </c>
      <c r="E190" s="4">
        <v>217</v>
      </c>
      <c r="F190" s="4">
        <f>ROUND(Source!AU171,O190)</f>
        <v>224349.28</v>
      </c>
      <c r="G190" s="4" t="s">
        <v>70</v>
      </c>
      <c r="H190" s="4" t="s">
        <v>71</v>
      </c>
      <c r="I190" s="4"/>
      <c r="J190" s="4"/>
      <c r="K190" s="4">
        <v>217</v>
      </c>
      <c r="L190" s="4">
        <v>18</v>
      </c>
      <c r="M190" s="4">
        <v>3</v>
      </c>
      <c r="N190" s="4" t="s">
        <v>3</v>
      </c>
      <c r="O190" s="4">
        <v>2</v>
      </c>
      <c r="P190" s="4"/>
      <c r="Q190" s="4"/>
      <c r="R190" s="4"/>
      <c r="S190" s="4"/>
      <c r="T190" s="4"/>
      <c r="U190" s="4"/>
      <c r="V190" s="4"/>
      <c r="W190" s="4">
        <v>224349.28</v>
      </c>
      <c r="X190" s="4">
        <v>1</v>
      </c>
      <c r="Y190" s="4">
        <v>224349.28</v>
      </c>
      <c r="Z190" s="4"/>
      <c r="AA190" s="4"/>
      <c r="AB190" s="4"/>
    </row>
    <row r="191" spans="1:28" x14ac:dyDescent="0.2">
      <c r="A191" s="4">
        <v>50</v>
      </c>
      <c r="B191" s="4">
        <v>0</v>
      </c>
      <c r="C191" s="4">
        <v>0</v>
      </c>
      <c r="D191" s="4">
        <v>1</v>
      </c>
      <c r="E191" s="4">
        <v>230</v>
      </c>
      <c r="F191" s="4">
        <f>ROUND(Source!BA171,O191)</f>
        <v>0</v>
      </c>
      <c r="G191" s="4" t="s">
        <v>72</v>
      </c>
      <c r="H191" s="4" t="s">
        <v>73</v>
      </c>
      <c r="I191" s="4"/>
      <c r="J191" s="4"/>
      <c r="K191" s="4">
        <v>230</v>
      </c>
      <c r="L191" s="4">
        <v>19</v>
      </c>
      <c r="M191" s="4">
        <v>3</v>
      </c>
      <c r="N191" s="4" t="s">
        <v>3</v>
      </c>
      <c r="O191" s="4">
        <v>2</v>
      </c>
      <c r="P191" s="4"/>
      <c r="Q191" s="4"/>
      <c r="R191" s="4"/>
      <c r="S191" s="4"/>
      <c r="T191" s="4"/>
      <c r="U191" s="4"/>
      <c r="V191" s="4"/>
      <c r="W191" s="4">
        <v>0</v>
      </c>
      <c r="X191" s="4">
        <v>1</v>
      </c>
      <c r="Y191" s="4">
        <v>0</v>
      </c>
      <c r="Z191" s="4"/>
      <c r="AA191" s="4"/>
      <c r="AB191" s="4"/>
    </row>
    <row r="192" spans="1:28" x14ac:dyDescent="0.2">
      <c r="A192" s="4">
        <v>50</v>
      </c>
      <c r="B192" s="4">
        <v>0</v>
      </c>
      <c r="C192" s="4">
        <v>0</v>
      </c>
      <c r="D192" s="4">
        <v>1</v>
      </c>
      <c r="E192" s="4">
        <v>206</v>
      </c>
      <c r="F192" s="4">
        <f>ROUND(Source!T171,O192)</f>
        <v>0</v>
      </c>
      <c r="G192" s="4" t="s">
        <v>74</v>
      </c>
      <c r="H192" s="4" t="s">
        <v>75</v>
      </c>
      <c r="I192" s="4"/>
      <c r="J192" s="4"/>
      <c r="K192" s="4">
        <v>206</v>
      </c>
      <c r="L192" s="4">
        <v>20</v>
      </c>
      <c r="M192" s="4">
        <v>3</v>
      </c>
      <c r="N192" s="4" t="s">
        <v>3</v>
      </c>
      <c r="O192" s="4">
        <v>2</v>
      </c>
      <c r="P192" s="4"/>
      <c r="Q192" s="4"/>
      <c r="R192" s="4"/>
      <c r="S192" s="4"/>
      <c r="T192" s="4"/>
      <c r="U192" s="4"/>
      <c r="V192" s="4"/>
      <c r="W192" s="4">
        <v>0</v>
      </c>
      <c r="X192" s="4">
        <v>1</v>
      </c>
      <c r="Y192" s="4">
        <v>0</v>
      </c>
      <c r="Z192" s="4"/>
      <c r="AA192" s="4"/>
      <c r="AB192" s="4"/>
    </row>
    <row r="193" spans="1:28" x14ac:dyDescent="0.2">
      <c r="A193" s="4">
        <v>50</v>
      </c>
      <c r="B193" s="4">
        <v>0</v>
      </c>
      <c r="C193" s="4">
        <v>0</v>
      </c>
      <c r="D193" s="4">
        <v>1</v>
      </c>
      <c r="E193" s="4">
        <v>207</v>
      </c>
      <c r="F193" s="4">
        <f>Source!U171</f>
        <v>163.38800000000001</v>
      </c>
      <c r="G193" s="4" t="s">
        <v>76</v>
      </c>
      <c r="H193" s="4" t="s">
        <v>77</v>
      </c>
      <c r="I193" s="4"/>
      <c r="J193" s="4"/>
      <c r="K193" s="4">
        <v>207</v>
      </c>
      <c r="L193" s="4">
        <v>21</v>
      </c>
      <c r="M193" s="4">
        <v>3</v>
      </c>
      <c r="N193" s="4" t="s">
        <v>3</v>
      </c>
      <c r="O193" s="4">
        <v>-1</v>
      </c>
      <c r="P193" s="4"/>
      <c r="Q193" s="4"/>
      <c r="R193" s="4"/>
      <c r="S193" s="4"/>
      <c r="T193" s="4"/>
      <c r="U193" s="4"/>
      <c r="V193" s="4"/>
      <c r="W193" s="4">
        <v>163.38800000000001</v>
      </c>
      <c r="X193" s="4">
        <v>1</v>
      </c>
      <c r="Y193" s="4">
        <v>163.38800000000001</v>
      </c>
      <c r="Z193" s="4"/>
      <c r="AA193" s="4"/>
      <c r="AB193" s="4"/>
    </row>
    <row r="194" spans="1:28" x14ac:dyDescent="0.2">
      <c r="A194" s="4">
        <v>50</v>
      </c>
      <c r="B194" s="4">
        <v>0</v>
      </c>
      <c r="C194" s="4">
        <v>0</v>
      </c>
      <c r="D194" s="4">
        <v>1</v>
      </c>
      <c r="E194" s="4">
        <v>208</v>
      </c>
      <c r="F194" s="4">
        <f>Source!V171</f>
        <v>0</v>
      </c>
      <c r="G194" s="4" t="s">
        <v>78</v>
      </c>
      <c r="H194" s="4" t="s">
        <v>79</v>
      </c>
      <c r="I194" s="4"/>
      <c r="J194" s="4"/>
      <c r="K194" s="4">
        <v>208</v>
      </c>
      <c r="L194" s="4">
        <v>22</v>
      </c>
      <c r="M194" s="4">
        <v>3</v>
      </c>
      <c r="N194" s="4" t="s">
        <v>3</v>
      </c>
      <c r="O194" s="4">
        <v>-1</v>
      </c>
      <c r="P194" s="4"/>
      <c r="Q194" s="4"/>
      <c r="R194" s="4"/>
      <c r="S194" s="4"/>
      <c r="T194" s="4"/>
      <c r="U194" s="4"/>
      <c r="V194" s="4"/>
      <c r="W194" s="4">
        <v>0</v>
      </c>
      <c r="X194" s="4">
        <v>1</v>
      </c>
      <c r="Y194" s="4">
        <v>0</v>
      </c>
      <c r="Z194" s="4"/>
      <c r="AA194" s="4"/>
      <c r="AB194" s="4"/>
    </row>
    <row r="195" spans="1:28" x14ac:dyDescent="0.2">
      <c r="A195" s="4">
        <v>50</v>
      </c>
      <c r="B195" s="4">
        <v>0</v>
      </c>
      <c r="C195" s="4">
        <v>0</v>
      </c>
      <c r="D195" s="4">
        <v>1</v>
      </c>
      <c r="E195" s="4">
        <v>209</v>
      </c>
      <c r="F195" s="4">
        <f>ROUND(Source!W171,O195)</f>
        <v>0</v>
      </c>
      <c r="G195" s="4" t="s">
        <v>80</v>
      </c>
      <c r="H195" s="4" t="s">
        <v>81</v>
      </c>
      <c r="I195" s="4"/>
      <c r="J195" s="4"/>
      <c r="K195" s="4">
        <v>209</v>
      </c>
      <c r="L195" s="4">
        <v>23</v>
      </c>
      <c r="M195" s="4">
        <v>3</v>
      </c>
      <c r="N195" s="4" t="s">
        <v>3</v>
      </c>
      <c r="O195" s="4">
        <v>2</v>
      </c>
      <c r="P195" s="4"/>
      <c r="Q195" s="4"/>
      <c r="R195" s="4"/>
      <c r="S195" s="4"/>
      <c r="T195" s="4"/>
      <c r="U195" s="4"/>
      <c r="V195" s="4"/>
      <c r="W195" s="4">
        <v>0</v>
      </c>
      <c r="X195" s="4">
        <v>1</v>
      </c>
      <c r="Y195" s="4">
        <v>0</v>
      </c>
      <c r="Z195" s="4"/>
      <c r="AA195" s="4"/>
      <c r="AB195" s="4"/>
    </row>
    <row r="196" spans="1:28" x14ac:dyDescent="0.2">
      <c r="A196" s="4">
        <v>50</v>
      </c>
      <c r="B196" s="4">
        <v>0</v>
      </c>
      <c r="C196" s="4">
        <v>0</v>
      </c>
      <c r="D196" s="4">
        <v>1</v>
      </c>
      <c r="E196" s="4">
        <v>233</v>
      </c>
      <c r="F196" s="4">
        <f>ROUND(Source!BD171,O196)</f>
        <v>0</v>
      </c>
      <c r="G196" s="4" t="s">
        <v>82</v>
      </c>
      <c r="H196" s="4" t="s">
        <v>83</v>
      </c>
      <c r="I196" s="4"/>
      <c r="J196" s="4"/>
      <c r="K196" s="4">
        <v>233</v>
      </c>
      <c r="L196" s="4">
        <v>24</v>
      </c>
      <c r="M196" s="4">
        <v>3</v>
      </c>
      <c r="N196" s="4" t="s">
        <v>3</v>
      </c>
      <c r="O196" s="4">
        <v>2</v>
      </c>
      <c r="P196" s="4"/>
      <c r="Q196" s="4"/>
      <c r="R196" s="4"/>
      <c r="S196" s="4"/>
      <c r="T196" s="4"/>
      <c r="U196" s="4"/>
      <c r="V196" s="4"/>
      <c r="W196" s="4">
        <v>0</v>
      </c>
      <c r="X196" s="4">
        <v>1</v>
      </c>
      <c r="Y196" s="4">
        <v>0</v>
      </c>
      <c r="Z196" s="4"/>
      <c r="AA196" s="4"/>
      <c r="AB196" s="4"/>
    </row>
    <row r="197" spans="1:28" x14ac:dyDescent="0.2">
      <c r="A197" s="4">
        <v>50</v>
      </c>
      <c r="B197" s="4">
        <v>0</v>
      </c>
      <c r="C197" s="4">
        <v>0</v>
      </c>
      <c r="D197" s="4">
        <v>1</v>
      </c>
      <c r="E197" s="4">
        <v>210</v>
      </c>
      <c r="F197" s="4">
        <f>ROUND(Source!X171,O197)</f>
        <v>55121.59</v>
      </c>
      <c r="G197" s="4" t="s">
        <v>84</v>
      </c>
      <c r="H197" s="4" t="s">
        <v>85</v>
      </c>
      <c r="I197" s="4"/>
      <c r="J197" s="4"/>
      <c r="K197" s="4">
        <v>210</v>
      </c>
      <c r="L197" s="4">
        <v>25</v>
      </c>
      <c r="M197" s="4">
        <v>3</v>
      </c>
      <c r="N197" s="4" t="s">
        <v>3</v>
      </c>
      <c r="O197" s="4">
        <v>2</v>
      </c>
      <c r="P197" s="4"/>
      <c r="Q197" s="4"/>
      <c r="R197" s="4"/>
      <c r="S197" s="4"/>
      <c r="T197" s="4"/>
      <c r="U197" s="4"/>
      <c r="V197" s="4"/>
      <c r="W197" s="4">
        <v>55121.59</v>
      </c>
      <c r="X197" s="4">
        <v>1</v>
      </c>
      <c r="Y197" s="4">
        <v>55121.59</v>
      </c>
      <c r="Z197" s="4"/>
      <c r="AA197" s="4"/>
      <c r="AB197" s="4"/>
    </row>
    <row r="198" spans="1:28" x14ac:dyDescent="0.2">
      <c r="A198" s="4">
        <v>50</v>
      </c>
      <c r="B198" s="4">
        <v>0</v>
      </c>
      <c r="C198" s="4">
        <v>0</v>
      </c>
      <c r="D198" s="4">
        <v>1</v>
      </c>
      <c r="E198" s="4">
        <v>211</v>
      </c>
      <c r="F198" s="4">
        <f>ROUND(Source!Y171,O198)</f>
        <v>7874.52</v>
      </c>
      <c r="G198" s="4" t="s">
        <v>86</v>
      </c>
      <c r="H198" s="4" t="s">
        <v>87</v>
      </c>
      <c r="I198" s="4"/>
      <c r="J198" s="4"/>
      <c r="K198" s="4">
        <v>211</v>
      </c>
      <c r="L198" s="4">
        <v>26</v>
      </c>
      <c r="M198" s="4">
        <v>3</v>
      </c>
      <c r="N198" s="4" t="s">
        <v>3</v>
      </c>
      <c r="O198" s="4">
        <v>2</v>
      </c>
      <c r="P198" s="4"/>
      <c r="Q198" s="4"/>
      <c r="R198" s="4"/>
      <c r="S198" s="4"/>
      <c r="T198" s="4"/>
      <c r="U198" s="4"/>
      <c r="V198" s="4"/>
      <c r="W198" s="4">
        <v>7874.52</v>
      </c>
      <c r="X198" s="4">
        <v>1</v>
      </c>
      <c r="Y198" s="4">
        <v>7874.52</v>
      </c>
      <c r="Z198" s="4"/>
      <c r="AA198" s="4"/>
      <c r="AB198" s="4"/>
    </row>
    <row r="199" spans="1:28" x14ac:dyDescent="0.2">
      <c r="A199" s="4">
        <v>50</v>
      </c>
      <c r="B199" s="4">
        <v>0</v>
      </c>
      <c r="C199" s="4">
        <v>0</v>
      </c>
      <c r="D199" s="4">
        <v>1</v>
      </c>
      <c r="E199" s="4">
        <v>224</v>
      </c>
      <c r="F199" s="4">
        <f>ROUND(Source!AR171,O199)</f>
        <v>224349.28</v>
      </c>
      <c r="G199" s="4" t="s">
        <v>88</v>
      </c>
      <c r="H199" s="4" t="s">
        <v>89</v>
      </c>
      <c r="I199" s="4"/>
      <c r="J199" s="4"/>
      <c r="K199" s="4">
        <v>224</v>
      </c>
      <c r="L199" s="4">
        <v>27</v>
      </c>
      <c r="M199" s="4">
        <v>3</v>
      </c>
      <c r="N199" s="4" t="s">
        <v>3</v>
      </c>
      <c r="O199" s="4">
        <v>2</v>
      </c>
      <c r="P199" s="4"/>
      <c r="Q199" s="4"/>
      <c r="R199" s="4"/>
      <c r="S199" s="4"/>
      <c r="T199" s="4"/>
      <c r="U199" s="4"/>
      <c r="V199" s="4"/>
      <c r="W199" s="4">
        <v>224349.28</v>
      </c>
      <c r="X199" s="4">
        <v>1</v>
      </c>
      <c r="Y199" s="4">
        <v>224349.28</v>
      </c>
      <c r="Z199" s="4"/>
      <c r="AA199" s="4"/>
      <c r="AB199" s="4"/>
    </row>
    <row r="200" spans="1:28" x14ac:dyDescent="0.2">
      <c r="A200" s="4">
        <v>50</v>
      </c>
      <c r="B200" s="4">
        <v>1</v>
      </c>
      <c r="C200" s="4">
        <v>0</v>
      </c>
      <c r="D200" s="4">
        <v>2</v>
      </c>
      <c r="E200" s="4">
        <v>0</v>
      </c>
      <c r="F200" s="4">
        <f>ROUND(F199*0.2,O200)</f>
        <v>44869.86</v>
      </c>
      <c r="G200" s="4" t="s">
        <v>128</v>
      </c>
      <c r="H200" s="4" t="s">
        <v>129</v>
      </c>
      <c r="I200" s="4"/>
      <c r="J200" s="4"/>
      <c r="K200" s="4">
        <v>212</v>
      </c>
      <c r="L200" s="4">
        <v>28</v>
      </c>
      <c r="M200" s="4">
        <v>0</v>
      </c>
      <c r="N200" s="4" t="s">
        <v>3</v>
      </c>
      <c r="O200" s="4">
        <v>2</v>
      </c>
      <c r="P200" s="4"/>
      <c r="Q200" s="4"/>
      <c r="R200" s="4"/>
      <c r="S200" s="4"/>
      <c r="T200" s="4"/>
      <c r="U200" s="4"/>
      <c r="V200" s="4"/>
      <c r="W200" s="4">
        <v>44869.86</v>
      </c>
      <c r="X200" s="4">
        <v>1</v>
      </c>
      <c r="Y200" s="4">
        <v>44869.86</v>
      </c>
      <c r="Z200" s="4"/>
      <c r="AA200" s="4"/>
      <c r="AB200" s="4"/>
    </row>
    <row r="201" spans="1:28" x14ac:dyDescent="0.2">
      <c r="A201" s="4">
        <v>50</v>
      </c>
      <c r="B201" s="4">
        <v>1</v>
      </c>
      <c r="C201" s="4">
        <v>0</v>
      </c>
      <c r="D201" s="4">
        <v>2</v>
      </c>
      <c r="E201" s="4">
        <v>213</v>
      </c>
      <c r="F201" s="4">
        <f>ROUND(F199+F200,O201)</f>
        <v>269219.14</v>
      </c>
      <c r="G201" s="4" t="s">
        <v>130</v>
      </c>
      <c r="H201" s="4" t="s">
        <v>131</v>
      </c>
      <c r="I201" s="4"/>
      <c r="J201" s="4"/>
      <c r="K201" s="4">
        <v>212</v>
      </c>
      <c r="L201" s="4">
        <v>29</v>
      </c>
      <c r="M201" s="4">
        <v>0</v>
      </c>
      <c r="N201" s="4" t="s">
        <v>3</v>
      </c>
      <c r="O201" s="4">
        <v>2</v>
      </c>
      <c r="P201" s="4"/>
      <c r="Q201" s="4"/>
      <c r="R201" s="4"/>
      <c r="S201" s="4"/>
      <c r="T201" s="4"/>
      <c r="U201" s="4"/>
      <c r="V201" s="4"/>
      <c r="W201" s="4">
        <v>269219.14</v>
      </c>
      <c r="X201" s="4">
        <v>1</v>
      </c>
      <c r="Y201" s="4">
        <v>269219.14</v>
      </c>
      <c r="Z201" s="4"/>
      <c r="AA201" s="4"/>
      <c r="AB201" s="4"/>
    </row>
    <row r="204" spans="1:28" x14ac:dyDescent="0.2">
      <c r="A204">
        <v>-1</v>
      </c>
    </row>
    <row r="206" spans="1:28" x14ac:dyDescent="0.2">
      <c r="A206" s="3">
        <v>75</v>
      </c>
      <c r="B206" s="3" t="s">
        <v>132</v>
      </c>
      <c r="C206" s="3">
        <v>2025</v>
      </c>
      <c r="D206" s="3">
        <v>2</v>
      </c>
      <c r="E206" s="3">
        <v>0</v>
      </c>
      <c r="F206" s="3"/>
      <c r="G206" s="3">
        <v>0</v>
      </c>
      <c r="H206" s="3">
        <v>1</v>
      </c>
      <c r="I206" s="3">
        <v>0</v>
      </c>
      <c r="J206" s="3">
        <v>1</v>
      </c>
      <c r="K206" s="3">
        <v>78</v>
      </c>
      <c r="L206" s="3">
        <v>30</v>
      </c>
      <c r="M206" s="3">
        <v>0</v>
      </c>
      <c r="N206" s="3">
        <v>75703152</v>
      </c>
      <c r="O206" s="3">
        <v>1</v>
      </c>
    </row>
    <row r="210" spans="1:5" x14ac:dyDescent="0.2">
      <c r="A210">
        <v>65</v>
      </c>
      <c r="C210">
        <v>1</v>
      </c>
      <c r="D210">
        <v>0</v>
      </c>
      <c r="E210">
        <v>245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C53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133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66562</v>
      </c>
      <c r="M1">
        <v>10</v>
      </c>
      <c r="N1">
        <v>11</v>
      </c>
      <c r="O1">
        <v>12</v>
      </c>
      <c r="P1">
        <v>0</v>
      </c>
      <c r="Q1">
        <v>1</v>
      </c>
    </row>
    <row r="12" spans="1:133" x14ac:dyDescent="0.2">
      <c r="A12" s="1">
        <v>1</v>
      </c>
      <c r="B12" s="1">
        <v>53</v>
      </c>
      <c r="C12" s="1">
        <v>0</v>
      </c>
      <c r="D12" s="1"/>
      <c r="E12" s="1">
        <v>0</v>
      </c>
      <c r="F12" s="1" t="s">
        <v>4</v>
      </c>
      <c r="G12" s="1" t="s">
        <v>5</v>
      </c>
      <c r="H12" s="1" t="s">
        <v>3</v>
      </c>
      <c r="I12" s="1">
        <v>0</v>
      </c>
      <c r="J12" s="1" t="s">
        <v>3</v>
      </c>
      <c r="K12" s="1">
        <v>0</v>
      </c>
      <c r="L12" s="1">
        <v>0</v>
      </c>
      <c r="M12" s="1">
        <v>2</v>
      </c>
      <c r="N12" s="1"/>
      <c r="O12" s="1">
        <v>0</v>
      </c>
      <c r="P12" s="1">
        <v>0</v>
      </c>
      <c r="Q12" s="1">
        <v>0</v>
      </c>
      <c r="R12" s="1">
        <v>108</v>
      </c>
      <c r="S12" s="1"/>
      <c r="T12" s="1">
        <v>1</v>
      </c>
      <c r="U12" s="1" t="s">
        <v>3</v>
      </c>
      <c r="V12" s="1">
        <v>0</v>
      </c>
      <c r="W12" s="1" t="s">
        <v>3</v>
      </c>
      <c r="X12" s="1" t="s">
        <v>3</v>
      </c>
      <c r="Y12" s="1" t="s">
        <v>3</v>
      </c>
      <c r="Z12" s="1" t="s">
        <v>3</v>
      </c>
      <c r="AA12" s="1" t="s">
        <v>3</v>
      </c>
      <c r="AB12" s="1" t="s">
        <v>3</v>
      </c>
      <c r="AC12" s="1" t="s">
        <v>3</v>
      </c>
      <c r="AD12" s="1" t="s">
        <v>3</v>
      </c>
      <c r="AE12" s="1" t="s">
        <v>3</v>
      </c>
      <c r="AF12" s="1" t="s">
        <v>3</v>
      </c>
      <c r="AG12" s="1" t="s">
        <v>3</v>
      </c>
      <c r="AH12" s="1" t="s">
        <v>3</v>
      </c>
      <c r="AI12" s="1" t="s">
        <v>3</v>
      </c>
      <c r="AJ12" s="1" t="s">
        <v>3</v>
      </c>
      <c r="AK12" s="1"/>
      <c r="AL12" s="1" t="s">
        <v>3</v>
      </c>
      <c r="AM12" s="1" t="s">
        <v>3</v>
      </c>
      <c r="AN12" s="1" t="s">
        <v>3</v>
      </c>
      <c r="AO12" s="1"/>
      <c r="AP12" s="1" t="s">
        <v>3</v>
      </c>
      <c r="AQ12" s="1" t="s">
        <v>3</v>
      </c>
      <c r="AR12" s="1" t="s">
        <v>3</v>
      </c>
      <c r="AS12" s="1"/>
      <c r="AT12" s="1"/>
      <c r="AU12" s="1"/>
      <c r="AV12" s="1"/>
      <c r="AW12" s="1"/>
      <c r="AX12" s="1" t="s">
        <v>3</v>
      </c>
      <c r="AY12" s="1" t="s">
        <v>3</v>
      </c>
      <c r="AZ12" s="1" t="s">
        <v>3</v>
      </c>
      <c r="BA12" s="1"/>
      <c r="BB12" s="1">
        <v>0</v>
      </c>
      <c r="BC12" s="1"/>
      <c r="BD12" s="1"/>
      <c r="BE12" s="1"/>
      <c r="BF12" s="1"/>
      <c r="BG12" s="1"/>
      <c r="BH12" s="1" t="s">
        <v>6</v>
      </c>
      <c r="BI12" s="1" t="s">
        <v>7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0</v>
      </c>
      <c r="BW12" s="1">
        <v>0</v>
      </c>
      <c r="BX12" s="1">
        <v>0</v>
      </c>
      <c r="BY12" s="1" t="s">
        <v>8</v>
      </c>
      <c r="BZ12" s="1" t="s">
        <v>9</v>
      </c>
      <c r="CA12" s="1" t="s">
        <v>10</v>
      </c>
      <c r="CB12" s="1" t="s">
        <v>10</v>
      </c>
      <c r="CC12" s="1" t="s">
        <v>10</v>
      </c>
      <c r="CD12" s="1" t="s">
        <v>10</v>
      </c>
      <c r="CE12" s="1" t="s">
        <v>11</v>
      </c>
      <c r="CF12" s="1">
        <v>0</v>
      </c>
      <c r="CG12" s="1">
        <v>0</v>
      </c>
      <c r="CH12" s="1">
        <v>8</v>
      </c>
      <c r="CI12" s="1" t="s">
        <v>3</v>
      </c>
      <c r="CJ12" s="1" t="s">
        <v>3</v>
      </c>
      <c r="CK12" s="1">
        <v>0</v>
      </c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>
        <v>0</v>
      </c>
      <c r="CZ12" s="1" t="s">
        <v>3</v>
      </c>
      <c r="DA12" s="1" t="s">
        <v>3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4" spans="1:133" x14ac:dyDescent="0.2">
      <c r="A14" s="1">
        <v>22</v>
      </c>
      <c r="B14" s="1">
        <v>1</v>
      </c>
      <c r="C14" s="1">
        <v>0</v>
      </c>
      <c r="D14" s="1">
        <v>75703152</v>
      </c>
      <c r="E14" s="1">
        <v>0</v>
      </c>
      <c r="F14" s="1">
        <v>2</v>
      </c>
      <c r="G14" s="1">
        <v>1</v>
      </c>
      <c r="H14" s="1"/>
      <c r="I14" s="1"/>
      <c r="J14" s="1"/>
      <c r="K14" s="1"/>
      <c r="L14" s="1"/>
      <c r="M14" s="1"/>
      <c r="N14" s="1"/>
      <c r="O14" s="1"/>
    </row>
    <row r="16" spans="1:133" x14ac:dyDescent="0.2">
      <c r="A16" s="5">
        <v>3</v>
      </c>
      <c r="B16" s="5">
        <v>0</v>
      </c>
      <c r="C16" s="5" t="s">
        <v>12</v>
      </c>
      <c r="D16" s="5" t="s">
        <v>12</v>
      </c>
      <c r="E16" s="6">
        <f>ROUND((Source!F158)/1000,2)</f>
        <v>0</v>
      </c>
      <c r="F16" s="6">
        <f>ROUND((Source!F159)/1000,2)</f>
        <v>0</v>
      </c>
      <c r="G16" s="6">
        <f>ROUND((Source!F150)/1000,2)</f>
        <v>0</v>
      </c>
      <c r="H16" s="6">
        <f>ROUND((Source!F160)/1000+(Source!F161)/1000,2)</f>
        <v>224.35</v>
      </c>
      <c r="I16" s="6">
        <f>E16+F16+G16+H16</f>
        <v>224.35</v>
      </c>
      <c r="J16" s="6">
        <f>ROUND((Source!F156+Source!F155)/1000,2)</f>
        <v>84.95</v>
      </c>
      <c r="AI16" s="5">
        <v>0</v>
      </c>
      <c r="AJ16" s="5">
        <v>0</v>
      </c>
      <c r="AK16" s="5" t="s">
        <v>3</v>
      </c>
      <c r="AL16" s="5" t="s">
        <v>3</v>
      </c>
      <c r="AM16" s="5" t="s">
        <v>3</v>
      </c>
      <c r="AN16" s="5">
        <v>0</v>
      </c>
      <c r="AO16" s="5" t="s">
        <v>3</v>
      </c>
      <c r="AP16" s="5" t="s">
        <v>3</v>
      </c>
      <c r="AT16" s="6">
        <v>158531.96</v>
      </c>
      <c r="AU16" s="6">
        <v>68377.22</v>
      </c>
      <c r="AV16" s="6">
        <v>0</v>
      </c>
      <c r="AW16" s="6">
        <v>0</v>
      </c>
      <c r="AX16" s="6">
        <v>0</v>
      </c>
      <c r="AY16" s="6">
        <v>11409.61</v>
      </c>
      <c r="AZ16" s="6">
        <v>6201.43</v>
      </c>
      <c r="BA16" s="6">
        <v>78745.13</v>
      </c>
      <c r="BB16" s="6">
        <v>0</v>
      </c>
      <c r="BC16" s="6">
        <v>0</v>
      </c>
      <c r="BD16" s="6">
        <v>224349.28</v>
      </c>
      <c r="BE16" s="6">
        <v>0</v>
      </c>
      <c r="BF16" s="6">
        <v>163.38800000000001</v>
      </c>
      <c r="BG16" s="6">
        <v>0</v>
      </c>
      <c r="BH16" s="6">
        <v>0</v>
      </c>
      <c r="BI16" s="6">
        <v>55121.59</v>
      </c>
      <c r="BJ16" s="6">
        <v>7874.52</v>
      </c>
      <c r="BK16" s="6">
        <v>224349.28</v>
      </c>
    </row>
    <row r="18" spans="1:19" x14ac:dyDescent="0.2">
      <c r="A18">
        <v>51</v>
      </c>
      <c r="E18" s="7">
        <f>SUMIF(A16:A17,3,E16:E17)</f>
        <v>0</v>
      </c>
      <c r="F18" s="7">
        <f>SUMIF(A16:A17,3,F16:F17)</f>
        <v>0</v>
      </c>
      <c r="G18" s="7">
        <f>SUMIF(A16:A17,3,G16:G17)</f>
        <v>0</v>
      </c>
      <c r="H18" s="7">
        <f>SUMIF(A16:A17,3,H16:H17)</f>
        <v>224.35</v>
      </c>
      <c r="I18" s="7">
        <f>SUMIF(A16:A17,3,I16:I17)</f>
        <v>224.35</v>
      </c>
      <c r="J18" s="7">
        <f>SUMIF(A16:A17,3,J16:J17)</f>
        <v>84.95</v>
      </c>
      <c r="K18" s="7"/>
      <c r="L18" s="7"/>
      <c r="M18" s="7"/>
      <c r="N18" s="7"/>
      <c r="O18" s="7"/>
      <c r="P18" s="7"/>
      <c r="Q18" s="7"/>
      <c r="R18" s="7"/>
      <c r="S18" s="7"/>
    </row>
    <row r="20" spans="1:19" x14ac:dyDescent="0.2">
      <c r="A20" s="4">
        <v>50</v>
      </c>
      <c r="B20" s="4">
        <v>0</v>
      </c>
      <c r="C20" s="4">
        <v>0</v>
      </c>
      <c r="D20" s="4">
        <v>1</v>
      </c>
      <c r="E20" s="4">
        <v>201</v>
      </c>
      <c r="F20" s="4">
        <v>158531.96</v>
      </c>
      <c r="G20" s="4" t="s">
        <v>36</v>
      </c>
      <c r="H20" s="4" t="s">
        <v>37</v>
      </c>
      <c r="I20" s="4"/>
      <c r="J20" s="4"/>
      <c r="K20" s="4">
        <v>201</v>
      </c>
      <c r="L20" s="4">
        <v>1</v>
      </c>
      <c r="M20" s="4">
        <v>3</v>
      </c>
      <c r="N20" s="4" t="s">
        <v>3</v>
      </c>
      <c r="O20" s="4">
        <v>2</v>
      </c>
      <c r="P20" s="4"/>
    </row>
    <row r="21" spans="1:19" x14ac:dyDescent="0.2">
      <c r="A21" s="4">
        <v>50</v>
      </c>
      <c r="B21" s="4">
        <v>0</v>
      </c>
      <c r="C21" s="4">
        <v>0</v>
      </c>
      <c r="D21" s="4">
        <v>1</v>
      </c>
      <c r="E21" s="4">
        <v>202</v>
      </c>
      <c r="F21" s="4">
        <v>68377.22</v>
      </c>
      <c r="G21" s="4" t="s">
        <v>38</v>
      </c>
      <c r="H21" s="4" t="s">
        <v>39</v>
      </c>
      <c r="I21" s="4"/>
      <c r="J21" s="4"/>
      <c r="K21" s="4">
        <v>202</v>
      </c>
      <c r="L21" s="4">
        <v>2</v>
      </c>
      <c r="M21" s="4">
        <v>3</v>
      </c>
      <c r="N21" s="4" t="s">
        <v>3</v>
      </c>
      <c r="O21" s="4">
        <v>2</v>
      </c>
      <c r="P21" s="4"/>
    </row>
    <row r="22" spans="1:19" x14ac:dyDescent="0.2">
      <c r="A22" s="4">
        <v>50</v>
      </c>
      <c r="B22" s="4">
        <v>0</v>
      </c>
      <c r="C22" s="4">
        <v>0</v>
      </c>
      <c r="D22" s="4">
        <v>1</v>
      </c>
      <c r="E22" s="4">
        <v>222</v>
      </c>
      <c r="F22" s="4">
        <v>0</v>
      </c>
      <c r="G22" s="4" t="s">
        <v>40</v>
      </c>
      <c r="H22" s="4" t="s">
        <v>41</v>
      </c>
      <c r="I22" s="4"/>
      <c r="J22" s="4"/>
      <c r="K22" s="4">
        <v>222</v>
      </c>
      <c r="L22" s="4">
        <v>3</v>
      </c>
      <c r="M22" s="4">
        <v>3</v>
      </c>
      <c r="N22" s="4" t="s">
        <v>3</v>
      </c>
      <c r="O22" s="4">
        <v>2</v>
      </c>
      <c r="P22" s="4"/>
    </row>
    <row r="23" spans="1:19" x14ac:dyDescent="0.2">
      <c r="A23" s="4">
        <v>50</v>
      </c>
      <c r="B23" s="4">
        <v>0</v>
      </c>
      <c r="C23" s="4">
        <v>0</v>
      </c>
      <c r="D23" s="4">
        <v>1</v>
      </c>
      <c r="E23" s="4">
        <v>225</v>
      </c>
      <c r="F23" s="4">
        <v>68377.22</v>
      </c>
      <c r="G23" s="4" t="s">
        <v>42</v>
      </c>
      <c r="H23" s="4" t="s">
        <v>43</v>
      </c>
      <c r="I23" s="4"/>
      <c r="J23" s="4"/>
      <c r="K23" s="4">
        <v>225</v>
      </c>
      <c r="L23" s="4">
        <v>4</v>
      </c>
      <c r="M23" s="4">
        <v>3</v>
      </c>
      <c r="N23" s="4" t="s">
        <v>3</v>
      </c>
      <c r="O23" s="4">
        <v>2</v>
      </c>
      <c r="P23" s="4"/>
    </row>
    <row r="24" spans="1:19" x14ac:dyDescent="0.2">
      <c r="A24" s="4">
        <v>50</v>
      </c>
      <c r="B24" s="4">
        <v>0</v>
      </c>
      <c r="C24" s="4">
        <v>0</v>
      </c>
      <c r="D24" s="4">
        <v>1</v>
      </c>
      <c r="E24" s="4">
        <v>226</v>
      </c>
      <c r="F24" s="4">
        <v>68377.22</v>
      </c>
      <c r="G24" s="4" t="s">
        <v>44</v>
      </c>
      <c r="H24" s="4" t="s">
        <v>45</v>
      </c>
      <c r="I24" s="4"/>
      <c r="J24" s="4"/>
      <c r="K24" s="4">
        <v>226</v>
      </c>
      <c r="L24" s="4">
        <v>5</v>
      </c>
      <c r="M24" s="4">
        <v>3</v>
      </c>
      <c r="N24" s="4" t="s">
        <v>3</v>
      </c>
      <c r="O24" s="4">
        <v>2</v>
      </c>
      <c r="P24" s="4"/>
    </row>
    <row r="25" spans="1:19" x14ac:dyDescent="0.2">
      <c r="A25" s="4">
        <v>50</v>
      </c>
      <c r="B25" s="4">
        <v>0</v>
      </c>
      <c r="C25" s="4">
        <v>0</v>
      </c>
      <c r="D25" s="4">
        <v>1</v>
      </c>
      <c r="E25" s="4">
        <v>227</v>
      </c>
      <c r="F25" s="4">
        <v>0</v>
      </c>
      <c r="G25" s="4" t="s">
        <v>46</v>
      </c>
      <c r="H25" s="4" t="s">
        <v>47</v>
      </c>
      <c r="I25" s="4"/>
      <c r="J25" s="4"/>
      <c r="K25" s="4">
        <v>227</v>
      </c>
      <c r="L25" s="4">
        <v>6</v>
      </c>
      <c r="M25" s="4">
        <v>3</v>
      </c>
      <c r="N25" s="4" t="s">
        <v>3</v>
      </c>
      <c r="O25" s="4">
        <v>2</v>
      </c>
      <c r="P25" s="4"/>
    </row>
    <row r="26" spans="1:19" x14ac:dyDescent="0.2">
      <c r="A26" s="4">
        <v>50</v>
      </c>
      <c r="B26" s="4">
        <v>0</v>
      </c>
      <c r="C26" s="4">
        <v>0</v>
      </c>
      <c r="D26" s="4">
        <v>1</v>
      </c>
      <c r="E26" s="4">
        <v>228</v>
      </c>
      <c r="F26" s="4">
        <v>68377.22</v>
      </c>
      <c r="G26" s="4" t="s">
        <v>48</v>
      </c>
      <c r="H26" s="4" t="s">
        <v>49</v>
      </c>
      <c r="I26" s="4"/>
      <c r="J26" s="4"/>
      <c r="K26" s="4">
        <v>228</v>
      </c>
      <c r="L26" s="4">
        <v>7</v>
      </c>
      <c r="M26" s="4">
        <v>3</v>
      </c>
      <c r="N26" s="4" t="s">
        <v>3</v>
      </c>
      <c r="O26" s="4">
        <v>2</v>
      </c>
      <c r="P26" s="4"/>
    </row>
    <row r="27" spans="1:19" x14ac:dyDescent="0.2">
      <c r="A27" s="4">
        <v>50</v>
      </c>
      <c r="B27" s="4">
        <v>0</v>
      </c>
      <c r="C27" s="4">
        <v>0</v>
      </c>
      <c r="D27" s="4">
        <v>1</v>
      </c>
      <c r="E27" s="4">
        <v>216</v>
      </c>
      <c r="F27" s="4">
        <v>0</v>
      </c>
      <c r="G27" s="4" t="s">
        <v>50</v>
      </c>
      <c r="H27" s="4" t="s">
        <v>51</v>
      </c>
      <c r="I27" s="4"/>
      <c r="J27" s="4"/>
      <c r="K27" s="4">
        <v>216</v>
      </c>
      <c r="L27" s="4">
        <v>8</v>
      </c>
      <c r="M27" s="4">
        <v>3</v>
      </c>
      <c r="N27" s="4" t="s">
        <v>3</v>
      </c>
      <c r="O27" s="4">
        <v>2</v>
      </c>
      <c r="P27" s="4"/>
    </row>
    <row r="28" spans="1:19" x14ac:dyDescent="0.2">
      <c r="A28" s="4">
        <v>50</v>
      </c>
      <c r="B28" s="4">
        <v>0</v>
      </c>
      <c r="C28" s="4">
        <v>0</v>
      </c>
      <c r="D28" s="4">
        <v>1</v>
      </c>
      <c r="E28" s="4">
        <v>223</v>
      </c>
      <c r="F28" s="4">
        <v>0</v>
      </c>
      <c r="G28" s="4" t="s">
        <v>52</v>
      </c>
      <c r="H28" s="4" t="s">
        <v>53</v>
      </c>
      <c r="I28" s="4"/>
      <c r="J28" s="4"/>
      <c r="K28" s="4">
        <v>223</v>
      </c>
      <c r="L28" s="4">
        <v>9</v>
      </c>
      <c r="M28" s="4">
        <v>3</v>
      </c>
      <c r="N28" s="4" t="s">
        <v>3</v>
      </c>
      <c r="O28" s="4">
        <v>2</v>
      </c>
      <c r="P28" s="4"/>
    </row>
    <row r="29" spans="1:19" x14ac:dyDescent="0.2">
      <c r="A29" s="4">
        <v>50</v>
      </c>
      <c r="B29" s="4">
        <v>0</v>
      </c>
      <c r="C29" s="4">
        <v>0</v>
      </c>
      <c r="D29" s="4">
        <v>1</v>
      </c>
      <c r="E29" s="4">
        <v>229</v>
      </c>
      <c r="F29" s="4">
        <v>0</v>
      </c>
      <c r="G29" s="4" t="s">
        <v>54</v>
      </c>
      <c r="H29" s="4" t="s">
        <v>55</v>
      </c>
      <c r="I29" s="4"/>
      <c r="J29" s="4"/>
      <c r="K29" s="4">
        <v>229</v>
      </c>
      <c r="L29" s="4">
        <v>10</v>
      </c>
      <c r="M29" s="4">
        <v>3</v>
      </c>
      <c r="N29" s="4" t="s">
        <v>3</v>
      </c>
      <c r="O29" s="4">
        <v>2</v>
      </c>
      <c r="P29" s="4"/>
    </row>
    <row r="30" spans="1:19" x14ac:dyDescent="0.2">
      <c r="A30" s="4">
        <v>50</v>
      </c>
      <c r="B30" s="4">
        <v>0</v>
      </c>
      <c r="C30" s="4">
        <v>0</v>
      </c>
      <c r="D30" s="4">
        <v>1</v>
      </c>
      <c r="E30" s="4">
        <v>203</v>
      </c>
      <c r="F30" s="4">
        <v>11409.61</v>
      </c>
      <c r="G30" s="4" t="s">
        <v>56</v>
      </c>
      <c r="H30" s="4" t="s">
        <v>57</v>
      </c>
      <c r="I30" s="4"/>
      <c r="J30" s="4"/>
      <c r="K30" s="4">
        <v>203</v>
      </c>
      <c r="L30" s="4">
        <v>11</v>
      </c>
      <c r="M30" s="4">
        <v>3</v>
      </c>
      <c r="N30" s="4" t="s">
        <v>3</v>
      </c>
      <c r="O30" s="4">
        <v>2</v>
      </c>
      <c r="P30" s="4"/>
    </row>
    <row r="31" spans="1:19" x14ac:dyDescent="0.2">
      <c r="A31" s="4">
        <v>50</v>
      </c>
      <c r="B31" s="4">
        <v>0</v>
      </c>
      <c r="C31" s="4">
        <v>0</v>
      </c>
      <c r="D31" s="4">
        <v>1</v>
      </c>
      <c r="E31" s="4">
        <v>231</v>
      </c>
      <c r="F31" s="4">
        <v>0</v>
      </c>
      <c r="G31" s="4" t="s">
        <v>58</v>
      </c>
      <c r="H31" s="4" t="s">
        <v>59</v>
      </c>
      <c r="I31" s="4"/>
      <c r="J31" s="4"/>
      <c r="K31" s="4">
        <v>231</v>
      </c>
      <c r="L31" s="4">
        <v>12</v>
      </c>
      <c r="M31" s="4">
        <v>3</v>
      </c>
      <c r="N31" s="4" t="s">
        <v>3</v>
      </c>
      <c r="O31" s="4">
        <v>2</v>
      </c>
      <c r="P31" s="4"/>
    </row>
    <row r="32" spans="1:19" x14ac:dyDescent="0.2">
      <c r="A32" s="4">
        <v>50</v>
      </c>
      <c r="B32" s="4">
        <v>0</v>
      </c>
      <c r="C32" s="4">
        <v>0</v>
      </c>
      <c r="D32" s="4">
        <v>1</v>
      </c>
      <c r="E32" s="4">
        <v>204</v>
      </c>
      <c r="F32" s="4">
        <v>6201.43</v>
      </c>
      <c r="G32" s="4" t="s">
        <v>60</v>
      </c>
      <c r="H32" s="4" t="s">
        <v>61</v>
      </c>
      <c r="I32" s="4"/>
      <c r="J32" s="4"/>
      <c r="K32" s="4">
        <v>204</v>
      </c>
      <c r="L32" s="4">
        <v>13</v>
      </c>
      <c r="M32" s="4">
        <v>3</v>
      </c>
      <c r="N32" s="4" t="s">
        <v>3</v>
      </c>
      <c r="O32" s="4">
        <v>2</v>
      </c>
      <c r="P32" s="4"/>
    </row>
    <row r="33" spans="1:16" x14ac:dyDescent="0.2">
      <c r="A33" s="4">
        <v>50</v>
      </c>
      <c r="B33" s="4">
        <v>0</v>
      </c>
      <c r="C33" s="4">
        <v>0</v>
      </c>
      <c r="D33" s="4">
        <v>1</v>
      </c>
      <c r="E33" s="4">
        <v>205</v>
      </c>
      <c r="F33" s="4">
        <v>78745.13</v>
      </c>
      <c r="G33" s="4" t="s">
        <v>62</v>
      </c>
      <c r="H33" s="4" t="s">
        <v>63</v>
      </c>
      <c r="I33" s="4"/>
      <c r="J33" s="4"/>
      <c r="K33" s="4">
        <v>205</v>
      </c>
      <c r="L33" s="4">
        <v>14</v>
      </c>
      <c r="M33" s="4">
        <v>3</v>
      </c>
      <c r="N33" s="4" t="s">
        <v>3</v>
      </c>
      <c r="O33" s="4">
        <v>2</v>
      </c>
      <c r="P33" s="4"/>
    </row>
    <row r="34" spans="1:16" x14ac:dyDescent="0.2">
      <c r="A34" s="4">
        <v>50</v>
      </c>
      <c r="B34" s="4">
        <v>0</v>
      </c>
      <c r="C34" s="4">
        <v>0</v>
      </c>
      <c r="D34" s="4">
        <v>1</v>
      </c>
      <c r="E34" s="4">
        <v>232</v>
      </c>
      <c r="F34" s="4">
        <v>0</v>
      </c>
      <c r="G34" s="4" t="s">
        <v>64</v>
      </c>
      <c r="H34" s="4" t="s">
        <v>65</v>
      </c>
      <c r="I34" s="4"/>
      <c r="J34" s="4"/>
      <c r="K34" s="4">
        <v>232</v>
      </c>
      <c r="L34" s="4">
        <v>15</v>
      </c>
      <c r="M34" s="4">
        <v>3</v>
      </c>
      <c r="N34" s="4" t="s">
        <v>3</v>
      </c>
      <c r="O34" s="4">
        <v>2</v>
      </c>
      <c r="P34" s="4"/>
    </row>
    <row r="35" spans="1:16" x14ac:dyDescent="0.2">
      <c r="A35" s="4">
        <v>50</v>
      </c>
      <c r="B35" s="4">
        <v>0</v>
      </c>
      <c r="C35" s="4">
        <v>0</v>
      </c>
      <c r="D35" s="4">
        <v>1</v>
      </c>
      <c r="E35" s="4">
        <v>214</v>
      </c>
      <c r="F35" s="4">
        <v>0</v>
      </c>
      <c r="G35" s="4" t="s">
        <v>66</v>
      </c>
      <c r="H35" s="4" t="s">
        <v>67</v>
      </c>
      <c r="I35" s="4"/>
      <c r="J35" s="4"/>
      <c r="K35" s="4">
        <v>214</v>
      </c>
      <c r="L35" s="4">
        <v>16</v>
      </c>
      <c r="M35" s="4">
        <v>3</v>
      </c>
      <c r="N35" s="4" t="s">
        <v>3</v>
      </c>
      <c r="O35" s="4">
        <v>2</v>
      </c>
      <c r="P35" s="4"/>
    </row>
    <row r="36" spans="1:16" x14ac:dyDescent="0.2">
      <c r="A36" s="4">
        <v>50</v>
      </c>
      <c r="B36" s="4">
        <v>0</v>
      </c>
      <c r="C36" s="4">
        <v>0</v>
      </c>
      <c r="D36" s="4">
        <v>1</v>
      </c>
      <c r="E36" s="4">
        <v>215</v>
      </c>
      <c r="F36" s="4">
        <v>0</v>
      </c>
      <c r="G36" s="4" t="s">
        <v>68</v>
      </c>
      <c r="H36" s="4" t="s">
        <v>69</v>
      </c>
      <c r="I36" s="4"/>
      <c r="J36" s="4"/>
      <c r="K36" s="4">
        <v>215</v>
      </c>
      <c r="L36" s="4">
        <v>17</v>
      </c>
      <c r="M36" s="4">
        <v>3</v>
      </c>
      <c r="N36" s="4" t="s">
        <v>3</v>
      </c>
      <c r="O36" s="4">
        <v>2</v>
      </c>
      <c r="P36" s="4"/>
    </row>
    <row r="37" spans="1:16" x14ac:dyDescent="0.2">
      <c r="A37" s="4">
        <v>50</v>
      </c>
      <c r="B37" s="4">
        <v>0</v>
      </c>
      <c r="C37" s="4">
        <v>0</v>
      </c>
      <c r="D37" s="4">
        <v>1</v>
      </c>
      <c r="E37" s="4">
        <v>217</v>
      </c>
      <c r="F37" s="4">
        <v>224349.28</v>
      </c>
      <c r="G37" s="4" t="s">
        <v>70</v>
      </c>
      <c r="H37" s="4" t="s">
        <v>71</v>
      </c>
      <c r="I37" s="4"/>
      <c r="J37" s="4"/>
      <c r="K37" s="4">
        <v>217</v>
      </c>
      <c r="L37" s="4">
        <v>18</v>
      </c>
      <c r="M37" s="4">
        <v>3</v>
      </c>
      <c r="N37" s="4" t="s">
        <v>3</v>
      </c>
      <c r="O37" s="4">
        <v>2</v>
      </c>
      <c r="P37" s="4"/>
    </row>
    <row r="38" spans="1:16" x14ac:dyDescent="0.2">
      <c r="A38" s="4">
        <v>50</v>
      </c>
      <c r="B38" s="4">
        <v>0</v>
      </c>
      <c r="C38" s="4">
        <v>0</v>
      </c>
      <c r="D38" s="4">
        <v>1</v>
      </c>
      <c r="E38" s="4">
        <v>230</v>
      </c>
      <c r="F38" s="4">
        <v>0</v>
      </c>
      <c r="G38" s="4" t="s">
        <v>72</v>
      </c>
      <c r="H38" s="4" t="s">
        <v>73</v>
      </c>
      <c r="I38" s="4"/>
      <c r="J38" s="4"/>
      <c r="K38" s="4">
        <v>230</v>
      </c>
      <c r="L38" s="4">
        <v>19</v>
      </c>
      <c r="M38" s="4">
        <v>3</v>
      </c>
      <c r="N38" s="4" t="s">
        <v>3</v>
      </c>
      <c r="O38" s="4">
        <v>2</v>
      </c>
      <c r="P38" s="4"/>
    </row>
    <row r="39" spans="1:16" x14ac:dyDescent="0.2">
      <c r="A39" s="4">
        <v>50</v>
      </c>
      <c r="B39" s="4">
        <v>0</v>
      </c>
      <c r="C39" s="4">
        <v>0</v>
      </c>
      <c r="D39" s="4">
        <v>1</v>
      </c>
      <c r="E39" s="4">
        <v>206</v>
      </c>
      <c r="F39" s="4">
        <v>0</v>
      </c>
      <c r="G39" s="4" t="s">
        <v>74</v>
      </c>
      <c r="H39" s="4" t="s">
        <v>75</v>
      </c>
      <c r="I39" s="4"/>
      <c r="J39" s="4"/>
      <c r="K39" s="4">
        <v>206</v>
      </c>
      <c r="L39" s="4">
        <v>20</v>
      </c>
      <c r="M39" s="4">
        <v>3</v>
      </c>
      <c r="N39" s="4" t="s">
        <v>3</v>
      </c>
      <c r="O39" s="4">
        <v>2</v>
      </c>
      <c r="P39" s="4"/>
    </row>
    <row r="40" spans="1:16" x14ac:dyDescent="0.2">
      <c r="A40" s="4">
        <v>50</v>
      </c>
      <c r="B40" s="4">
        <v>0</v>
      </c>
      <c r="C40" s="4">
        <v>0</v>
      </c>
      <c r="D40" s="4">
        <v>1</v>
      </c>
      <c r="E40" s="4">
        <v>207</v>
      </c>
      <c r="F40" s="4">
        <v>163.38800000000001</v>
      </c>
      <c r="G40" s="4" t="s">
        <v>76</v>
      </c>
      <c r="H40" s="4" t="s">
        <v>77</v>
      </c>
      <c r="I40" s="4"/>
      <c r="J40" s="4"/>
      <c r="K40" s="4">
        <v>207</v>
      </c>
      <c r="L40" s="4">
        <v>21</v>
      </c>
      <c r="M40" s="4">
        <v>3</v>
      </c>
      <c r="N40" s="4" t="s">
        <v>3</v>
      </c>
      <c r="O40" s="4">
        <v>-1</v>
      </c>
      <c r="P40" s="4"/>
    </row>
    <row r="41" spans="1:16" x14ac:dyDescent="0.2">
      <c r="A41" s="4">
        <v>50</v>
      </c>
      <c r="B41" s="4">
        <v>0</v>
      </c>
      <c r="C41" s="4">
        <v>0</v>
      </c>
      <c r="D41" s="4">
        <v>1</v>
      </c>
      <c r="E41" s="4">
        <v>208</v>
      </c>
      <c r="F41" s="4">
        <v>0</v>
      </c>
      <c r="G41" s="4" t="s">
        <v>78</v>
      </c>
      <c r="H41" s="4" t="s">
        <v>79</v>
      </c>
      <c r="I41" s="4"/>
      <c r="J41" s="4"/>
      <c r="K41" s="4">
        <v>208</v>
      </c>
      <c r="L41" s="4">
        <v>22</v>
      </c>
      <c r="M41" s="4">
        <v>3</v>
      </c>
      <c r="N41" s="4" t="s">
        <v>3</v>
      </c>
      <c r="O41" s="4">
        <v>-1</v>
      </c>
      <c r="P41" s="4"/>
    </row>
    <row r="42" spans="1:16" x14ac:dyDescent="0.2">
      <c r="A42" s="4">
        <v>50</v>
      </c>
      <c r="B42" s="4">
        <v>0</v>
      </c>
      <c r="C42" s="4">
        <v>0</v>
      </c>
      <c r="D42" s="4">
        <v>1</v>
      </c>
      <c r="E42" s="4">
        <v>209</v>
      </c>
      <c r="F42" s="4">
        <v>0</v>
      </c>
      <c r="G42" s="4" t="s">
        <v>80</v>
      </c>
      <c r="H42" s="4" t="s">
        <v>81</v>
      </c>
      <c r="I42" s="4"/>
      <c r="J42" s="4"/>
      <c r="K42" s="4">
        <v>209</v>
      </c>
      <c r="L42" s="4">
        <v>23</v>
      </c>
      <c r="M42" s="4">
        <v>3</v>
      </c>
      <c r="N42" s="4" t="s">
        <v>3</v>
      </c>
      <c r="O42" s="4">
        <v>2</v>
      </c>
      <c r="P42" s="4"/>
    </row>
    <row r="43" spans="1:16" x14ac:dyDescent="0.2">
      <c r="A43" s="4">
        <v>50</v>
      </c>
      <c r="B43" s="4">
        <v>0</v>
      </c>
      <c r="C43" s="4">
        <v>0</v>
      </c>
      <c r="D43" s="4">
        <v>1</v>
      </c>
      <c r="E43" s="4">
        <v>233</v>
      </c>
      <c r="F43" s="4">
        <v>0</v>
      </c>
      <c r="G43" s="4" t="s">
        <v>82</v>
      </c>
      <c r="H43" s="4" t="s">
        <v>83</v>
      </c>
      <c r="I43" s="4"/>
      <c r="J43" s="4"/>
      <c r="K43" s="4">
        <v>233</v>
      </c>
      <c r="L43" s="4">
        <v>24</v>
      </c>
      <c r="M43" s="4">
        <v>3</v>
      </c>
      <c r="N43" s="4" t="s">
        <v>3</v>
      </c>
      <c r="O43" s="4">
        <v>2</v>
      </c>
      <c r="P43" s="4"/>
    </row>
    <row r="44" spans="1:16" x14ac:dyDescent="0.2">
      <c r="A44" s="4">
        <v>50</v>
      </c>
      <c r="B44" s="4">
        <v>0</v>
      </c>
      <c r="C44" s="4">
        <v>0</v>
      </c>
      <c r="D44" s="4">
        <v>1</v>
      </c>
      <c r="E44" s="4">
        <v>210</v>
      </c>
      <c r="F44" s="4">
        <v>55121.59</v>
      </c>
      <c r="G44" s="4" t="s">
        <v>84</v>
      </c>
      <c r="H44" s="4" t="s">
        <v>85</v>
      </c>
      <c r="I44" s="4"/>
      <c r="J44" s="4"/>
      <c r="K44" s="4">
        <v>210</v>
      </c>
      <c r="L44" s="4">
        <v>25</v>
      </c>
      <c r="M44" s="4">
        <v>3</v>
      </c>
      <c r="N44" s="4" t="s">
        <v>3</v>
      </c>
      <c r="O44" s="4">
        <v>2</v>
      </c>
      <c r="P44" s="4"/>
    </row>
    <row r="45" spans="1:16" x14ac:dyDescent="0.2">
      <c r="A45" s="4">
        <v>50</v>
      </c>
      <c r="B45" s="4">
        <v>0</v>
      </c>
      <c r="C45" s="4">
        <v>0</v>
      </c>
      <c r="D45" s="4">
        <v>1</v>
      </c>
      <c r="E45" s="4">
        <v>211</v>
      </c>
      <c r="F45" s="4">
        <v>7874.52</v>
      </c>
      <c r="G45" s="4" t="s">
        <v>86</v>
      </c>
      <c r="H45" s="4" t="s">
        <v>87</v>
      </c>
      <c r="I45" s="4"/>
      <c r="J45" s="4"/>
      <c r="K45" s="4">
        <v>211</v>
      </c>
      <c r="L45" s="4">
        <v>26</v>
      </c>
      <c r="M45" s="4">
        <v>3</v>
      </c>
      <c r="N45" s="4" t="s">
        <v>3</v>
      </c>
      <c r="O45" s="4">
        <v>2</v>
      </c>
      <c r="P45" s="4"/>
    </row>
    <row r="46" spans="1:16" x14ac:dyDescent="0.2">
      <c r="A46" s="4">
        <v>50</v>
      </c>
      <c r="B46" s="4">
        <v>0</v>
      </c>
      <c r="C46" s="4">
        <v>0</v>
      </c>
      <c r="D46" s="4">
        <v>1</v>
      </c>
      <c r="E46" s="4">
        <v>224</v>
      </c>
      <c r="F46" s="4">
        <v>224349.28</v>
      </c>
      <c r="G46" s="4" t="s">
        <v>88</v>
      </c>
      <c r="H46" s="4" t="s">
        <v>89</v>
      </c>
      <c r="I46" s="4"/>
      <c r="J46" s="4"/>
      <c r="K46" s="4">
        <v>224</v>
      </c>
      <c r="L46" s="4">
        <v>27</v>
      </c>
      <c r="M46" s="4">
        <v>3</v>
      </c>
      <c r="N46" s="4" t="s">
        <v>3</v>
      </c>
      <c r="O46" s="4">
        <v>2</v>
      </c>
      <c r="P46" s="4"/>
    </row>
    <row r="47" spans="1:16" x14ac:dyDescent="0.2">
      <c r="A47" s="4">
        <v>50</v>
      </c>
      <c r="B47" s="4">
        <v>1</v>
      </c>
      <c r="C47" s="4">
        <v>0</v>
      </c>
      <c r="D47" s="4">
        <v>2</v>
      </c>
      <c r="E47" s="4">
        <v>0</v>
      </c>
      <c r="F47" s="4">
        <v>44869.86</v>
      </c>
      <c r="G47" s="4" t="s">
        <v>128</v>
      </c>
      <c r="H47" s="4" t="s">
        <v>129</v>
      </c>
      <c r="I47" s="4"/>
      <c r="J47" s="4"/>
      <c r="K47" s="4">
        <v>212</v>
      </c>
      <c r="L47" s="4">
        <v>28</v>
      </c>
      <c r="M47" s="4">
        <v>0</v>
      </c>
      <c r="N47" s="4" t="s">
        <v>3</v>
      </c>
      <c r="O47" s="4">
        <v>2</v>
      </c>
      <c r="P47" s="4"/>
    </row>
    <row r="48" spans="1:16" x14ac:dyDescent="0.2">
      <c r="A48" s="4">
        <v>50</v>
      </c>
      <c r="B48" s="4">
        <v>1</v>
      </c>
      <c r="C48" s="4">
        <v>0</v>
      </c>
      <c r="D48" s="4">
        <v>2</v>
      </c>
      <c r="E48" s="4">
        <v>213</v>
      </c>
      <c r="F48" s="4">
        <v>269219.14</v>
      </c>
      <c r="G48" s="4" t="s">
        <v>130</v>
      </c>
      <c r="H48" s="4" t="s">
        <v>131</v>
      </c>
      <c r="I48" s="4"/>
      <c r="J48" s="4"/>
      <c r="K48" s="4">
        <v>212</v>
      </c>
      <c r="L48" s="4">
        <v>29</v>
      </c>
      <c r="M48" s="4">
        <v>0</v>
      </c>
      <c r="N48" s="4" t="s">
        <v>3</v>
      </c>
      <c r="O48" s="4">
        <v>2</v>
      </c>
      <c r="P48" s="4"/>
    </row>
    <row r="50" spans="1:15" x14ac:dyDescent="0.2">
      <c r="A50">
        <v>-1</v>
      </c>
    </row>
    <row r="53" spans="1:15" x14ac:dyDescent="0.2">
      <c r="A53" s="3">
        <v>75</v>
      </c>
      <c r="B53" s="3" t="s">
        <v>132</v>
      </c>
      <c r="C53" s="3">
        <v>2025</v>
      </c>
      <c r="D53" s="3">
        <v>2</v>
      </c>
      <c r="E53" s="3">
        <v>0</v>
      </c>
      <c r="F53" s="3"/>
      <c r="G53" s="3">
        <v>0</v>
      </c>
      <c r="H53" s="3">
        <v>1</v>
      </c>
      <c r="I53" s="3">
        <v>0</v>
      </c>
      <c r="J53" s="3">
        <v>1</v>
      </c>
      <c r="K53" s="3">
        <v>78</v>
      </c>
      <c r="L53" s="3">
        <v>30</v>
      </c>
      <c r="M53" s="3">
        <v>0</v>
      </c>
      <c r="N53" s="3">
        <v>75703152</v>
      </c>
      <c r="O53" s="3">
        <v>1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O57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19" x14ac:dyDescent="0.2">
      <c r="A1">
        <f>ROW(Source!A28)</f>
        <v>28</v>
      </c>
      <c r="B1">
        <v>75703152</v>
      </c>
      <c r="C1">
        <v>75702854</v>
      </c>
      <c r="D1">
        <v>75386788</v>
      </c>
      <c r="E1">
        <v>39</v>
      </c>
      <c r="F1">
        <v>1</v>
      </c>
      <c r="G1">
        <v>39</v>
      </c>
      <c r="H1">
        <v>1</v>
      </c>
      <c r="I1" t="s">
        <v>134</v>
      </c>
      <c r="J1" t="s">
        <v>3</v>
      </c>
      <c r="K1" t="s">
        <v>135</v>
      </c>
      <c r="L1">
        <v>1191</v>
      </c>
      <c r="N1">
        <v>1013</v>
      </c>
      <c r="O1" t="s">
        <v>136</v>
      </c>
      <c r="P1" t="s">
        <v>136</v>
      </c>
      <c r="Q1">
        <v>1</v>
      </c>
      <c r="W1">
        <v>0</v>
      </c>
      <c r="X1">
        <v>476480486</v>
      </c>
      <c r="Y1">
        <f t="shared" ref="Y1:Y41" si="0">AT1</f>
        <v>79.2</v>
      </c>
      <c r="AA1">
        <v>0</v>
      </c>
      <c r="AB1">
        <v>0</v>
      </c>
      <c r="AC1">
        <v>0</v>
      </c>
      <c r="AD1">
        <v>0</v>
      </c>
      <c r="AE1">
        <v>0</v>
      </c>
      <c r="AF1">
        <v>0</v>
      </c>
      <c r="AG1">
        <v>0</v>
      </c>
      <c r="AH1">
        <v>0</v>
      </c>
      <c r="AI1">
        <v>1</v>
      </c>
      <c r="AJ1">
        <v>1</v>
      </c>
      <c r="AK1">
        <v>1</v>
      </c>
      <c r="AL1">
        <v>1</v>
      </c>
      <c r="AM1">
        <v>-2</v>
      </c>
      <c r="AN1">
        <v>0</v>
      </c>
      <c r="AO1">
        <v>1</v>
      </c>
      <c r="AP1">
        <v>0</v>
      </c>
      <c r="AQ1">
        <v>0</v>
      </c>
      <c r="AR1">
        <v>0</v>
      </c>
      <c r="AS1" t="s">
        <v>3</v>
      </c>
      <c r="AT1">
        <v>79.2</v>
      </c>
      <c r="AU1" t="s">
        <v>3</v>
      </c>
      <c r="AV1">
        <v>1</v>
      </c>
      <c r="AW1">
        <v>2</v>
      </c>
      <c r="AX1">
        <v>75703094</v>
      </c>
      <c r="AY1">
        <v>1</v>
      </c>
      <c r="AZ1">
        <v>0</v>
      </c>
      <c r="BA1">
        <v>1</v>
      </c>
      <c r="BB1">
        <v>0</v>
      </c>
      <c r="BC1">
        <v>0</v>
      </c>
      <c r="BD1">
        <v>0</v>
      </c>
      <c r="BE1">
        <v>0</v>
      </c>
      <c r="BF1">
        <v>0</v>
      </c>
      <c r="BG1">
        <v>0</v>
      </c>
      <c r="BH1">
        <v>0</v>
      </c>
      <c r="BI1">
        <v>0</v>
      </c>
      <c r="BJ1">
        <v>0</v>
      </c>
      <c r="BK1">
        <v>0</v>
      </c>
      <c r="BL1">
        <v>0</v>
      </c>
      <c r="BM1">
        <v>0</v>
      </c>
      <c r="BN1">
        <v>0</v>
      </c>
      <c r="BO1">
        <v>0</v>
      </c>
      <c r="BP1">
        <v>0</v>
      </c>
      <c r="BQ1">
        <v>0</v>
      </c>
      <c r="BR1">
        <v>0</v>
      </c>
      <c r="BS1">
        <v>0</v>
      </c>
      <c r="BT1">
        <v>0</v>
      </c>
      <c r="BU1">
        <v>0</v>
      </c>
      <c r="BV1">
        <v>0</v>
      </c>
      <c r="BW1">
        <v>0</v>
      </c>
      <c r="CU1">
        <f>ROUND(AT1*Source!I28*AH1*AL1,2)</f>
        <v>0</v>
      </c>
      <c r="CV1">
        <f>ROUND(Y1*Source!I28,9)</f>
        <v>6.3360000000000003</v>
      </c>
      <c r="CW1">
        <v>0</v>
      </c>
      <c r="CX1">
        <f>ROUND(Y1*Source!I28,9)</f>
        <v>6.3360000000000003</v>
      </c>
      <c r="CY1">
        <f>AD1</f>
        <v>0</v>
      </c>
      <c r="CZ1">
        <f>AH1</f>
        <v>0</v>
      </c>
      <c r="DA1">
        <f>AL1</f>
        <v>1</v>
      </c>
      <c r="DB1">
        <f t="shared" ref="DB1:DB41" si="1">ROUND(ROUND(AT1*CZ1,2),6)</f>
        <v>0</v>
      </c>
      <c r="DC1">
        <f t="shared" ref="DC1:DC41" si="2">ROUND(ROUND(AT1*AG1,2),6)</f>
        <v>0</v>
      </c>
      <c r="DD1" t="s">
        <v>3</v>
      </c>
      <c r="DE1" t="s">
        <v>3</v>
      </c>
      <c r="DF1">
        <f t="shared" ref="DF1:DF32" si="3">ROUND(ROUND(AE1,2)*CX1,2)</f>
        <v>0</v>
      </c>
      <c r="DG1">
        <f t="shared" ref="DG1:DG32" si="4">ROUND(ROUND(AF1,2)*CX1,2)</f>
        <v>0</v>
      </c>
      <c r="DH1">
        <f t="shared" ref="DH1:DH32" si="5">ROUND(ROUND(AG1,2)*CX1,2)</f>
        <v>0</v>
      </c>
      <c r="DI1">
        <f t="shared" ref="DI1:DI32" si="6">ROUND(ROUND(AH1,2)*CX1,2)</f>
        <v>0</v>
      </c>
      <c r="DJ1">
        <f>DI1</f>
        <v>0</v>
      </c>
      <c r="DK1">
        <v>0</v>
      </c>
      <c r="DL1" t="s">
        <v>3</v>
      </c>
      <c r="DM1">
        <v>0</v>
      </c>
      <c r="DN1" t="s">
        <v>3</v>
      </c>
      <c r="DO1">
        <v>0</v>
      </c>
    </row>
    <row r="2" spans="1:119" x14ac:dyDescent="0.2">
      <c r="A2">
        <f>ROW(Source!A28)</f>
        <v>28</v>
      </c>
      <c r="B2">
        <v>75703152</v>
      </c>
      <c r="C2">
        <v>75702854</v>
      </c>
      <c r="D2">
        <v>75388068</v>
      </c>
      <c r="E2">
        <v>1</v>
      </c>
      <c r="F2">
        <v>1</v>
      </c>
      <c r="G2">
        <v>39</v>
      </c>
      <c r="H2">
        <v>2</v>
      </c>
      <c r="I2" t="s">
        <v>137</v>
      </c>
      <c r="J2" t="s">
        <v>138</v>
      </c>
      <c r="K2" t="s">
        <v>139</v>
      </c>
      <c r="L2">
        <v>1368</v>
      </c>
      <c r="N2">
        <v>1011</v>
      </c>
      <c r="O2" t="s">
        <v>140</v>
      </c>
      <c r="P2" t="s">
        <v>140</v>
      </c>
      <c r="Q2">
        <v>1</v>
      </c>
      <c r="W2">
        <v>0</v>
      </c>
      <c r="X2">
        <v>608462102</v>
      </c>
      <c r="Y2">
        <f t="shared" si="0"/>
        <v>7.25</v>
      </c>
      <c r="AA2">
        <v>0</v>
      </c>
      <c r="AB2">
        <v>2430.38</v>
      </c>
      <c r="AC2">
        <v>901.93</v>
      </c>
      <c r="AD2">
        <v>0</v>
      </c>
      <c r="AE2">
        <v>0</v>
      </c>
      <c r="AF2">
        <v>2430.38</v>
      </c>
      <c r="AG2">
        <v>901.93</v>
      </c>
      <c r="AH2">
        <v>0</v>
      </c>
      <c r="AI2">
        <v>1</v>
      </c>
      <c r="AJ2">
        <v>1</v>
      </c>
      <c r="AK2">
        <v>1</v>
      </c>
      <c r="AL2">
        <v>1</v>
      </c>
      <c r="AM2">
        <v>-2</v>
      </c>
      <c r="AN2">
        <v>0</v>
      </c>
      <c r="AO2">
        <v>1</v>
      </c>
      <c r="AP2">
        <v>0</v>
      </c>
      <c r="AQ2">
        <v>0</v>
      </c>
      <c r="AR2">
        <v>0</v>
      </c>
      <c r="AS2" t="s">
        <v>3</v>
      </c>
      <c r="AT2">
        <v>7.25</v>
      </c>
      <c r="AU2" t="s">
        <v>3</v>
      </c>
      <c r="AV2">
        <v>0</v>
      </c>
      <c r="AW2">
        <v>2</v>
      </c>
      <c r="AX2">
        <v>75703095</v>
      </c>
      <c r="AY2">
        <v>1</v>
      </c>
      <c r="AZ2">
        <v>0</v>
      </c>
      <c r="BA2">
        <v>2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CV2">
        <v>0</v>
      </c>
      <c r="CW2">
        <f>ROUND(Y2*Source!I28*DO2,9)</f>
        <v>0</v>
      </c>
      <c r="CX2">
        <f>ROUND(Y2*Source!I28,9)</f>
        <v>0.57999999999999996</v>
      </c>
      <c r="CY2">
        <f>AB2</f>
        <v>2430.38</v>
      </c>
      <c r="CZ2">
        <f>AF2</f>
        <v>2430.38</v>
      </c>
      <c r="DA2">
        <f>AJ2</f>
        <v>1</v>
      </c>
      <c r="DB2">
        <f t="shared" si="1"/>
        <v>17620.259999999998</v>
      </c>
      <c r="DC2">
        <f t="shared" si="2"/>
        <v>6538.99</v>
      </c>
      <c r="DD2" t="s">
        <v>3</v>
      </c>
      <c r="DE2" t="s">
        <v>3</v>
      </c>
      <c r="DF2">
        <f t="shared" si="3"/>
        <v>0</v>
      </c>
      <c r="DG2">
        <f t="shared" si="4"/>
        <v>1409.62</v>
      </c>
      <c r="DH2">
        <f t="shared" si="5"/>
        <v>523.12</v>
      </c>
      <c r="DI2">
        <f t="shared" si="6"/>
        <v>0</v>
      </c>
      <c r="DJ2">
        <f>DG2</f>
        <v>1409.62</v>
      </c>
      <c r="DK2">
        <v>0</v>
      </c>
      <c r="DL2" t="s">
        <v>3</v>
      </c>
      <c r="DM2">
        <v>0</v>
      </c>
      <c r="DN2" t="s">
        <v>3</v>
      </c>
      <c r="DO2">
        <v>0</v>
      </c>
    </row>
    <row r="3" spans="1:119" x14ac:dyDescent="0.2">
      <c r="A3">
        <f>ROW(Source!A28)</f>
        <v>28</v>
      </c>
      <c r="B3">
        <v>75703152</v>
      </c>
      <c r="C3">
        <v>75702854</v>
      </c>
      <c r="D3">
        <v>75387887</v>
      </c>
      <c r="E3">
        <v>1</v>
      </c>
      <c r="F3">
        <v>1</v>
      </c>
      <c r="G3">
        <v>39</v>
      </c>
      <c r="H3">
        <v>2</v>
      </c>
      <c r="I3" t="s">
        <v>141</v>
      </c>
      <c r="J3" t="s">
        <v>142</v>
      </c>
      <c r="K3" t="s">
        <v>143</v>
      </c>
      <c r="L3">
        <v>1368</v>
      </c>
      <c r="N3">
        <v>1011</v>
      </c>
      <c r="O3" t="s">
        <v>140</v>
      </c>
      <c r="P3" t="s">
        <v>140</v>
      </c>
      <c r="Q3">
        <v>1</v>
      </c>
      <c r="W3">
        <v>0</v>
      </c>
      <c r="X3">
        <v>325649303</v>
      </c>
      <c r="Y3">
        <f t="shared" si="0"/>
        <v>3.58</v>
      </c>
      <c r="AA3">
        <v>0</v>
      </c>
      <c r="AB3">
        <v>37.39</v>
      </c>
      <c r="AC3">
        <v>2.64</v>
      </c>
      <c r="AD3">
        <v>0</v>
      </c>
      <c r="AE3">
        <v>0</v>
      </c>
      <c r="AF3">
        <v>37.39</v>
      </c>
      <c r="AG3">
        <v>2.64</v>
      </c>
      <c r="AH3">
        <v>0</v>
      </c>
      <c r="AI3">
        <v>1</v>
      </c>
      <c r="AJ3">
        <v>1</v>
      </c>
      <c r="AK3">
        <v>1</v>
      </c>
      <c r="AL3">
        <v>1</v>
      </c>
      <c r="AM3">
        <v>-2</v>
      </c>
      <c r="AN3">
        <v>0</v>
      </c>
      <c r="AO3">
        <v>1</v>
      </c>
      <c r="AP3">
        <v>0</v>
      </c>
      <c r="AQ3">
        <v>0</v>
      </c>
      <c r="AR3">
        <v>0</v>
      </c>
      <c r="AS3" t="s">
        <v>3</v>
      </c>
      <c r="AT3">
        <v>3.58</v>
      </c>
      <c r="AU3" t="s">
        <v>3</v>
      </c>
      <c r="AV3">
        <v>0</v>
      </c>
      <c r="AW3">
        <v>2</v>
      </c>
      <c r="AX3">
        <v>75703096</v>
      </c>
      <c r="AY3">
        <v>1</v>
      </c>
      <c r="AZ3">
        <v>0</v>
      </c>
      <c r="BA3">
        <v>3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CV3">
        <v>0</v>
      </c>
      <c r="CW3">
        <f>ROUND(Y3*Source!I28*DO3,9)</f>
        <v>0</v>
      </c>
      <c r="CX3">
        <f>ROUND(Y3*Source!I28,9)</f>
        <v>0.28639999999999999</v>
      </c>
      <c r="CY3">
        <f>AB3</f>
        <v>37.39</v>
      </c>
      <c r="CZ3">
        <f>AF3</f>
        <v>37.39</v>
      </c>
      <c r="DA3">
        <f>AJ3</f>
        <v>1</v>
      </c>
      <c r="DB3">
        <f t="shared" si="1"/>
        <v>133.86000000000001</v>
      </c>
      <c r="DC3">
        <f t="shared" si="2"/>
        <v>9.4499999999999993</v>
      </c>
      <c r="DD3" t="s">
        <v>3</v>
      </c>
      <c r="DE3" t="s">
        <v>3</v>
      </c>
      <c r="DF3">
        <f t="shared" si="3"/>
        <v>0</v>
      </c>
      <c r="DG3">
        <f t="shared" si="4"/>
        <v>10.71</v>
      </c>
      <c r="DH3">
        <f t="shared" si="5"/>
        <v>0.76</v>
      </c>
      <c r="DI3">
        <f t="shared" si="6"/>
        <v>0</v>
      </c>
      <c r="DJ3">
        <f>DG3</f>
        <v>10.71</v>
      </c>
      <c r="DK3">
        <v>0</v>
      </c>
      <c r="DL3" t="s">
        <v>3</v>
      </c>
      <c r="DM3">
        <v>0</v>
      </c>
      <c r="DN3" t="s">
        <v>3</v>
      </c>
      <c r="DO3">
        <v>0</v>
      </c>
    </row>
    <row r="4" spans="1:119" x14ac:dyDescent="0.2">
      <c r="A4">
        <f>ROW(Source!A28)</f>
        <v>28</v>
      </c>
      <c r="B4">
        <v>75703152</v>
      </c>
      <c r="C4">
        <v>75702854</v>
      </c>
      <c r="D4">
        <v>75388029</v>
      </c>
      <c r="E4">
        <v>1</v>
      </c>
      <c r="F4">
        <v>1</v>
      </c>
      <c r="G4">
        <v>39</v>
      </c>
      <c r="H4">
        <v>2</v>
      </c>
      <c r="I4" t="s">
        <v>144</v>
      </c>
      <c r="J4" t="s">
        <v>145</v>
      </c>
      <c r="K4" t="s">
        <v>146</v>
      </c>
      <c r="L4">
        <v>1368</v>
      </c>
      <c r="N4">
        <v>1011</v>
      </c>
      <c r="O4" t="s">
        <v>140</v>
      </c>
      <c r="P4" t="s">
        <v>140</v>
      </c>
      <c r="Q4">
        <v>1</v>
      </c>
      <c r="W4">
        <v>0</v>
      </c>
      <c r="X4">
        <v>-1792138906</v>
      </c>
      <c r="Y4">
        <f t="shared" si="0"/>
        <v>7.25</v>
      </c>
      <c r="AA4">
        <v>0</v>
      </c>
      <c r="AB4">
        <v>83.16</v>
      </c>
      <c r="AC4">
        <v>40.22</v>
      </c>
      <c r="AD4">
        <v>0</v>
      </c>
      <c r="AE4">
        <v>0</v>
      </c>
      <c r="AF4">
        <v>83.16</v>
      </c>
      <c r="AG4">
        <v>40.22</v>
      </c>
      <c r="AH4">
        <v>0</v>
      </c>
      <c r="AI4">
        <v>1</v>
      </c>
      <c r="AJ4">
        <v>1</v>
      </c>
      <c r="AK4">
        <v>1</v>
      </c>
      <c r="AL4">
        <v>1</v>
      </c>
      <c r="AM4">
        <v>-2</v>
      </c>
      <c r="AN4">
        <v>0</v>
      </c>
      <c r="AO4">
        <v>1</v>
      </c>
      <c r="AP4">
        <v>0</v>
      </c>
      <c r="AQ4">
        <v>0</v>
      </c>
      <c r="AR4">
        <v>0</v>
      </c>
      <c r="AS4" t="s">
        <v>3</v>
      </c>
      <c r="AT4">
        <v>7.25</v>
      </c>
      <c r="AU4" t="s">
        <v>3</v>
      </c>
      <c r="AV4">
        <v>0</v>
      </c>
      <c r="AW4">
        <v>2</v>
      </c>
      <c r="AX4">
        <v>75703097</v>
      </c>
      <c r="AY4">
        <v>1</v>
      </c>
      <c r="AZ4">
        <v>0</v>
      </c>
      <c r="BA4">
        <v>4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CV4">
        <v>0</v>
      </c>
      <c r="CW4">
        <f>ROUND(Y4*Source!I28*DO4,9)</f>
        <v>0</v>
      </c>
      <c r="CX4">
        <f>ROUND(Y4*Source!I28,9)</f>
        <v>0.57999999999999996</v>
      </c>
      <c r="CY4">
        <f>AB4</f>
        <v>83.16</v>
      </c>
      <c r="CZ4">
        <f>AF4</f>
        <v>83.16</v>
      </c>
      <c r="DA4">
        <f>AJ4</f>
        <v>1</v>
      </c>
      <c r="DB4">
        <f t="shared" si="1"/>
        <v>602.91</v>
      </c>
      <c r="DC4">
        <f t="shared" si="2"/>
        <v>291.60000000000002</v>
      </c>
      <c r="DD4" t="s">
        <v>3</v>
      </c>
      <c r="DE4" t="s">
        <v>3</v>
      </c>
      <c r="DF4">
        <f t="shared" si="3"/>
        <v>0</v>
      </c>
      <c r="DG4">
        <f t="shared" si="4"/>
        <v>48.23</v>
      </c>
      <c r="DH4">
        <f t="shared" si="5"/>
        <v>23.33</v>
      </c>
      <c r="DI4">
        <f t="shared" si="6"/>
        <v>0</v>
      </c>
      <c r="DJ4">
        <f>DG4</f>
        <v>48.23</v>
      </c>
      <c r="DK4">
        <v>0</v>
      </c>
      <c r="DL4" t="s">
        <v>3</v>
      </c>
      <c r="DM4">
        <v>0</v>
      </c>
      <c r="DN4" t="s">
        <v>3</v>
      </c>
      <c r="DO4">
        <v>0</v>
      </c>
    </row>
    <row r="5" spans="1:119" x14ac:dyDescent="0.2">
      <c r="A5">
        <f>ROW(Source!A28)</f>
        <v>28</v>
      </c>
      <c r="B5">
        <v>75703152</v>
      </c>
      <c r="C5">
        <v>75702854</v>
      </c>
      <c r="D5">
        <v>75389861</v>
      </c>
      <c r="E5">
        <v>1</v>
      </c>
      <c r="F5">
        <v>1</v>
      </c>
      <c r="G5">
        <v>39</v>
      </c>
      <c r="H5">
        <v>3</v>
      </c>
      <c r="I5" t="s">
        <v>147</v>
      </c>
      <c r="J5" t="s">
        <v>148</v>
      </c>
      <c r="K5" t="s">
        <v>149</v>
      </c>
      <c r="L5">
        <v>1339</v>
      </c>
      <c r="N5">
        <v>1007</v>
      </c>
      <c r="O5" t="s">
        <v>18</v>
      </c>
      <c r="P5" t="s">
        <v>18</v>
      </c>
      <c r="Q5">
        <v>1</v>
      </c>
      <c r="W5">
        <v>0</v>
      </c>
      <c r="X5">
        <v>1462540051</v>
      </c>
      <c r="Y5">
        <f t="shared" si="0"/>
        <v>0.96</v>
      </c>
      <c r="AA5">
        <v>903.53</v>
      </c>
      <c r="AB5">
        <v>0</v>
      </c>
      <c r="AC5">
        <v>0</v>
      </c>
      <c r="AD5">
        <v>0</v>
      </c>
      <c r="AE5">
        <v>903.53</v>
      </c>
      <c r="AF5">
        <v>0</v>
      </c>
      <c r="AG5">
        <v>0</v>
      </c>
      <c r="AH5">
        <v>0</v>
      </c>
      <c r="AI5">
        <v>1</v>
      </c>
      <c r="AJ5">
        <v>1</v>
      </c>
      <c r="AK5">
        <v>1</v>
      </c>
      <c r="AL5">
        <v>1</v>
      </c>
      <c r="AM5">
        <v>-2</v>
      </c>
      <c r="AN5">
        <v>0</v>
      </c>
      <c r="AO5">
        <v>1</v>
      </c>
      <c r="AP5">
        <v>0</v>
      </c>
      <c r="AQ5">
        <v>0</v>
      </c>
      <c r="AR5">
        <v>0</v>
      </c>
      <c r="AS5" t="s">
        <v>3</v>
      </c>
      <c r="AT5">
        <v>0.96</v>
      </c>
      <c r="AU5" t="s">
        <v>3</v>
      </c>
      <c r="AV5">
        <v>0</v>
      </c>
      <c r="AW5">
        <v>2</v>
      </c>
      <c r="AX5">
        <v>75703098</v>
      </c>
      <c r="AY5">
        <v>1</v>
      </c>
      <c r="AZ5">
        <v>0</v>
      </c>
      <c r="BA5">
        <v>5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CV5">
        <v>0</v>
      </c>
      <c r="CW5">
        <v>0</v>
      </c>
      <c r="CX5">
        <f>ROUND(Y5*Source!I28,9)</f>
        <v>7.6799999999999993E-2</v>
      </c>
      <c r="CY5">
        <f t="shared" ref="CY5:CY11" si="7">AA5</f>
        <v>903.53</v>
      </c>
      <c r="CZ5">
        <f t="shared" ref="CZ5:CZ11" si="8">AE5</f>
        <v>903.53</v>
      </c>
      <c r="DA5">
        <f t="shared" ref="DA5:DA11" si="9">AI5</f>
        <v>1</v>
      </c>
      <c r="DB5">
        <f t="shared" si="1"/>
        <v>867.39</v>
      </c>
      <c r="DC5">
        <f t="shared" si="2"/>
        <v>0</v>
      </c>
      <c r="DD5" t="s">
        <v>3</v>
      </c>
      <c r="DE5" t="s">
        <v>3</v>
      </c>
      <c r="DF5">
        <f t="shared" si="3"/>
        <v>69.39</v>
      </c>
      <c r="DG5">
        <f t="shared" si="4"/>
        <v>0</v>
      </c>
      <c r="DH5">
        <f t="shared" si="5"/>
        <v>0</v>
      </c>
      <c r="DI5">
        <f t="shared" si="6"/>
        <v>0</v>
      </c>
      <c r="DJ5">
        <f t="shared" ref="DJ5:DJ11" si="10">DF5</f>
        <v>69.39</v>
      </c>
      <c r="DK5">
        <v>0</v>
      </c>
      <c r="DL5" t="s">
        <v>3</v>
      </c>
      <c r="DM5">
        <v>0</v>
      </c>
      <c r="DN5" t="s">
        <v>3</v>
      </c>
      <c r="DO5">
        <v>0</v>
      </c>
    </row>
    <row r="6" spans="1:119" x14ac:dyDescent="0.2">
      <c r="A6">
        <f>ROW(Source!A28)</f>
        <v>28</v>
      </c>
      <c r="B6">
        <v>75703152</v>
      </c>
      <c r="C6">
        <v>75702854</v>
      </c>
      <c r="D6">
        <v>75388764</v>
      </c>
      <c r="E6">
        <v>1</v>
      </c>
      <c r="F6">
        <v>1</v>
      </c>
      <c r="G6">
        <v>39</v>
      </c>
      <c r="H6">
        <v>3</v>
      </c>
      <c r="I6" t="s">
        <v>150</v>
      </c>
      <c r="J6" t="s">
        <v>151</v>
      </c>
      <c r="K6" t="s">
        <v>152</v>
      </c>
      <c r="L6">
        <v>1348</v>
      </c>
      <c r="N6">
        <v>1009</v>
      </c>
      <c r="O6" t="s">
        <v>116</v>
      </c>
      <c r="P6" t="s">
        <v>116</v>
      </c>
      <c r="Q6">
        <v>1000</v>
      </c>
      <c r="W6">
        <v>0</v>
      </c>
      <c r="X6">
        <v>1291445380</v>
      </c>
      <c r="Y6">
        <f t="shared" si="0"/>
        <v>0.52</v>
      </c>
      <c r="AA6">
        <v>8877.58</v>
      </c>
      <c r="AB6">
        <v>0</v>
      </c>
      <c r="AC6">
        <v>0</v>
      </c>
      <c r="AD6">
        <v>0</v>
      </c>
      <c r="AE6">
        <v>8877.58</v>
      </c>
      <c r="AF6">
        <v>0</v>
      </c>
      <c r="AG6">
        <v>0</v>
      </c>
      <c r="AH6">
        <v>0</v>
      </c>
      <c r="AI6">
        <v>1</v>
      </c>
      <c r="AJ6">
        <v>1</v>
      </c>
      <c r="AK6">
        <v>1</v>
      </c>
      <c r="AL6">
        <v>1</v>
      </c>
      <c r="AM6">
        <v>-2</v>
      </c>
      <c r="AN6">
        <v>0</v>
      </c>
      <c r="AO6">
        <v>1</v>
      </c>
      <c r="AP6">
        <v>0</v>
      </c>
      <c r="AQ6">
        <v>0</v>
      </c>
      <c r="AR6">
        <v>0</v>
      </c>
      <c r="AS6" t="s">
        <v>3</v>
      </c>
      <c r="AT6">
        <v>0.52</v>
      </c>
      <c r="AU6" t="s">
        <v>3</v>
      </c>
      <c r="AV6">
        <v>0</v>
      </c>
      <c r="AW6">
        <v>2</v>
      </c>
      <c r="AX6">
        <v>75703099</v>
      </c>
      <c r="AY6">
        <v>1</v>
      </c>
      <c r="AZ6">
        <v>0</v>
      </c>
      <c r="BA6">
        <v>6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CV6">
        <v>0</v>
      </c>
      <c r="CW6">
        <v>0</v>
      </c>
      <c r="CX6">
        <f>ROUND(Y6*Source!I28,9)</f>
        <v>4.1599999999999998E-2</v>
      </c>
      <c r="CY6">
        <f t="shared" si="7"/>
        <v>8877.58</v>
      </c>
      <c r="CZ6">
        <f t="shared" si="8"/>
        <v>8877.58</v>
      </c>
      <c r="DA6">
        <f t="shared" si="9"/>
        <v>1</v>
      </c>
      <c r="DB6">
        <f t="shared" si="1"/>
        <v>4616.34</v>
      </c>
      <c r="DC6">
        <f t="shared" si="2"/>
        <v>0</v>
      </c>
      <c r="DD6" t="s">
        <v>3</v>
      </c>
      <c r="DE6" t="s">
        <v>3</v>
      </c>
      <c r="DF6">
        <f t="shared" si="3"/>
        <v>369.31</v>
      </c>
      <c r="DG6">
        <f t="shared" si="4"/>
        <v>0</v>
      </c>
      <c r="DH6">
        <f t="shared" si="5"/>
        <v>0</v>
      </c>
      <c r="DI6">
        <f t="shared" si="6"/>
        <v>0</v>
      </c>
      <c r="DJ6">
        <f t="shared" si="10"/>
        <v>369.31</v>
      </c>
      <c r="DK6">
        <v>0</v>
      </c>
      <c r="DL6" t="s">
        <v>3</v>
      </c>
      <c r="DM6">
        <v>0</v>
      </c>
      <c r="DN6" t="s">
        <v>3</v>
      </c>
      <c r="DO6">
        <v>0</v>
      </c>
    </row>
    <row r="7" spans="1:119" x14ac:dyDescent="0.2">
      <c r="A7">
        <f>ROW(Source!A28)</f>
        <v>28</v>
      </c>
      <c r="B7">
        <v>75703152</v>
      </c>
      <c r="C7">
        <v>75702854</v>
      </c>
      <c r="D7">
        <v>75395168</v>
      </c>
      <c r="E7">
        <v>1</v>
      </c>
      <c r="F7">
        <v>1</v>
      </c>
      <c r="G7">
        <v>39</v>
      </c>
      <c r="H7">
        <v>3</v>
      </c>
      <c r="I7" t="s">
        <v>153</v>
      </c>
      <c r="J7" t="s">
        <v>154</v>
      </c>
      <c r="K7" t="s">
        <v>155</v>
      </c>
      <c r="L7">
        <v>1301</v>
      </c>
      <c r="N7">
        <v>1003</v>
      </c>
      <c r="O7" t="s">
        <v>156</v>
      </c>
      <c r="P7" t="s">
        <v>156</v>
      </c>
      <c r="Q7">
        <v>1</v>
      </c>
      <c r="W7">
        <v>0</v>
      </c>
      <c r="X7">
        <v>-1885624722</v>
      </c>
      <c r="Y7">
        <f t="shared" si="0"/>
        <v>9.24</v>
      </c>
      <c r="AA7">
        <v>255.44</v>
      </c>
      <c r="AB7">
        <v>0</v>
      </c>
      <c r="AC7">
        <v>0</v>
      </c>
      <c r="AD7">
        <v>0</v>
      </c>
      <c r="AE7">
        <v>255.44</v>
      </c>
      <c r="AF7">
        <v>0</v>
      </c>
      <c r="AG7">
        <v>0</v>
      </c>
      <c r="AH7">
        <v>0</v>
      </c>
      <c r="AI7">
        <v>1</v>
      </c>
      <c r="AJ7">
        <v>1</v>
      </c>
      <c r="AK7">
        <v>1</v>
      </c>
      <c r="AL7">
        <v>1</v>
      </c>
      <c r="AM7">
        <v>-2</v>
      </c>
      <c r="AN7">
        <v>0</v>
      </c>
      <c r="AO7">
        <v>1</v>
      </c>
      <c r="AP7">
        <v>0</v>
      </c>
      <c r="AQ7">
        <v>0</v>
      </c>
      <c r="AR7">
        <v>0</v>
      </c>
      <c r="AS7" t="s">
        <v>3</v>
      </c>
      <c r="AT7">
        <v>9.24</v>
      </c>
      <c r="AU7" t="s">
        <v>3</v>
      </c>
      <c r="AV7">
        <v>0</v>
      </c>
      <c r="AW7">
        <v>2</v>
      </c>
      <c r="AX7">
        <v>75703100</v>
      </c>
      <c r="AY7">
        <v>1</v>
      </c>
      <c r="AZ7">
        <v>0</v>
      </c>
      <c r="BA7">
        <v>7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CV7">
        <v>0</v>
      </c>
      <c r="CW7">
        <v>0</v>
      </c>
      <c r="CX7">
        <f>ROUND(Y7*Source!I28,9)</f>
        <v>0.73919999999999997</v>
      </c>
      <c r="CY7">
        <f t="shared" si="7"/>
        <v>255.44</v>
      </c>
      <c r="CZ7">
        <f t="shared" si="8"/>
        <v>255.44</v>
      </c>
      <c r="DA7">
        <f t="shared" si="9"/>
        <v>1</v>
      </c>
      <c r="DB7">
        <f t="shared" si="1"/>
        <v>2360.27</v>
      </c>
      <c r="DC7">
        <f t="shared" si="2"/>
        <v>0</v>
      </c>
      <c r="DD7" t="s">
        <v>3</v>
      </c>
      <c r="DE7" t="s">
        <v>3</v>
      </c>
      <c r="DF7">
        <f t="shared" si="3"/>
        <v>188.82</v>
      </c>
      <c r="DG7">
        <f t="shared" si="4"/>
        <v>0</v>
      </c>
      <c r="DH7">
        <f t="shared" si="5"/>
        <v>0</v>
      </c>
      <c r="DI7">
        <f t="shared" si="6"/>
        <v>0</v>
      </c>
      <c r="DJ7">
        <f t="shared" si="10"/>
        <v>188.82</v>
      </c>
      <c r="DK7">
        <v>0</v>
      </c>
      <c r="DL7" t="s">
        <v>3</v>
      </c>
      <c r="DM7">
        <v>0</v>
      </c>
      <c r="DN7" t="s">
        <v>3</v>
      </c>
      <c r="DO7">
        <v>0</v>
      </c>
    </row>
    <row r="8" spans="1:119" x14ac:dyDescent="0.2">
      <c r="A8">
        <f>ROW(Source!A28)</f>
        <v>28</v>
      </c>
      <c r="B8">
        <v>75703152</v>
      </c>
      <c r="C8">
        <v>75702854</v>
      </c>
      <c r="D8">
        <v>75391670</v>
      </c>
      <c r="E8">
        <v>1</v>
      </c>
      <c r="F8">
        <v>1</v>
      </c>
      <c r="G8">
        <v>39</v>
      </c>
      <c r="H8">
        <v>3</v>
      </c>
      <c r="I8" t="s">
        <v>157</v>
      </c>
      <c r="J8" t="s">
        <v>158</v>
      </c>
      <c r="K8" t="s">
        <v>159</v>
      </c>
      <c r="L8">
        <v>1339</v>
      </c>
      <c r="N8">
        <v>1007</v>
      </c>
      <c r="O8" t="s">
        <v>18</v>
      </c>
      <c r="P8" t="s">
        <v>18</v>
      </c>
      <c r="Q8">
        <v>1</v>
      </c>
      <c r="W8">
        <v>0</v>
      </c>
      <c r="X8">
        <v>-510322495</v>
      </c>
      <c r="Y8">
        <f t="shared" si="0"/>
        <v>0.02</v>
      </c>
      <c r="AA8">
        <v>5951.59</v>
      </c>
      <c r="AB8">
        <v>0</v>
      </c>
      <c r="AC8">
        <v>0</v>
      </c>
      <c r="AD8">
        <v>0</v>
      </c>
      <c r="AE8">
        <v>5951.59</v>
      </c>
      <c r="AF8">
        <v>0</v>
      </c>
      <c r="AG8">
        <v>0</v>
      </c>
      <c r="AH8">
        <v>0</v>
      </c>
      <c r="AI8">
        <v>1</v>
      </c>
      <c r="AJ8">
        <v>1</v>
      </c>
      <c r="AK8">
        <v>1</v>
      </c>
      <c r="AL8">
        <v>1</v>
      </c>
      <c r="AM8">
        <v>-2</v>
      </c>
      <c r="AN8">
        <v>0</v>
      </c>
      <c r="AO8">
        <v>1</v>
      </c>
      <c r="AP8">
        <v>0</v>
      </c>
      <c r="AQ8">
        <v>0</v>
      </c>
      <c r="AR8">
        <v>0</v>
      </c>
      <c r="AS8" t="s">
        <v>3</v>
      </c>
      <c r="AT8">
        <v>0.02</v>
      </c>
      <c r="AU8" t="s">
        <v>3</v>
      </c>
      <c r="AV8">
        <v>0</v>
      </c>
      <c r="AW8">
        <v>2</v>
      </c>
      <c r="AX8">
        <v>75703101</v>
      </c>
      <c r="AY8">
        <v>1</v>
      </c>
      <c r="AZ8">
        <v>0</v>
      </c>
      <c r="BA8">
        <v>8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CV8">
        <v>0</v>
      </c>
      <c r="CW8">
        <v>0</v>
      </c>
      <c r="CX8">
        <f>ROUND(Y8*Source!I28,9)</f>
        <v>1.6000000000000001E-3</v>
      </c>
      <c r="CY8">
        <f t="shared" si="7"/>
        <v>5951.59</v>
      </c>
      <c r="CZ8">
        <f t="shared" si="8"/>
        <v>5951.59</v>
      </c>
      <c r="DA8">
        <f t="shared" si="9"/>
        <v>1</v>
      </c>
      <c r="DB8">
        <f t="shared" si="1"/>
        <v>119.03</v>
      </c>
      <c r="DC8">
        <f t="shared" si="2"/>
        <v>0</v>
      </c>
      <c r="DD8" t="s">
        <v>3</v>
      </c>
      <c r="DE8" t="s">
        <v>3</v>
      </c>
      <c r="DF8">
        <f t="shared" si="3"/>
        <v>9.52</v>
      </c>
      <c r="DG8">
        <f t="shared" si="4"/>
        <v>0</v>
      </c>
      <c r="DH8">
        <f t="shared" si="5"/>
        <v>0</v>
      </c>
      <c r="DI8">
        <f t="shared" si="6"/>
        <v>0</v>
      </c>
      <c r="DJ8">
        <f t="shared" si="10"/>
        <v>9.52</v>
      </c>
      <c r="DK8">
        <v>0</v>
      </c>
      <c r="DL8" t="s">
        <v>3</v>
      </c>
      <c r="DM8">
        <v>0</v>
      </c>
      <c r="DN8" t="s">
        <v>3</v>
      </c>
      <c r="DO8">
        <v>0</v>
      </c>
    </row>
    <row r="9" spans="1:119" x14ac:dyDescent="0.2">
      <c r="A9">
        <f>ROW(Source!A28)</f>
        <v>28</v>
      </c>
      <c r="B9">
        <v>75703152</v>
      </c>
      <c r="C9">
        <v>75702854</v>
      </c>
      <c r="D9">
        <v>75391832</v>
      </c>
      <c r="E9">
        <v>1</v>
      </c>
      <c r="F9">
        <v>1</v>
      </c>
      <c r="G9">
        <v>39</v>
      </c>
      <c r="H9">
        <v>3</v>
      </c>
      <c r="I9" t="s">
        <v>160</v>
      </c>
      <c r="J9" t="s">
        <v>161</v>
      </c>
      <c r="K9" t="s">
        <v>162</v>
      </c>
      <c r="L9">
        <v>1348</v>
      </c>
      <c r="N9">
        <v>1009</v>
      </c>
      <c r="O9" t="s">
        <v>116</v>
      </c>
      <c r="P9" t="s">
        <v>116</v>
      </c>
      <c r="Q9">
        <v>1000</v>
      </c>
      <c r="W9">
        <v>0</v>
      </c>
      <c r="X9">
        <v>637821740</v>
      </c>
      <c r="Y9">
        <f t="shared" si="0"/>
        <v>8.8700000000000001E-2</v>
      </c>
      <c r="AA9">
        <v>52981.64</v>
      </c>
      <c r="AB9">
        <v>0</v>
      </c>
      <c r="AC9">
        <v>0</v>
      </c>
      <c r="AD9">
        <v>0</v>
      </c>
      <c r="AE9">
        <v>52981.64</v>
      </c>
      <c r="AF9">
        <v>0</v>
      </c>
      <c r="AG9">
        <v>0</v>
      </c>
      <c r="AH9">
        <v>0</v>
      </c>
      <c r="AI9">
        <v>1</v>
      </c>
      <c r="AJ9">
        <v>1</v>
      </c>
      <c r="AK9">
        <v>1</v>
      </c>
      <c r="AL9">
        <v>1</v>
      </c>
      <c r="AM9">
        <v>-2</v>
      </c>
      <c r="AN9">
        <v>0</v>
      </c>
      <c r="AO9">
        <v>1</v>
      </c>
      <c r="AP9">
        <v>0</v>
      </c>
      <c r="AQ9">
        <v>0</v>
      </c>
      <c r="AR9">
        <v>0</v>
      </c>
      <c r="AS9" t="s">
        <v>3</v>
      </c>
      <c r="AT9">
        <v>8.8700000000000001E-2</v>
      </c>
      <c r="AU9" t="s">
        <v>3</v>
      </c>
      <c r="AV9">
        <v>0</v>
      </c>
      <c r="AW9">
        <v>2</v>
      </c>
      <c r="AX9">
        <v>75703102</v>
      </c>
      <c r="AY9">
        <v>1</v>
      </c>
      <c r="AZ9">
        <v>0</v>
      </c>
      <c r="BA9">
        <v>9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CV9">
        <v>0</v>
      </c>
      <c r="CW9">
        <v>0</v>
      </c>
      <c r="CX9">
        <f>ROUND(Y9*Source!I28,9)</f>
        <v>7.0959999999999999E-3</v>
      </c>
      <c r="CY9">
        <f t="shared" si="7"/>
        <v>52981.64</v>
      </c>
      <c r="CZ9">
        <f t="shared" si="8"/>
        <v>52981.64</v>
      </c>
      <c r="DA9">
        <f t="shared" si="9"/>
        <v>1</v>
      </c>
      <c r="DB9">
        <f t="shared" si="1"/>
        <v>4699.47</v>
      </c>
      <c r="DC9">
        <f t="shared" si="2"/>
        <v>0</v>
      </c>
      <c r="DD9" t="s">
        <v>3</v>
      </c>
      <c r="DE9" t="s">
        <v>3</v>
      </c>
      <c r="DF9">
        <f t="shared" si="3"/>
        <v>375.96</v>
      </c>
      <c r="DG9">
        <f t="shared" si="4"/>
        <v>0</v>
      </c>
      <c r="DH9">
        <f t="shared" si="5"/>
        <v>0</v>
      </c>
      <c r="DI9">
        <f t="shared" si="6"/>
        <v>0</v>
      </c>
      <c r="DJ9">
        <f t="shared" si="10"/>
        <v>375.96</v>
      </c>
      <c r="DK9">
        <v>0</v>
      </c>
      <c r="DL9" t="s">
        <v>3</v>
      </c>
      <c r="DM9">
        <v>0</v>
      </c>
      <c r="DN9" t="s">
        <v>3</v>
      </c>
      <c r="DO9">
        <v>0</v>
      </c>
    </row>
    <row r="10" spans="1:119" x14ac:dyDescent="0.2">
      <c r="A10">
        <f>ROW(Source!A28)</f>
        <v>28</v>
      </c>
      <c r="B10">
        <v>75703152</v>
      </c>
      <c r="C10">
        <v>75702854</v>
      </c>
      <c r="D10">
        <v>75392691</v>
      </c>
      <c r="E10">
        <v>1</v>
      </c>
      <c r="F10">
        <v>1</v>
      </c>
      <c r="G10">
        <v>39</v>
      </c>
      <c r="H10">
        <v>3</v>
      </c>
      <c r="I10" t="s">
        <v>163</v>
      </c>
      <c r="J10" t="s">
        <v>164</v>
      </c>
      <c r="K10" t="s">
        <v>165</v>
      </c>
      <c r="L10">
        <v>1348</v>
      </c>
      <c r="N10">
        <v>1009</v>
      </c>
      <c r="O10" t="s">
        <v>116</v>
      </c>
      <c r="P10" t="s">
        <v>116</v>
      </c>
      <c r="Q10">
        <v>1000</v>
      </c>
      <c r="W10">
        <v>0</v>
      </c>
      <c r="X10">
        <v>-857624629</v>
      </c>
      <c r="Y10">
        <f t="shared" si="0"/>
        <v>0.15</v>
      </c>
      <c r="AA10">
        <v>151355.1</v>
      </c>
      <c r="AB10">
        <v>0</v>
      </c>
      <c r="AC10">
        <v>0</v>
      </c>
      <c r="AD10">
        <v>0</v>
      </c>
      <c r="AE10">
        <v>151355.1</v>
      </c>
      <c r="AF10">
        <v>0</v>
      </c>
      <c r="AG10">
        <v>0</v>
      </c>
      <c r="AH10">
        <v>0</v>
      </c>
      <c r="AI10">
        <v>1</v>
      </c>
      <c r="AJ10">
        <v>1</v>
      </c>
      <c r="AK10">
        <v>1</v>
      </c>
      <c r="AL10">
        <v>1</v>
      </c>
      <c r="AM10">
        <v>-2</v>
      </c>
      <c r="AN10">
        <v>0</v>
      </c>
      <c r="AO10">
        <v>1</v>
      </c>
      <c r="AP10">
        <v>0</v>
      </c>
      <c r="AQ10">
        <v>0</v>
      </c>
      <c r="AR10">
        <v>0</v>
      </c>
      <c r="AS10" t="s">
        <v>3</v>
      </c>
      <c r="AT10">
        <v>0.15</v>
      </c>
      <c r="AU10" t="s">
        <v>3</v>
      </c>
      <c r="AV10">
        <v>0</v>
      </c>
      <c r="AW10">
        <v>2</v>
      </c>
      <c r="AX10">
        <v>75703103</v>
      </c>
      <c r="AY10">
        <v>1</v>
      </c>
      <c r="AZ10">
        <v>0</v>
      </c>
      <c r="BA10">
        <v>10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  <c r="CV10">
        <v>0</v>
      </c>
      <c r="CW10">
        <v>0</v>
      </c>
      <c r="CX10">
        <f>ROUND(Y10*Source!I28,9)</f>
        <v>1.2E-2</v>
      </c>
      <c r="CY10">
        <f t="shared" si="7"/>
        <v>151355.1</v>
      </c>
      <c r="CZ10">
        <f t="shared" si="8"/>
        <v>151355.1</v>
      </c>
      <c r="DA10">
        <f t="shared" si="9"/>
        <v>1</v>
      </c>
      <c r="DB10">
        <f t="shared" si="1"/>
        <v>22703.27</v>
      </c>
      <c r="DC10">
        <f t="shared" si="2"/>
        <v>0</v>
      </c>
      <c r="DD10" t="s">
        <v>3</v>
      </c>
      <c r="DE10" t="s">
        <v>3</v>
      </c>
      <c r="DF10">
        <f t="shared" si="3"/>
        <v>1816.26</v>
      </c>
      <c r="DG10">
        <f t="shared" si="4"/>
        <v>0</v>
      </c>
      <c r="DH10">
        <f t="shared" si="5"/>
        <v>0</v>
      </c>
      <c r="DI10">
        <f t="shared" si="6"/>
        <v>0</v>
      </c>
      <c r="DJ10">
        <f t="shared" si="10"/>
        <v>1816.26</v>
      </c>
      <c r="DK10">
        <v>0</v>
      </c>
      <c r="DL10" t="s">
        <v>3</v>
      </c>
      <c r="DM10">
        <v>0</v>
      </c>
      <c r="DN10" t="s">
        <v>3</v>
      </c>
      <c r="DO10">
        <v>0</v>
      </c>
    </row>
    <row r="11" spans="1:119" x14ac:dyDescent="0.2">
      <c r="A11">
        <f>ROW(Source!A28)</f>
        <v>28</v>
      </c>
      <c r="B11">
        <v>75703152</v>
      </c>
      <c r="C11">
        <v>75702854</v>
      </c>
      <c r="D11">
        <v>75393865</v>
      </c>
      <c r="E11">
        <v>1</v>
      </c>
      <c r="F11">
        <v>1</v>
      </c>
      <c r="G11">
        <v>39</v>
      </c>
      <c r="H11">
        <v>3</v>
      </c>
      <c r="I11" t="s">
        <v>166</v>
      </c>
      <c r="J11" t="s">
        <v>167</v>
      </c>
      <c r="K11" t="s">
        <v>168</v>
      </c>
      <c r="L11">
        <v>1327</v>
      </c>
      <c r="N11">
        <v>1005</v>
      </c>
      <c r="O11" t="s">
        <v>169</v>
      </c>
      <c r="P11" t="s">
        <v>169</v>
      </c>
      <c r="Q11">
        <v>1</v>
      </c>
      <c r="W11">
        <v>0</v>
      </c>
      <c r="X11">
        <v>55596891</v>
      </c>
      <c r="Y11">
        <f t="shared" si="0"/>
        <v>5.28</v>
      </c>
      <c r="AA11">
        <v>629.53</v>
      </c>
      <c r="AB11">
        <v>0</v>
      </c>
      <c r="AC11">
        <v>0</v>
      </c>
      <c r="AD11">
        <v>0</v>
      </c>
      <c r="AE11">
        <v>629.53</v>
      </c>
      <c r="AF11">
        <v>0</v>
      </c>
      <c r="AG11">
        <v>0</v>
      </c>
      <c r="AH11">
        <v>0</v>
      </c>
      <c r="AI11">
        <v>1</v>
      </c>
      <c r="AJ11">
        <v>1</v>
      </c>
      <c r="AK11">
        <v>1</v>
      </c>
      <c r="AL11">
        <v>1</v>
      </c>
      <c r="AM11">
        <v>-2</v>
      </c>
      <c r="AN11">
        <v>0</v>
      </c>
      <c r="AO11">
        <v>1</v>
      </c>
      <c r="AP11">
        <v>0</v>
      </c>
      <c r="AQ11">
        <v>0</v>
      </c>
      <c r="AR11">
        <v>0</v>
      </c>
      <c r="AS11" t="s">
        <v>3</v>
      </c>
      <c r="AT11">
        <v>5.28</v>
      </c>
      <c r="AU11" t="s">
        <v>3</v>
      </c>
      <c r="AV11">
        <v>0</v>
      </c>
      <c r="AW11">
        <v>2</v>
      </c>
      <c r="AX11">
        <v>75703104</v>
      </c>
      <c r="AY11">
        <v>1</v>
      </c>
      <c r="AZ11">
        <v>0</v>
      </c>
      <c r="BA11">
        <v>11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CV11">
        <v>0</v>
      </c>
      <c r="CW11">
        <v>0</v>
      </c>
      <c r="CX11">
        <f>ROUND(Y11*Source!I28,9)</f>
        <v>0.4224</v>
      </c>
      <c r="CY11">
        <f t="shared" si="7"/>
        <v>629.53</v>
      </c>
      <c r="CZ11">
        <f t="shared" si="8"/>
        <v>629.53</v>
      </c>
      <c r="DA11">
        <f t="shared" si="9"/>
        <v>1</v>
      </c>
      <c r="DB11">
        <f t="shared" si="1"/>
        <v>3323.92</v>
      </c>
      <c r="DC11">
        <f t="shared" si="2"/>
        <v>0</v>
      </c>
      <c r="DD11" t="s">
        <v>3</v>
      </c>
      <c r="DE11" t="s">
        <v>3</v>
      </c>
      <c r="DF11">
        <f t="shared" si="3"/>
        <v>265.91000000000003</v>
      </c>
      <c r="DG11">
        <f t="shared" si="4"/>
        <v>0</v>
      </c>
      <c r="DH11">
        <f t="shared" si="5"/>
        <v>0</v>
      </c>
      <c r="DI11">
        <f t="shared" si="6"/>
        <v>0</v>
      </c>
      <c r="DJ11">
        <f t="shared" si="10"/>
        <v>265.91000000000003</v>
      </c>
      <c r="DK11">
        <v>0</v>
      </c>
      <c r="DL11" t="s">
        <v>3</v>
      </c>
      <c r="DM11">
        <v>0</v>
      </c>
      <c r="DN11" t="s">
        <v>3</v>
      </c>
      <c r="DO11">
        <v>0</v>
      </c>
    </row>
    <row r="12" spans="1:119" x14ac:dyDescent="0.2">
      <c r="A12">
        <f>ROW(Source!A29)</f>
        <v>29</v>
      </c>
      <c r="B12">
        <v>75703152</v>
      </c>
      <c r="C12">
        <v>75702877</v>
      </c>
      <c r="D12">
        <v>75386788</v>
      </c>
      <c r="E12">
        <v>39</v>
      </c>
      <c r="F12">
        <v>1</v>
      </c>
      <c r="G12">
        <v>39</v>
      </c>
      <c r="H12">
        <v>1</v>
      </c>
      <c r="I12" t="s">
        <v>134</v>
      </c>
      <c r="J12" t="s">
        <v>3</v>
      </c>
      <c r="K12" t="s">
        <v>135</v>
      </c>
      <c r="L12">
        <v>1191</v>
      </c>
      <c r="N12">
        <v>1013</v>
      </c>
      <c r="O12" t="s">
        <v>136</v>
      </c>
      <c r="P12" t="s">
        <v>136</v>
      </c>
      <c r="Q12">
        <v>1</v>
      </c>
      <c r="W12">
        <v>0</v>
      </c>
      <c r="X12">
        <v>476480486</v>
      </c>
      <c r="Y12">
        <f t="shared" si="0"/>
        <v>212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1</v>
      </c>
      <c r="AJ12">
        <v>1</v>
      </c>
      <c r="AK12">
        <v>1</v>
      </c>
      <c r="AL12">
        <v>1</v>
      </c>
      <c r="AM12">
        <v>-2</v>
      </c>
      <c r="AN12">
        <v>0</v>
      </c>
      <c r="AO12">
        <v>1</v>
      </c>
      <c r="AP12">
        <v>0</v>
      </c>
      <c r="AQ12">
        <v>0</v>
      </c>
      <c r="AR12">
        <v>0</v>
      </c>
      <c r="AS12" t="s">
        <v>3</v>
      </c>
      <c r="AT12">
        <v>212</v>
      </c>
      <c r="AU12" t="s">
        <v>3</v>
      </c>
      <c r="AV12">
        <v>1</v>
      </c>
      <c r="AW12">
        <v>2</v>
      </c>
      <c r="AX12">
        <v>75703105</v>
      </c>
      <c r="AY12">
        <v>1</v>
      </c>
      <c r="AZ12">
        <v>0</v>
      </c>
      <c r="BA12">
        <v>12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CU12">
        <f>ROUND(AT12*Source!I29*AH12*AL12,2)</f>
        <v>0</v>
      </c>
      <c r="CV12">
        <f>ROUND(Y12*Source!I29,9)</f>
        <v>53</v>
      </c>
      <c r="CW12">
        <v>0</v>
      </c>
      <c r="CX12">
        <f>ROUND(Y12*Source!I29,9)</f>
        <v>53</v>
      </c>
      <c r="CY12">
        <f>AD12</f>
        <v>0</v>
      </c>
      <c r="CZ12">
        <f>AH12</f>
        <v>0</v>
      </c>
      <c r="DA12">
        <f>AL12</f>
        <v>1</v>
      </c>
      <c r="DB12">
        <f t="shared" si="1"/>
        <v>0</v>
      </c>
      <c r="DC12">
        <f t="shared" si="2"/>
        <v>0</v>
      </c>
      <c r="DD12" t="s">
        <v>3</v>
      </c>
      <c r="DE12" t="s">
        <v>3</v>
      </c>
      <c r="DF12">
        <f t="shared" si="3"/>
        <v>0</v>
      </c>
      <c r="DG12">
        <f t="shared" si="4"/>
        <v>0</v>
      </c>
      <c r="DH12">
        <f t="shared" si="5"/>
        <v>0</v>
      </c>
      <c r="DI12">
        <f t="shared" si="6"/>
        <v>0</v>
      </c>
      <c r="DJ12">
        <f>DI12</f>
        <v>0</v>
      </c>
      <c r="DK12">
        <v>0</v>
      </c>
      <c r="DL12" t="s">
        <v>3</v>
      </c>
      <c r="DM12">
        <v>0</v>
      </c>
      <c r="DN12" t="s">
        <v>3</v>
      </c>
      <c r="DO12">
        <v>0</v>
      </c>
    </row>
    <row r="13" spans="1:119" x14ac:dyDescent="0.2">
      <c r="A13">
        <f>ROW(Source!A29)</f>
        <v>29</v>
      </c>
      <c r="B13">
        <v>75703152</v>
      </c>
      <c r="C13">
        <v>75702877</v>
      </c>
      <c r="D13">
        <v>75391663</v>
      </c>
      <c r="E13">
        <v>1</v>
      </c>
      <c r="F13">
        <v>1</v>
      </c>
      <c r="G13">
        <v>39</v>
      </c>
      <c r="H13">
        <v>3</v>
      </c>
      <c r="I13" t="s">
        <v>170</v>
      </c>
      <c r="J13" t="s">
        <v>171</v>
      </c>
      <c r="K13" t="s">
        <v>172</v>
      </c>
      <c r="L13">
        <v>1339</v>
      </c>
      <c r="N13">
        <v>1007</v>
      </c>
      <c r="O13" t="s">
        <v>18</v>
      </c>
      <c r="P13" t="s">
        <v>18</v>
      </c>
      <c r="Q13">
        <v>1</v>
      </c>
      <c r="W13">
        <v>0</v>
      </c>
      <c r="X13">
        <v>914073203</v>
      </c>
      <c r="Y13">
        <f t="shared" si="0"/>
        <v>2.2000000000000002</v>
      </c>
      <c r="AA13">
        <v>5335.62</v>
      </c>
      <c r="AB13">
        <v>0</v>
      </c>
      <c r="AC13">
        <v>0</v>
      </c>
      <c r="AD13">
        <v>0</v>
      </c>
      <c r="AE13">
        <v>5335.62</v>
      </c>
      <c r="AF13">
        <v>0</v>
      </c>
      <c r="AG13">
        <v>0</v>
      </c>
      <c r="AH13">
        <v>0</v>
      </c>
      <c r="AI13">
        <v>1</v>
      </c>
      <c r="AJ13">
        <v>1</v>
      </c>
      <c r="AK13">
        <v>1</v>
      </c>
      <c r="AL13">
        <v>1</v>
      </c>
      <c r="AM13">
        <v>-2</v>
      </c>
      <c r="AN13">
        <v>0</v>
      </c>
      <c r="AO13">
        <v>1</v>
      </c>
      <c r="AP13">
        <v>0</v>
      </c>
      <c r="AQ13">
        <v>0</v>
      </c>
      <c r="AR13">
        <v>0</v>
      </c>
      <c r="AS13" t="s">
        <v>3</v>
      </c>
      <c r="AT13">
        <v>2.2000000000000002</v>
      </c>
      <c r="AU13" t="s">
        <v>3</v>
      </c>
      <c r="AV13">
        <v>0</v>
      </c>
      <c r="AW13">
        <v>2</v>
      </c>
      <c r="AX13">
        <v>75703106</v>
      </c>
      <c r="AY13">
        <v>1</v>
      </c>
      <c r="AZ13">
        <v>0</v>
      </c>
      <c r="BA13">
        <v>13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CV13">
        <v>0</v>
      </c>
      <c r="CW13">
        <v>0</v>
      </c>
      <c r="CX13">
        <f>ROUND(Y13*Source!I29,9)</f>
        <v>0.55000000000000004</v>
      </c>
      <c r="CY13">
        <f>AA13</f>
        <v>5335.62</v>
      </c>
      <c r="CZ13">
        <f>AE13</f>
        <v>5335.62</v>
      </c>
      <c r="DA13">
        <f>AI13</f>
        <v>1</v>
      </c>
      <c r="DB13">
        <f t="shared" si="1"/>
        <v>11738.36</v>
      </c>
      <c r="DC13">
        <f t="shared" si="2"/>
        <v>0</v>
      </c>
      <c r="DD13" t="s">
        <v>3</v>
      </c>
      <c r="DE13" t="s">
        <v>3</v>
      </c>
      <c r="DF13">
        <f t="shared" si="3"/>
        <v>2934.59</v>
      </c>
      <c r="DG13">
        <f t="shared" si="4"/>
        <v>0</v>
      </c>
      <c r="DH13">
        <f t="shared" si="5"/>
        <v>0</v>
      </c>
      <c r="DI13">
        <f t="shared" si="6"/>
        <v>0</v>
      </c>
      <c r="DJ13">
        <f>DF13</f>
        <v>2934.59</v>
      </c>
      <c r="DK13">
        <v>0</v>
      </c>
      <c r="DL13" t="s">
        <v>3</v>
      </c>
      <c r="DM13">
        <v>0</v>
      </c>
      <c r="DN13" t="s">
        <v>3</v>
      </c>
      <c r="DO13">
        <v>0</v>
      </c>
    </row>
    <row r="14" spans="1:119" x14ac:dyDescent="0.2">
      <c r="A14">
        <f>ROW(Source!A29)</f>
        <v>29</v>
      </c>
      <c r="B14">
        <v>75703152</v>
      </c>
      <c r="C14">
        <v>75702877</v>
      </c>
      <c r="D14">
        <v>75386789</v>
      </c>
      <c r="E14">
        <v>39</v>
      </c>
      <c r="F14">
        <v>1</v>
      </c>
      <c r="G14">
        <v>39</v>
      </c>
      <c r="H14">
        <v>3</v>
      </c>
      <c r="I14" t="s">
        <v>173</v>
      </c>
      <c r="J14" t="s">
        <v>3</v>
      </c>
      <c r="K14" t="s">
        <v>174</v>
      </c>
      <c r="L14">
        <v>1348</v>
      </c>
      <c r="N14">
        <v>1009</v>
      </c>
      <c r="O14" t="s">
        <v>116</v>
      </c>
      <c r="P14" t="s">
        <v>116</v>
      </c>
      <c r="Q14">
        <v>1000</v>
      </c>
      <c r="W14">
        <v>0</v>
      </c>
      <c r="X14">
        <v>1489638031</v>
      </c>
      <c r="Y14">
        <f t="shared" si="0"/>
        <v>4.84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1</v>
      </c>
      <c r="AJ14">
        <v>1</v>
      </c>
      <c r="AK14">
        <v>1</v>
      </c>
      <c r="AL14">
        <v>1</v>
      </c>
      <c r="AM14">
        <v>-2</v>
      </c>
      <c r="AN14">
        <v>0</v>
      </c>
      <c r="AO14">
        <v>1</v>
      </c>
      <c r="AP14">
        <v>0</v>
      </c>
      <c r="AQ14">
        <v>0</v>
      </c>
      <c r="AR14">
        <v>0</v>
      </c>
      <c r="AS14" t="s">
        <v>3</v>
      </c>
      <c r="AT14">
        <v>4.84</v>
      </c>
      <c r="AU14" t="s">
        <v>3</v>
      </c>
      <c r="AV14">
        <v>0</v>
      </c>
      <c r="AW14">
        <v>2</v>
      </c>
      <c r="AX14">
        <v>75703107</v>
      </c>
      <c r="AY14">
        <v>1</v>
      </c>
      <c r="AZ14">
        <v>0</v>
      </c>
      <c r="BA14">
        <v>14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CV14">
        <v>0</v>
      </c>
      <c r="CW14">
        <v>0</v>
      </c>
      <c r="CX14">
        <f>ROUND(Y14*Source!I29,9)</f>
        <v>1.21</v>
      </c>
      <c r="CY14">
        <f>AA14</f>
        <v>0</v>
      </c>
      <c r="CZ14">
        <f>AE14</f>
        <v>0</v>
      </c>
      <c r="DA14">
        <f>AI14</f>
        <v>1</v>
      </c>
      <c r="DB14">
        <f t="shared" si="1"/>
        <v>0</v>
      </c>
      <c r="DC14">
        <f t="shared" si="2"/>
        <v>0</v>
      </c>
      <c r="DD14" t="s">
        <v>3</v>
      </c>
      <c r="DE14" t="s">
        <v>3</v>
      </c>
      <c r="DF14">
        <f t="shared" si="3"/>
        <v>0</v>
      </c>
      <c r="DG14">
        <f t="shared" si="4"/>
        <v>0</v>
      </c>
      <c r="DH14">
        <f t="shared" si="5"/>
        <v>0</v>
      </c>
      <c r="DI14">
        <f t="shared" si="6"/>
        <v>0</v>
      </c>
      <c r="DJ14">
        <f>DF14</f>
        <v>0</v>
      </c>
      <c r="DK14">
        <v>0</v>
      </c>
      <c r="DL14" t="s">
        <v>3</v>
      </c>
      <c r="DM14">
        <v>0</v>
      </c>
      <c r="DN14" t="s">
        <v>3</v>
      </c>
      <c r="DO14">
        <v>0</v>
      </c>
    </row>
    <row r="15" spans="1:119" x14ac:dyDescent="0.2">
      <c r="A15">
        <f>ROW(Source!A30)</f>
        <v>30</v>
      </c>
      <c r="B15">
        <v>75703152</v>
      </c>
      <c r="C15">
        <v>75702884</v>
      </c>
      <c r="D15">
        <v>75386788</v>
      </c>
      <c r="E15">
        <v>39</v>
      </c>
      <c r="F15">
        <v>1</v>
      </c>
      <c r="G15">
        <v>39</v>
      </c>
      <c r="H15">
        <v>1</v>
      </c>
      <c r="I15" t="s">
        <v>134</v>
      </c>
      <c r="J15" t="s">
        <v>3</v>
      </c>
      <c r="K15" t="s">
        <v>135</v>
      </c>
      <c r="L15">
        <v>1191</v>
      </c>
      <c r="N15">
        <v>1013</v>
      </c>
      <c r="O15" t="s">
        <v>136</v>
      </c>
      <c r="P15" t="s">
        <v>136</v>
      </c>
      <c r="Q15">
        <v>1</v>
      </c>
      <c r="W15">
        <v>0</v>
      </c>
      <c r="X15">
        <v>476480486</v>
      </c>
      <c r="Y15">
        <f t="shared" si="0"/>
        <v>15.93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1</v>
      </c>
      <c r="AJ15">
        <v>1</v>
      </c>
      <c r="AK15">
        <v>1</v>
      </c>
      <c r="AL15">
        <v>1</v>
      </c>
      <c r="AM15">
        <v>-2</v>
      </c>
      <c r="AN15">
        <v>0</v>
      </c>
      <c r="AO15">
        <v>1</v>
      </c>
      <c r="AP15">
        <v>0</v>
      </c>
      <c r="AQ15">
        <v>0</v>
      </c>
      <c r="AR15">
        <v>0</v>
      </c>
      <c r="AS15" t="s">
        <v>3</v>
      </c>
      <c r="AT15">
        <v>15.93</v>
      </c>
      <c r="AU15" t="s">
        <v>3</v>
      </c>
      <c r="AV15">
        <v>1</v>
      </c>
      <c r="AW15">
        <v>2</v>
      </c>
      <c r="AX15">
        <v>75703108</v>
      </c>
      <c r="AY15">
        <v>1</v>
      </c>
      <c r="AZ15">
        <v>0</v>
      </c>
      <c r="BA15">
        <v>15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CU15">
        <f>ROUND(AT15*Source!I30*AH15*AL15,2)</f>
        <v>0</v>
      </c>
      <c r="CV15">
        <f>ROUND(Y15*Source!I30,9)</f>
        <v>3.9824999999999999</v>
      </c>
      <c r="CW15">
        <v>0</v>
      </c>
      <c r="CX15">
        <f>ROUND(Y15*Source!I30,9)</f>
        <v>3.9824999999999999</v>
      </c>
      <c r="CY15">
        <f>AD15</f>
        <v>0</v>
      </c>
      <c r="CZ15">
        <f>AH15</f>
        <v>0</v>
      </c>
      <c r="DA15">
        <f>AL15</f>
        <v>1</v>
      </c>
      <c r="DB15">
        <f t="shared" si="1"/>
        <v>0</v>
      </c>
      <c r="DC15">
        <f t="shared" si="2"/>
        <v>0</v>
      </c>
      <c r="DD15" t="s">
        <v>3</v>
      </c>
      <c r="DE15" t="s">
        <v>3</v>
      </c>
      <c r="DF15">
        <f t="shared" si="3"/>
        <v>0</v>
      </c>
      <c r="DG15">
        <f t="shared" si="4"/>
        <v>0</v>
      </c>
      <c r="DH15">
        <f t="shared" si="5"/>
        <v>0</v>
      </c>
      <c r="DI15">
        <f t="shared" si="6"/>
        <v>0</v>
      </c>
      <c r="DJ15">
        <f>DI15</f>
        <v>0</v>
      </c>
      <c r="DK15">
        <v>0</v>
      </c>
      <c r="DL15" t="s">
        <v>3</v>
      </c>
      <c r="DM15">
        <v>0</v>
      </c>
      <c r="DN15" t="s">
        <v>3</v>
      </c>
      <c r="DO15">
        <v>0</v>
      </c>
    </row>
    <row r="16" spans="1:119" x14ac:dyDescent="0.2">
      <c r="A16">
        <f>ROW(Source!A30)</f>
        <v>30</v>
      </c>
      <c r="B16">
        <v>75703152</v>
      </c>
      <c r="C16">
        <v>75702884</v>
      </c>
      <c r="D16">
        <v>75390955</v>
      </c>
      <c r="E16">
        <v>1</v>
      </c>
      <c r="F16">
        <v>1</v>
      </c>
      <c r="G16">
        <v>39</v>
      </c>
      <c r="H16">
        <v>3</v>
      </c>
      <c r="I16" t="s">
        <v>175</v>
      </c>
      <c r="J16" t="s">
        <v>176</v>
      </c>
      <c r="K16" t="s">
        <v>177</v>
      </c>
      <c r="L16">
        <v>1348</v>
      </c>
      <c r="N16">
        <v>1009</v>
      </c>
      <c r="O16" t="s">
        <v>116</v>
      </c>
      <c r="P16" t="s">
        <v>116</v>
      </c>
      <c r="Q16">
        <v>1000</v>
      </c>
      <c r="W16">
        <v>0</v>
      </c>
      <c r="X16">
        <v>1269824106</v>
      </c>
      <c r="Y16">
        <f t="shared" si="0"/>
        <v>1E-3</v>
      </c>
      <c r="AA16">
        <v>57401.29</v>
      </c>
      <c r="AB16">
        <v>0</v>
      </c>
      <c r="AC16">
        <v>0</v>
      </c>
      <c r="AD16">
        <v>0</v>
      </c>
      <c r="AE16">
        <v>57401.29</v>
      </c>
      <c r="AF16">
        <v>0</v>
      </c>
      <c r="AG16">
        <v>0</v>
      </c>
      <c r="AH16">
        <v>0</v>
      </c>
      <c r="AI16">
        <v>1</v>
      </c>
      <c r="AJ16">
        <v>1</v>
      </c>
      <c r="AK16">
        <v>1</v>
      </c>
      <c r="AL16">
        <v>1</v>
      </c>
      <c r="AM16">
        <v>-2</v>
      </c>
      <c r="AN16">
        <v>0</v>
      </c>
      <c r="AO16">
        <v>1</v>
      </c>
      <c r="AP16">
        <v>0</v>
      </c>
      <c r="AQ16">
        <v>0</v>
      </c>
      <c r="AR16">
        <v>0</v>
      </c>
      <c r="AS16" t="s">
        <v>3</v>
      </c>
      <c r="AT16">
        <v>1E-3</v>
      </c>
      <c r="AU16" t="s">
        <v>3</v>
      </c>
      <c r="AV16">
        <v>0</v>
      </c>
      <c r="AW16">
        <v>2</v>
      </c>
      <c r="AX16">
        <v>75703109</v>
      </c>
      <c r="AY16">
        <v>1</v>
      </c>
      <c r="AZ16">
        <v>0</v>
      </c>
      <c r="BA16">
        <v>16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</v>
      </c>
      <c r="CV16">
        <v>0</v>
      </c>
      <c r="CW16">
        <v>0</v>
      </c>
      <c r="CX16">
        <f>ROUND(Y16*Source!I30,9)</f>
        <v>2.5000000000000001E-4</v>
      </c>
      <c r="CY16">
        <f>AA16</f>
        <v>57401.29</v>
      </c>
      <c r="CZ16">
        <f>AE16</f>
        <v>57401.29</v>
      </c>
      <c r="DA16">
        <f>AI16</f>
        <v>1</v>
      </c>
      <c r="DB16">
        <f t="shared" si="1"/>
        <v>57.4</v>
      </c>
      <c r="DC16">
        <f t="shared" si="2"/>
        <v>0</v>
      </c>
      <c r="DD16" t="s">
        <v>3</v>
      </c>
      <c r="DE16" t="s">
        <v>3</v>
      </c>
      <c r="DF16">
        <f t="shared" si="3"/>
        <v>14.35</v>
      </c>
      <c r="DG16">
        <f t="shared" si="4"/>
        <v>0</v>
      </c>
      <c r="DH16">
        <f t="shared" si="5"/>
        <v>0</v>
      </c>
      <c r="DI16">
        <f t="shared" si="6"/>
        <v>0</v>
      </c>
      <c r="DJ16">
        <f>DF16</f>
        <v>14.35</v>
      </c>
      <c r="DK16">
        <v>0</v>
      </c>
      <c r="DL16" t="s">
        <v>3</v>
      </c>
      <c r="DM16">
        <v>0</v>
      </c>
      <c r="DN16" t="s">
        <v>3</v>
      </c>
      <c r="DO16">
        <v>0</v>
      </c>
    </row>
    <row r="17" spans="1:119" x14ac:dyDescent="0.2">
      <c r="A17">
        <f>ROW(Source!A30)</f>
        <v>30</v>
      </c>
      <c r="B17">
        <v>75703152</v>
      </c>
      <c r="C17">
        <v>75702884</v>
      </c>
      <c r="D17">
        <v>75389004</v>
      </c>
      <c r="E17">
        <v>1</v>
      </c>
      <c r="F17">
        <v>1</v>
      </c>
      <c r="G17">
        <v>39</v>
      </c>
      <c r="H17">
        <v>3</v>
      </c>
      <c r="I17" t="s">
        <v>178</v>
      </c>
      <c r="J17" t="s">
        <v>179</v>
      </c>
      <c r="K17" t="s">
        <v>180</v>
      </c>
      <c r="L17">
        <v>1348</v>
      </c>
      <c r="N17">
        <v>1009</v>
      </c>
      <c r="O17" t="s">
        <v>116</v>
      </c>
      <c r="P17" t="s">
        <v>116</v>
      </c>
      <c r="Q17">
        <v>1000</v>
      </c>
      <c r="W17">
        <v>0</v>
      </c>
      <c r="X17">
        <v>-823233842</v>
      </c>
      <c r="Y17">
        <f t="shared" si="0"/>
        <v>1.8799999999999999E-3</v>
      </c>
      <c r="AA17">
        <v>71612.87</v>
      </c>
      <c r="AB17">
        <v>0</v>
      </c>
      <c r="AC17">
        <v>0</v>
      </c>
      <c r="AD17">
        <v>0</v>
      </c>
      <c r="AE17">
        <v>71612.87</v>
      </c>
      <c r="AF17">
        <v>0</v>
      </c>
      <c r="AG17">
        <v>0</v>
      </c>
      <c r="AH17">
        <v>0</v>
      </c>
      <c r="AI17">
        <v>1</v>
      </c>
      <c r="AJ17">
        <v>1</v>
      </c>
      <c r="AK17">
        <v>1</v>
      </c>
      <c r="AL17">
        <v>1</v>
      </c>
      <c r="AM17">
        <v>-2</v>
      </c>
      <c r="AN17">
        <v>0</v>
      </c>
      <c r="AO17">
        <v>1</v>
      </c>
      <c r="AP17">
        <v>0</v>
      </c>
      <c r="AQ17">
        <v>0</v>
      </c>
      <c r="AR17">
        <v>0</v>
      </c>
      <c r="AS17" t="s">
        <v>3</v>
      </c>
      <c r="AT17">
        <v>1.8799999999999999E-3</v>
      </c>
      <c r="AU17" t="s">
        <v>3</v>
      </c>
      <c r="AV17">
        <v>0</v>
      </c>
      <c r="AW17">
        <v>2</v>
      </c>
      <c r="AX17">
        <v>75703110</v>
      </c>
      <c r="AY17">
        <v>1</v>
      </c>
      <c r="AZ17">
        <v>0</v>
      </c>
      <c r="BA17">
        <v>17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CV17">
        <v>0</v>
      </c>
      <c r="CW17">
        <v>0</v>
      </c>
      <c r="CX17">
        <f>ROUND(Y17*Source!I30,9)</f>
        <v>4.6999999999999999E-4</v>
      </c>
      <c r="CY17">
        <f>AA17</f>
        <v>71612.87</v>
      </c>
      <c r="CZ17">
        <f>AE17</f>
        <v>71612.87</v>
      </c>
      <c r="DA17">
        <f>AI17</f>
        <v>1</v>
      </c>
      <c r="DB17">
        <f t="shared" si="1"/>
        <v>134.63</v>
      </c>
      <c r="DC17">
        <f t="shared" si="2"/>
        <v>0</v>
      </c>
      <c r="DD17" t="s">
        <v>3</v>
      </c>
      <c r="DE17" t="s">
        <v>3</v>
      </c>
      <c r="DF17">
        <f t="shared" si="3"/>
        <v>33.659999999999997</v>
      </c>
      <c r="DG17">
        <f t="shared" si="4"/>
        <v>0</v>
      </c>
      <c r="DH17">
        <f t="shared" si="5"/>
        <v>0</v>
      </c>
      <c r="DI17">
        <f t="shared" si="6"/>
        <v>0</v>
      </c>
      <c r="DJ17">
        <f>DF17</f>
        <v>33.659999999999997</v>
      </c>
      <c r="DK17">
        <v>0</v>
      </c>
      <c r="DL17" t="s">
        <v>3</v>
      </c>
      <c r="DM17">
        <v>0</v>
      </c>
      <c r="DN17" t="s">
        <v>3</v>
      </c>
      <c r="DO17">
        <v>0</v>
      </c>
    </row>
    <row r="18" spans="1:119" x14ac:dyDescent="0.2">
      <c r="A18">
        <f>ROW(Source!A30)</f>
        <v>30</v>
      </c>
      <c r="B18">
        <v>75703152</v>
      </c>
      <c r="C18">
        <v>75702884</v>
      </c>
      <c r="D18">
        <v>75389041</v>
      </c>
      <c r="E18">
        <v>1</v>
      </c>
      <c r="F18">
        <v>1</v>
      </c>
      <c r="G18">
        <v>39</v>
      </c>
      <c r="H18">
        <v>3</v>
      </c>
      <c r="I18" t="s">
        <v>181</v>
      </c>
      <c r="J18" t="s">
        <v>182</v>
      </c>
      <c r="K18" t="s">
        <v>183</v>
      </c>
      <c r="L18">
        <v>1348</v>
      </c>
      <c r="N18">
        <v>1009</v>
      </c>
      <c r="O18" t="s">
        <v>116</v>
      </c>
      <c r="P18" t="s">
        <v>116</v>
      </c>
      <c r="Q18">
        <v>1000</v>
      </c>
      <c r="W18">
        <v>0</v>
      </c>
      <c r="X18">
        <v>43045499</v>
      </c>
      <c r="Y18">
        <f t="shared" si="0"/>
        <v>5.11E-2</v>
      </c>
      <c r="AA18">
        <v>147321.03</v>
      </c>
      <c r="AB18">
        <v>0</v>
      </c>
      <c r="AC18">
        <v>0</v>
      </c>
      <c r="AD18">
        <v>0</v>
      </c>
      <c r="AE18">
        <v>147321.03</v>
      </c>
      <c r="AF18">
        <v>0</v>
      </c>
      <c r="AG18">
        <v>0</v>
      </c>
      <c r="AH18">
        <v>0</v>
      </c>
      <c r="AI18">
        <v>1</v>
      </c>
      <c r="AJ18">
        <v>1</v>
      </c>
      <c r="AK18">
        <v>1</v>
      </c>
      <c r="AL18">
        <v>1</v>
      </c>
      <c r="AM18">
        <v>-2</v>
      </c>
      <c r="AN18">
        <v>0</v>
      </c>
      <c r="AO18">
        <v>1</v>
      </c>
      <c r="AP18">
        <v>0</v>
      </c>
      <c r="AQ18">
        <v>0</v>
      </c>
      <c r="AR18">
        <v>0</v>
      </c>
      <c r="AS18" t="s">
        <v>3</v>
      </c>
      <c r="AT18">
        <v>5.11E-2</v>
      </c>
      <c r="AU18" t="s">
        <v>3</v>
      </c>
      <c r="AV18">
        <v>0</v>
      </c>
      <c r="AW18">
        <v>2</v>
      </c>
      <c r="AX18">
        <v>75703111</v>
      </c>
      <c r="AY18">
        <v>1</v>
      </c>
      <c r="AZ18">
        <v>0</v>
      </c>
      <c r="BA18">
        <v>18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CV18">
        <v>0</v>
      </c>
      <c r="CW18">
        <v>0</v>
      </c>
      <c r="CX18">
        <f>ROUND(Y18*Source!I30,9)</f>
        <v>1.2775E-2</v>
      </c>
      <c r="CY18">
        <f>AA18</f>
        <v>147321.03</v>
      </c>
      <c r="CZ18">
        <f>AE18</f>
        <v>147321.03</v>
      </c>
      <c r="DA18">
        <f>AI18</f>
        <v>1</v>
      </c>
      <c r="DB18">
        <f t="shared" si="1"/>
        <v>7528.1</v>
      </c>
      <c r="DC18">
        <f t="shared" si="2"/>
        <v>0</v>
      </c>
      <c r="DD18" t="s">
        <v>3</v>
      </c>
      <c r="DE18" t="s">
        <v>3</v>
      </c>
      <c r="DF18">
        <f t="shared" si="3"/>
        <v>1882.03</v>
      </c>
      <c r="DG18">
        <f t="shared" si="4"/>
        <v>0</v>
      </c>
      <c r="DH18">
        <f t="shared" si="5"/>
        <v>0</v>
      </c>
      <c r="DI18">
        <f t="shared" si="6"/>
        <v>0</v>
      </c>
      <c r="DJ18">
        <f>DF18</f>
        <v>1882.03</v>
      </c>
      <c r="DK18">
        <v>0</v>
      </c>
      <c r="DL18" t="s">
        <v>3</v>
      </c>
      <c r="DM18">
        <v>0</v>
      </c>
      <c r="DN18" t="s">
        <v>3</v>
      </c>
      <c r="DO18">
        <v>0</v>
      </c>
    </row>
    <row r="19" spans="1:119" x14ac:dyDescent="0.2">
      <c r="A19">
        <f>ROW(Source!A30)</f>
        <v>30</v>
      </c>
      <c r="B19">
        <v>75703152</v>
      </c>
      <c r="C19">
        <v>75702884</v>
      </c>
      <c r="D19">
        <v>75388991</v>
      </c>
      <c r="E19">
        <v>1</v>
      </c>
      <c r="F19">
        <v>1</v>
      </c>
      <c r="G19">
        <v>39</v>
      </c>
      <c r="H19">
        <v>3</v>
      </c>
      <c r="I19" t="s">
        <v>184</v>
      </c>
      <c r="J19" t="s">
        <v>185</v>
      </c>
      <c r="K19" t="s">
        <v>186</v>
      </c>
      <c r="L19">
        <v>1348</v>
      </c>
      <c r="N19">
        <v>1009</v>
      </c>
      <c r="O19" t="s">
        <v>116</v>
      </c>
      <c r="P19" t="s">
        <v>116</v>
      </c>
      <c r="Q19">
        <v>1000</v>
      </c>
      <c r="W19">
        <v>0</v>
      </c>
      <c r="X19">
        <v>371116997</v>
      </c>
      <c r="Y19">
        <f t="shared" si="0"/>
        <v>2.4199999999999999E-2</v>
      </c>
      <c r="AA19">
        <v>196706.48</v>
      </c>
      <c r="AB19">
        <v>0</v>
      </c>
      <c r="AC19">
        <v>0</v>
      </c>
      <c r="AD19">
        <v>0</v>
      </c>
      <c r="AE19">
        <v>196706.48</v>
      </c>
      <c r="AF19">
        <v>0</v>
      </c>
      <c r="AG19">
        <v>0</v>
      </c>
      <c r="AH19">
        <v>0</v>
      </c>
      <c r="AI19">
        <v>1</v>
      </c>
      <c r="AJ19">
        <v>1</v>
      </c>
      <c r="AK19">
        <v>1</v>
      </c>
      <c r="AL19">
        <v>1</v>
      </c>
      <c r="AM19">
        <v>-2</v>
      </c>
      <c r="AN19">
        <v>0</v>
      </c>
      <c r="AO19">
        <v>1</v>
      </c>
      <c r="AP19">
        <v>0</v>
      </c>
      <c r="AQ19">
        <v>0</v>
      </c>
      <c r="AR19">
        <v>0</v>
      </c>
      <c r="AS19" t="s">
        <v>3</v>
      </c>
      <c r="AT19">
        <v>2.4199999999999999E-2</v>
      </c>
      <c r="AU19" t="s">
        <v>3</v>
      </c>
      <c r="AV19">
        <v>0</v>
      </c>
      <c r="AW19">
        <v>2</v>
      </c>
      <c r="AX19">
        <v>75703112</v>
      </c>
      <c r="AY19">
        <v>1</v>
      </c>
      <c r="AZ19">
        <v>0</v>
      </c>
      <c r="BA19">
        <v>19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0</v>
      </c>
      <c r="CV19">
        <v>0</v>
      </c>
      <c r="CW19">
        <v>0</v>
      </c>
      <c r="CX19">
        <f>ROUND(Y19*Source!I30,9)</f>
        <v>6.0499999999999998E-3</v>
      </c>
      <c r="CY19">
        <f>AA19</f>
        <v>196706.48</v>
      </c>
      <c r="CZ19">
        <f>AE19</f>
        <v>196706.48</v>
      </c>
      <c r="DA19">
        <f>AI19</f>
        <v>1</v>
      </c>
      <c r="DB19">
        <f t="shared" si="1"/>
        <v>4760.3</v>
      </c>
      <c r="DC19">
        <f t="shared" si="2"/>
        <v>0</v>
      </c>
      <c r="DD19" t="s">
        <v>3</v>
      </c>
      <c r="DE19" t="s">
        <v>3</v>
      </c>
      <c r="DF19">
        <f t="shared" si="3"/>
        <v>1190.07</v>
      </c>
      <c r="DG19">
        <f t="shared" si="4"/>
        <v>0</v>
      </c>
      <c r="DH19">
        <f t="shared" si="5"/>
        <v>0</v>
      </c>
      <c r="DI19">
        <f t="shared" si="6"/>
        <v>0</v>
      </c>
      <c r="DJ19">
        <f>DF19</f>
        <v>1190.07</v>
      </c>
      <c r="DK19">
        <v>0</v>
      </c>
      <c r="DL19" t="s">
        <v>3</v>
      </c>
      <c r="DM19">
        <v>0</v>
      </c>
      <c r="DN19" t="s">
        <v>3</v>
      </c>
      <c r="DO19">
        <v>0</v>
      </c>
    </row>
    <row r="20" spans="1:119" x14ac:dyDescent="0.2">
      <c r="A20">
        <f>ROW(Source!A30)</f>
        <v>30</v>
      </c>
      <c r="B20">
        <v>75703152</v>
      </c>
      <c r="C20">
        <v>75702884</v>
      </c>
      <c r="D20">
        <v>75391746</v>
      </c>
      <c r="E20">
        <v>1</v>
      </c>
      <c r="F20">
        <v>1</v>
      </c>
      <c r="G20">
        <v>39</v>
      </c>
      <c r="H20">
        <v>3</v>
      </c>
      <c r="I20" t="s">
        <v>187</v>
      </c>
      <c r="J20" t="s">
        <v>188</v>
      </c>
      <c r="K20" t="s">
        <v>189</v>
      </c>
      <c r="L20">
        <v>1348</v>
      </c>
      <c r="N20">
        <v>1009</v>
      </c>
      <c r="O20" t="s">
        <v>116</v>
      </c>
      <c r="P20" t="s">
        <v>116</v>
      </c>
      <c r="Q20">
        <v>1000</v>
      </c>
      <c r="W20">
        <v>0</v>
      </c>
      <c r="X20">
        <v>2029308454</v>
      </c>
      <c r="Y20">
        <f t="shared" si="0"/>
        <v>5.2499999999999998E-2</v>
      </c>
      <c r="AA20">
        <v>6315.46</v>
      </c>
      <c r="AB20">
        <v>0</v>
      </c>
      <c r="AC20">
        <v>0</v>
      </c>
      <c r="AD20">
        <v>0</v>
      </c>
      <c r="AE20">
        <v>6315.46</v>
      </c>
      <c r="AF20">
        <v>0</v>
      </c>
      <c r="AG20">
        <v>0</v>
      </c>
      <c r="AH20">
        <v>0</v>
      </c>
      <c r="AI20">
        <v>1</v>
      </c>
      <c r="AJ20">
        <v>1</v>
      </c>
      <c r="AK20">
        <v>1</v>
      </c>
      <c r="AL20">
        <v>1</v>
      </c>
      <c r="AM20">
        <v>-2</v>
      </c>
      <c r="AN20">
        <v>0</v>
      </c>
      <c r="AO20">
        <v>1</v>
      </c>
      <c r="AP20">
        <v>0</v>
      </c>
      <c r="AQ20">
        <v>0</v>
      </c>
      <c r="AR20">
        <v>0</v>
      </c>
      <c r="AS20" t="s">
        <v>3</v>
      </c>
      <c r="AT20">
        <v>5.2499999999999998E-2</v>
      </c>
      <c r="AU20" t="s">
        <v>3</v>
      </c>
      <c r="AV20">
        <v>0</v>
      </c>
      <c r="AW20">
        <v>2</v>
      </c>
      <c r="AX20">
        <v>75703113</v>
      </c>
      <c r="AY20">
        <v>1</v>
      </c>
      <c r="AZ20">
        <v>0</v>
      </c>
      <c r="BA20">
        <v>20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0</v>
      </c>
      <c r="BW20">
        <v>0</v>
      </c>
      <c r="CV20">
        <v>0</v>
      </c>
      <c r="CW20">
        <v>0</v>
      </c>
      <c r="CX20">
        <f>ROUND(Y20*Source!I30,9)</f>
        <v>1.3125E-2</v>
      </c>
      <c r="CY20">
        <f>AA20</f>
        <v>6315.46</v>
      </c>
      <c r="CZ20">
        <f>AE20</f>
        <v>6315.46</v>
      </c>
      <c r="DA20">
        <f>AI20</f>
        <v>1</v>
      </c>
      <c r="DB20">
        <f t="shared" si="1"/>
        <v>331.56</v>
      </c>
      <c r="DC20">
        <f t="shared" si="2"/>
        <v>0</v>
      </c>
      <c r="DD20" t="s">
        <v>3</v>
      </c>
      <c r="DE20" t="s">
        <v>3</v>
      </c>
      <c r="DF20">
        <f t="shared" si="3"/>
        <v>82.89</v>
      </c>
      <c r="DG20">
        <f t="shared" si="4"/>
        <v>0</v>
      </c>
      <c r="DH20">
        <f t="shared" si="5"/>
        <v>0</v>
      </c>
      <c r="DI20">
        <f t="shared" si="6"/>
        <v>0</v>
      </c>
      <c r="DJ20">
        <f>DF20</f>
        <v>82.89</v>
      </c>
      <c r="DK20">
        <v>0</v>
      </c>
      <c r="DL20" t="s">
        <v>3</v>
      </c>
      <c r="DM20">
        <v>0</v>
      </c>
      <c r="DN20" t="s">
        <v>3</v>
      </c>
      <c r="DO20">
        <v>0</v>
      </c>
    </row>
    <row r="21" spans="1:119" x14ac:dyDescent="0.2">
      <c r="A21">
        <f>ROW(Source!A31)</f>
        <v>31</v>
      </c>
      <c r="B21">
        <v>75703152</v>
      </c>
      <c r="C21">
        <v>75702897</v>
      </c>
      <c r="D21">
        <v>75386788</v>
      </c>
      <c r="E21">
        <v>39</v>
      </c>
      <c r="F21">
        <v>1</v>
      </c>
      <c r="G21">
        <v>39</v>
      </c>
      <c r="H21">
        <v>1</v>
      </c>
      <c r="I21" t="s">
        <v>134</v>
      </c>
      <c r="J21" t="s">
        <v>3</v>
      </c>
      <c r="K21" t="s">
        <v>135</v>
      </c>
      <c r="L21">
        <v>1191</v>
      </c>
      <c r="N21">
        <v>1013</v>
      </c>
      <c r="O21" t="s">
        <v>136</v>
      </c>
      <c r="P21" t="s">
        <v>136</v>
      </c>
      <c r="Q21">
        <v>1</v>
      </c>
      <c r="W21">
        <v>0</v>
      </c>
      <c r="X21">
        <v>476480486</v>
      </c>
      <c r="Y21">
        <f t="shared" si="0"/>
        <v>50.27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1</v>
      </c>
      <c r="AJ21">
        <v>1</v>
      </c>
      <c r="AK21">
        <v>1</v>
      </c>
      <c r="AL21">
        <v>1</v>
      </c>
      <c r="AM21">
        <v>-2</v>
      </c>
      <c r="AN21">
        <v>0</v>
      </c>
      <c r="AO21">
        <v>1</v>
      </c>
      <c r="AP21">
        <v>0</v>
      </c>
      <c r="AQ21">
        <v>0</v>
      </c>
      <c r="AR21">
        <v>0</v>
      </c>
      <c r="AS21" t="s">
        <v>3</v>
      </c>
      <c r="AT21">
        <v>50.27</v>
      </c>
      <c r="AU21" t="s">
        <v>3</v>
      </c>
      <c r="AV21">
        <v>1</v>
      </c>
      <c r="AW21">
        <v>2</v>
      </c>
      <c r="AX21">
        <v>75703114</v>
      </c>
      <c r="AY21">
        <v>1</v>
      </c>
      <c r="AZ21">
        <v>0</v>
      </c>
      <c r="BA21">
        <v>21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0</v>
      </c>
      <c r="BW21">
        <v>0</v>
      </c>
      <c r="CU21">
        <f>ROUND(AT21*Source!I31*AH21*AL21,2)</f>
        <v>0</v>
      </c>
      <c r="CV21">
        <f>ROUND(Y21*Source!I31,9)</f>
        <v>52.783499999999997</v>
      </c>
      <c r="CW21">
        <v>0</v>
      </c>
      <c r="CX21">
        <f>ROUND(Y21*Source!I31,9)</f>
        <v>52.783499999999997</v>
      </c>
      <c r="CY21">
        <f>AD21</f>
        <v>0</v>
      </c>
      <c r="CZ21">
        <f>AH21</f>
        <v>0</v>
      </c>
      <c r="DA21">
        <f>AL21</f>
        <v>1</v>
      </c>
      <c r="DB21">
        <f t="shared" si="1"/>
        <v>0</v>
      </c>
      <c r="DC21">
        <f t="shared" si="2"/>
        <v>0</v>
      </c>
      <c r="DD21" t="s">
        <v>3</v>
      </c>
      <c r="DE21" t="s">
        <v>3</v>
      </c>
      <c r="DF21">
        <f t="shared" si="3"/>
        <v>0</v>
      </c>
      <c r="DG21">
        <f t="shared" si="4"/>
        <v>0</v>
      </c>
      <c r="DH21">
        <f t="shared" si="5"/>
        <v>0</v>
      </c>
      <c r="DI21">
        <f t="shared" si="6"/>
        <v>0</v>
      </c>
      <c r="DJ21">
        <f>DI21</f>
        <v>0</v>
      </c>
      <c r="DK21">
        <v>0</v>
      </c>
      <c r="DL21" t="s">
        <v>3</v>
      </c>
      <c r="DM21">
        <v>0</v>
      </c>
      <c r="DN21" t="s">
        <v>3</v>
      </c>
      <c r="DO21">
        <v>0</v>
      </c>
    </row>
    <row r="22" spans="1:119" x14ac:dyDescent="0.2">
      <c r="A22">
        <f>ROW(Source!A31)</f>
        <v>31</v>
      </c>
      <c r="B22">
        <v>75703152</v>
      </c>
      <c r="C22">
        <v>75702897</v>
      </c>
      <c r="D22">
        <v>75388035</v>
      </c>
      <c r="E22">
        <v>1</v>
      </c>
      <c r="F22">
        <v>1</v>
      </c>
      <c r="G22">
        <v>39</v>
      </c>
      <c r="H22">
        <v>2</v>
      </c>
      <c r="I22" t="s">
        <v>190</v>
      </c>
      <c r="J22" t="s">
        <v>191</v>
      </c>
      <c r="K22" t="s">
        <v>192</v>
      </c>
      <c r="L22">
        <v>1368</v>
      </c>
      <c r="N22">
        <v>1011</v>
      </c>
      <c r="O22" t="s">
        <v>140</v>
      </c>
      <c r="P22" t="s">
        <v>140</v>
      </c>
      <c r="Q22">
        <v>1</v>
      </c>
      <c r="W22">
        <v>0</v>
      </c>
      <c r="X22">
        <v>-1299851871</v>
      </c>
      <c r="Y22">
        <f t="shared" si="0"/>
        <v>0.16</v>
      </c>
      <c r="AA22">
        <v>0</v>
      </c>
      <c r="AB22">
        <v>9.1</v>
      </c>
      <c r="AC22">
        <v>0.13</v>
      </c>
      <c r="AD22">
        <v>0</v>
      </c>
      <c r="AE22">
        <v>0</v>
      </c>
      <c r="AF22">
        <v>9.1</v>
      </c>
      <c r="AG22">
        <v>0.13</v>
      </c>
      <c r="AH22">
        <v>0</v>
      </c>
      <c r="AI22">
        <v>1</v>
      </c>
      <c r="AJ22">
        <v>1</v>
      </c>
      <c r="AK22">
        <v>1</v>
      </c>
      <c r="AL22">
        <v>1</v>
      </c>
      <c r="AM22">
        <v>-2</v>
      </c>
      <c r="AN22">
        <v>0</v>
      </c>
      <c r="AO22">
        <v>1</v>
      </c>
      <c r="AP22">
        <v>0</v>
      </c>
      <c r="AQ22">
        <v>0</v>
      </c>
      <c r="AR22">
        <v>0</v>
      </c>
      <c r="AS22" t="s">
        <v>3</v>
      </c>
      <c r="AT22">
        <v>0.16</v>
      </c>
      <c r="AU22" t="s">
        <v>3</v>
      </c>
      <c r="AV22">
        <v>0</v>
      </c>
      <c r="AW22">
        <v>2</v>
      </c>
      <c r="AX22">
        <v>75703115</v>
      </c>
      <c r="AY22">
        <v>1</v>
      </c>
      <c r="AZ22">
        <v>0</v>
      </c>
      <c r="BA22">
        <v>22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CV22">
        <v>0</v>
      </c>
      <c r="CW22">
        <f>ROUND(Y22*Source!I31*DO22,9)</f>
        <v>0</v>
      </c>
      <c r="CX22">
        <f>ROUND(Y22*Source!I31,9)</f>
        <v>0.16800000000000001</v>
      </c>
      <c r="CY22">
        <f>AB22</f>
        <v>9.1</v>
      </c>
      <c r="CZ22">
        <f>AF22</f>
        <v>9.1</v>
      </c>
      <c r="DA22">
        <f>AJ22</f>
        <v>1</v>
      </c>
      <c r="DB22">
        <f t="shared" si="1"/>
        <v>1.46</v>
      </c>
      <c r="DC22">
        <f t="shared" si="2"/>
        <v>0.02</v>
      </c>
      <c r="DD22" t="s">
        <v>3</v>
      </c>
      <c r="DE22" t="s">
        <v>3</v>
      </c>
      <c r="DF22">
        <f t="shared" si="3"/>
        <v>0</v>
      </c>
      <c r="DG22">
        <f t="shared" si="4"/>
        <v>1.53</v>
      </c>
      <c r="DH22">
        <f t="shared" si="5"/>
        <v>0.02</v>
      </c>
      <c r="DI22">
        <f t="shared" si="6"/>
        <v>0</v>
      </c>
      <c r="DJ22">
        <f>DG22</f>
        <v>1.53</v>
      </c>
      <c r="DK22">
        <v>0</v>
      </c>
      <c r="DL22" t="s">
        <v>3</v>
      </c>
      <c r="DM22">
        <v>0</v>
      </c>
      <c r="DN22" t="s">
        <v>3</v>
      </c>
      <c r="DO22">
        <v>0</v>
      </c>
    </row>
    <row r="23" spans="1:119" x14ac:dyDescent="0.2">
      <c r="A23">
        <f>ROW(Source!A31)</f>
        <v>31</v>
      </c>
      <c r="B23">
        <v>75703152</v>
      </c>
      <c r="C23">
        <v>75702897</v>
      </c>
      <c r="D23">
        <v>75390376</v>
      </c>
      <c r="E23">
        <v>1</v>
      </c>
      <c r="F23">
        <v>1</v>
      </c>
      <c r="G23">
        <v>39</v>
      </c>
      <c r="H23">
        <v>3</v>
      </c>
      <c r="I23" t="s">
        <v>193</v>
      </c>
      <c r="J23" t="s">
        <v>194</v>
      </c>
      <c r="K23" t="s">
        <v>195</v>
      </c>
      <c r="L23">
        <v>1346</v>
      </c>
      <c r="N23">
        <v>1009</v>
      </c>
      <c r="O23" t="s">
        <v>196</v>
      </c>
      <c r="P23" t="s">
        <v>196</v>
      </c>
      <c r="Q23">
        <v>1</v>
      </c>
      <c r="W23">
        <v>0</v>
      </c>
      <c r="X23">
        <v>1118017035</v>
      </c>
      <c r="Y23">
        <f t="shared" si="0"/>
        <v>0.41</v>
      </c>
      <c r="AA23">
        <v>26.09</v>
      </c>
      <c r="AB23">
        <v>0</v>
      </c>
      <c r="AC23">
        <v>0</v>
      </c>
      <c r="AD23">
        <v>0</v>
      </c>
      <c r="AE23">
        <v>26.09</v>
      </c>
      <c r="AF23">
        <v>0</v>
      </c>
      <c r="AG23">
        <v>0</v>
      </c>
      <c r="AH23">
        <v>0</v>
      </c>
      <c r="AI23">
        <v>1</v>
      </c>
      <c r="AJ23">
        <v>1</v>
      </c>
      <c r="AK23">
        <v>1</v>
      </c>
      <c r="AL23">
        <v>1</v>
      </c>
      <c r="AM23">
        <v>-2</v>
      </c>
      <c r="AN23">
        <v>0</v>
      </c>
      <c r="AO23">
        <v>1</v>
      </c>
      <c r="AP23">
        <v>0</v>
      </c>
      <c r="AQ23">
        <v>0</v>
      </c>
      <c r="AR23">
        <v>0</v>
      </c>
      <c r="AS23" t="s">
        <v>3</v>
      </c>
      <c r="AT23">
        <v>0.41</v>
      </c>
      <c r="AU23" t="s">
        <v>3</v>
      </c>
      <c r="AV23">
        <v>0</v>
      </c>
      <c r="AW23">
        <v>2</v>
      </c>
      <c r="AX23">
        <v>75703116</v>
      </c>
      <c r="AY23">
        <v>1</v>
      </c>
      <c r="AZ23">
        <v>0</v>
      </c>
      <c r="BA23">
        <v>23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0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0</v>
      </c>
      <c r="BR23">
        <v>0</v>
      </c>
      <c r="BS23">
        <v>0</v>
      </c>
      <c r="BT23">
        <v>0</v>
      </c>
      <c r="BU23">
        <v>0</v>
      </c>
      <c r="BV23">
        <v>0</v>
      </c>
      <c r="BW23">
        <v>0</v>
      </c>
      <c r="CV23">
        <v>0</v>
      </c>
      <c r="CW23">
        <v>0</v>
      </c>
      <c r="CX23">
        <f>ROUND(Y23*Source!I31,9)</f>
        <v>0.43049999999999999</v>
      </c>
      <c r="CY23">
        <f t="shared" ref="CY23:CY31" si="11">AA23</f>
        <v>26.09</v>
      </c>
      <c r="CZ23">
        <f t="shared" ref="CZ23:CZ31" si="12">AE23</f>
        <v>26.09</v>
      </c>
      <c r="DA23">
        <f t="shared" ref="DA23:DA31" si="13">AI23</f>
        <v>1</v>
      </c>
      <c r="DB23">
        <f t="shared" si="1"/>
        <v>10.7</v>
      </c>
      <c r="DC23">
        <f t="shared" si="2"/>
        <v>0</v>
      </c>
      <c r="DD23" t="s">
        <v>3</v>
      </c>
      <c r="DE23" t="s">
        <v>3</v>
      </c>
      <c r="DF23">
        <f t="shared" si="3"/>
        <v>11.23</v>
      </c>
      <c r="DG23">
        <f t="shared" si="4"/>
        <v>0</v>
      </c>
      <c r="DH23">
        <f t="shared" si="5"/>
        <v>0</v>
      </c>
      <c r="DI23">
        <f t="shared" si="6"/>
        <v>0</v>
      </c>
      <c r="DJ23">
        <f t="shared" ref="DJ23:DJ31" si="14">DF23</f>
        <v>11.23</v>
      </c>
      <c r="DK23">
        <v>0</v>
      </c>
      <c r="DL23" t="s">
        <v>3</v>
      </c>
      <c r="DM23">
        <v>0</v>
      </c>
      <c r="DN23" t="s">
        <v>3</v>
      </c>
      <c r="DO23">
        <v>0</v>
      </c>
    </row>
    <row r="24" spans="1:119" x14ac:dyDescent="0.2">
      <c r="A24">
        <f>ROW(Source!A31)</f>
        <v>31</v>
      </c>
      <c r="B24">
        <v>75703152</v>
      </c>
      <c r="C24">
        <v>75702897</v>
      </c>
      <c r="D24">
        <v>75390588</v>
      </c>
      <c r="E24">
        <v>1</v>
      </c>
      <c r="F24">
        <v>1</v>
      </c>
      <c r="G24">
        <v>39</v>
      </c>
      <c r="H24">
        <v>3</v>
      </c>
      <c r="I24" t="s">
        <v>197</v>
      </c>
      <c r="J24" t="s">
        <v>198</v>
      </c>
      <c r="K24" t="s">
        <v>199</v>
      </c>
      <c r="L24">
        <v>1339</v>
      </c>
      <c r="N24">
        <v>1007</v>
      </c>
      <c r="O24" t="s">
        <v>18</v>
      </c>
      <c r="P24" t="s">
        <v>18</v>
      </c>
      <c r="Q24">
        <v>1</v>
      </c>
      <c r="W24">
        <v>0</v>
      </c>
      <c r="X24">
        <v>973433911</v>
      </c>
      <c r="Y24">
        <f t="shared" si="0"/>
        <v>0.02</v>
      </c>
      <c r="AA24">
        <v>49.83</v>
      </c>
      <c r="AB24">
        <v>0</v>
      </c>
      <c r="AC24">
        <v>0</v>
      </c>
      <c r="AD24">
        <v>0</v>
      </c>
      <c r="AE24">
        <v>49.83</v>
      </c>
      <c r="AF24">
        <v>0</v>
      </c>
      <c r="AG24">
        <v>0</v>
      </c>
      <c r="AH24">
        <v>0</v>
      </c>
      <c r="AI24">
        <v>1</v>
      </c>
      <c r="AJ24">
        <v>1</v>
      </c>
      <c r="AK24">
        <v>1</v>
      </c>
      <c r="AL24">
        <v>1</v>
      </c>
      <c r="AM24">
        <v>-2</v>
      </c>
      <c r="AN24">
        <v>0</v>
      </c>
      <c r="AO24">
        <v>1</v>
      </c>
      <c r="AP24">
        <v>0</v>
      </c>
      <c r="AQ24">
        <v>0</v>
      </c>
      <c r="AR24">
        <v>0</v>
      </c>
      <c r="AS24" t="s">
        <v>3</v>
      </c>
      <c r="AT24">
        <v>0.02</v>
      </c>
      <c r="AU24" t="s">
        <v>3</v>
      </c>
      <c r="AV24">
        <v>0</v>
      </c>
      <c r="AW24">
        <v>2</v>
      </c>
      <c r="AX24">
        <v>75703117</v>
      </c>
      <c r="AY24">
        <v>1</v>
      </c>
      <c r="AZ24">
        <v>0</v>
      </c>
      <c r="BA24">
        <v>24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0</v>
      </c>
      <c r="BT24">
        <v>0</v>
      </c>
      <c r="BU24">
        <v>0</v>
      </c>
      <c r="BV24">
        <v>0</v>
      </c>
      <c r="BW24">
        <v>0</v>
      </c>
      <c r="CV24">
        <v>0</v>
      </c>
      <c r="CW24">
        <v>0</v>
      </c>
      <c r="CX24">
        <f>ROUND(Y24*Source!I31,9)</f>
        <v>2.1000000000000001E-2</v>
      </c>
      <c r="CY24">
        <f t="shared" si="11"/>
        <v>49.83</v>
      </c>
      <c r="CZ24">
        <f t="shared" si="12"/>
        <v>49.83</v>
      </c>
      <c r="DA24">
        <f t="shared" si="13"/>
        <v>1</v>
      </c>
      <c r="DB24">
        <f t="shared" si="1"/>
        <v>1</v>
      </c>
      <c r="DC24">
        <f t="shared" si="2"/>
        <v>0</v>
      </c>
      <c r="DD24" t="s">
        <v>3</v>
      </c>
      <c r="DE24" t="s">
        <v>3</v>
      </c>
      <c r="DF24">
        <f t="shared" si="3"/>
        <v>1.05</v>
      </c>
      <c r="DG24">
        <f t="shared" si="4"/>
        <v>0</v>
      </c>
      <c r="DH24">
        <f t="shared" si="5"/>
        <v>0</v>
      </c>
      <c r="DI24">
        <f t="shared" si="6"/>
        <v>0</v>
      </c>
      <c r="DJ24">
        <f t="shared" si="14"/>
        <v>1.05</v>
      </c>
      <c r="DK24">
        <v>0</v>
      </c>
      <c r="DL24" t="s">
        <v>3</v>
      </c>
      <c r="DM24">
        <v>0</v>
      </c>
      <c r="DN24" t="s">
        <v>3</v>
      </c>
      <c r="DO24">
        <v>0</v>
      </c>
    </row>
    <row r="25" spans="1:119" x14ac:dyDescent="0.2">
      <c r="A25">
        <f>ROW(Source!A31)</f>
        <v>31</v>
      </c>
      <c r="B25">
        <v>75703152</v>
      </c>
      <c r="C25">
        <v>75702897</v>
      </c>
      <c r="D25">
        <v>75390936</v>
      </c>
      <c r="E25">
        <v>1</v>
      </c>
      <c r="F25">
        <v>1</v>
      </c>
      <c r="G25">
        <v>39</v>
      </c>
      <c r="H25">
        <v>3</v>
      </c>
      <c r="I25" t="s">
        <v>200</v>
      </c>
      <c r="J25" t="s">
        <v>201</v>
      </c>
      <c r="K25" t="s">
        <v>202</v>
      </c>
      <c r="L25">
        <v>1327</v>
      </c>
      <c r="N25">
        <v>1005</v>
      </c>
      <c r="O25" t="s">
        <v>169</v>
      </c>
      <c r="P25" t="s">
        <v>169</v>
      </c>
      <c r="Q25">
        <v>1</v>
      </c>
      <c r="W25">
        <v>0</v>
      </c>
      <c r="X25">
        <v>-668698448</v>
      </c>
      <c r="Y25">
        <f t="shared" si="0"/>
        <v>0.8</v>
      </c>
      <c r="AA25">
        <v>338.51</v>
      </c>
      <c r="AB25">
        <v>0</v>
      </c>
      <c r="AC25">
        <v>0</v>
      </c>
      <c r="AD25">
        <v>0</v>
      </c>
      <c r="AE25">
        <v>338.51</v>
      </c>
      <c r="AF25">
        <v>0</v>
      </c>
      <c r="AG25">
        <v>0</v>
      </c>
      <c r="AH25">
        <v>0</v>
      </c>
      <c r="AI25">
        <v>1</v>
      </c>
      <c r="AJ25">
        <v>1</v>
      </c>
      <c r="AK25">
        <v>1</v>
      </c>
      <c r="AL25">
        <v>1</v>
      </c>
      <c r="AM25">
        <v>-2</v>
      </c>
      <c r="AN25">
        <v>0</v>
      </c>
      <c r="AO25">
        <v>1</v>
      </c>
      <c r="AP25">
        <v>0</v>
      </c>
      <c r="AQ25">
        <v>0</v>
      </c>
      <c r="AR25">
        <v>0</v>
      </c>
      <c r="AS25" t="s">
        <v>3</v>
      </c>
      <c r="AT25">
        <v>0.8</v>
      </c>
      <c r="AU25" t="s">
        <v>3</v>
      </c>
      <c r="AV25">
        <v>0</v>
      </c>
      <c r="AW25">
        <v>2</v>
      </c>
      <c r="AX25">
        <v>75703118</v>
      </c>
      <c r="AY25">
        <v>1</v>
      </c>
      <c r="AZ25">
        <v>0</v>
      </c>
      <c r="BA25">
        <v>25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0</v>
      </c>
      <c r="BK25">
        <v>0</v>
      </c>
      <c r="BL25">
        <v>0</v>
      </c>
      <c r="BM25">
        <v>0</v>
      </c>
      <c r="BN25">
        <v>0</v>
      </c>
      <c r="BO25">
        <v>0</v>
      </c>
      <c r="BP25">
        <v>0</v>
      </c>
      <c r="BQ25">
        <v>0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0</v>
      </c>
      <c r="CV25">
        <v>0</v>
      </c>
      <c r="CW25">
        <v>0</v>
      </c>
      <c r="CX25">
        <f>ROUND(Y25*Source!I31,9)</f>
        <v>0.84</v>
      </c>
      <c r="CY25">
        <f t="shared" si="11"/>
        <v>338.51</v>
      </c>
      <c r="CZ25">
        <f t="shared" si="12"/>
        <v>338.51</v>
      </c>
      <c r="DA25">
        <f t="shared" si="13"/>
        <v>1</v>
      </c>
      <c r="DB25">
        <f t="shared" si="1"/>
        <v>270.81</v>
      </c>
      <c r="DC25">
        <f t="shared" si="2"/>
        <v>0</v>
      </c>
      <c r="DD25" t="s">
        <v>3</v>
      </c>
      <c r="DE25" t="s">
        <v>3</v>
      </c>
      <c r="DF25">
        <f t="shared" si="3"/>
        <v>284.35000000000002</v>
      </c>
      <c r="DG25">
        <f t="shared" si="4"/>
        <v>0</v>
      </c>
      <c r="DH25">
        <f t="shared" si="5"/>
        <v>0</v>
      </c>
      <c r="DI25">
        <f t="shared" si="6"/>
        <v>0</v>
      </c>
      <c r="DJ25">
        <f t="shared" si="14"/>
        <v>284.35000000000002</v>
      </c>
      <c r="DK25">
        <v>0</v>
      </c>
      <c r="DL25" t="s">
        <v>3</v>
      </c>
      <c r="DM25">
        <v>0</v>
      </c>
      <c r="DN25" t="s">
        <v>3</v>
      </c>
      <c r="DO25">
        <v>0</v>
      </c>
    </row>
    <row r="26" spans="1:119" x14ac:dyDescent="0.2">
      <c r="A26">
        <f>ROW(Source!A31)</f>
        <v>31</v>
      </c>
      <c r="B26">
        <v>75703152</v>
      </c>
      <c r="C26">
        <v>75702897</v>
      </c>
      <c r="D26">
        <v>75390952</v>
      </c>
      <c r="E26">
        <v>1</v>
      </c>
      <c r="F26">
        <v>1</v>
      </c>
      <c r="G26">
        <v>39</v>
      </c>
      <c r="H26">
        <v>3</v>
      </c>
      <c r="I26" t="s">
        <v>203</v>
      </c>
      <c r="J26" t="s">
        <v>204</v>
      </c>
      <c r="K26" t="s">
        <v>205</v>
      </c>
      <c r="L26">
        <v>1348</v>
      </c>
      <c r="N26">
        <v>1009</v>
      </c>
      <c r="O26" t="s">
        <v>116</v>
      </c>
      <c r="P26" t="s">
        <v>116</v>
      </c>
      <c r="Q26">
        <v>1000</v>
      </c>
      <c r="W26">
        <v>0</v>
      </c>
      <c r="X26">
        <v>1133369200</v>
      </c>
      <c r="Y26">
        <f t="shared" si="0"/>
        <v>1.8499999999999999E-2</v>
      </c>
      <c r="AA26">
        <v>76204.789999999994</v>
      </c>
      <c r="AB26">
        <v>0</v>
      </c>
      <c r="AC26">
        <v>0</v>
      </c>
      <c r="AD26">
        <v>0</v>
      </c>
      <c r="AE26">
        <v>76204.789999999994</v>
      </c>
      <c r="AF26">
        <v>0</v>
      </c>
      <c r="AG26">
        <v>0</v>
      </c>
      <c r="AH26">
        <v>0</v>
      </c>
      <c r="AI26">
        <v>1</v>
      </c>
      <c r="AJ26">
        <v>1</v>
      </c>
      <c r="AK26">
        <v>1</v>
      </c>
      <c r="AL26">
        <v>1</v>
      </c>
      <c r="AM26">
        <v>-2</v>
      </c>
      <c r="AN26">
        <v>0</v>
      </c>
      <c r="AO26">
        <v>1</v>
      </c>
      <c r="AP26">
        <v>0</v>
      </c>
      <c r="AQ26">
        <v>0</v>
      </c>
      <c r="AR26">
        <v>0</v>
      </c>
      <c r="AS26" t="s">
        <v>3</v>
      </c>
      <c r="AT26">
        <v>1.8499999999999999E-2</v>
      </c>
      <c r="AU26" t="s">
        <v>3</v>
      </c>
      <c r="AV26">
        <v>0</v>
      </c>
      <c r="AW26">
        <v>2</v>
      </c>
      <c r="AX26">
        <v>75703119</v>
      </c>
      <c r="AY26">
        <v>1</v>
      </c>
      <c r="AZ26">
        <v>0</v>
      </c>
      <c r="BA26">
        <v>26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0</v>
      </c>
      <c r="BK26">
        <v>0</v>
      </c>
      <c r="BL26">
        <v>0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0</v>
      </c>
      <c r="BS26">
        <v>0</v>
      </c>
      <c r="BT26">
        <v>0</v>
      </c>
      <c r="BU26">
        <v>0</v>
      </c>
      <c r="BV26">
        <v>0</v>
      </c>
      <c r="BW26">
        <v>0</v>
      </c>
      <c r="CV26">
        <v>0</v>
      </c>
      <c r="CW26">
        <v>0</v>
      </c>
      <c r="CX26">
        <f>ROUND(Y26*Source!I31,9)</f>
        <v>1.9425000000000001E-2</v>
      </c>
      <c r="CY26">
        <f t="shared" si="11"/>
        <v>76204.789999999994</v>
      </c>
      <c r="CZ26">
        <f t="shared" si="12"/>
        <v>76204.789999999994</v>
      </c>
      <c r="DA26">
        <f t="shared" si="13"/>
        <v>1</v>
      </c>
      <c r="DB26">
        <f t="shared" si="1"/>
        <v>1409.79</v>
      </c>
      <c r="DC26">
        <f t="shared" si="2"/>
        <v>0</v>
      </c>
      <c r="DD26" t="s">
        <v>3</v>
      </c>
      <c r="DE26" t="s">
        <v>3</v>
      </c>
      <c r="DF26">
        <f t="shared" si="3"/>
        <v>1480.28</v>
      </c>
      <c r="DG26">
        <f t="shared" si="4"/>
        <v>0</v>
      </c>
      <c r="DH26">
        <f t="shared" si="5"/>
        <v>0</v>
      </c>
      <c r="DI26">
        <f t="shared" si="6"/>
        <v>0</v>
      </c>
      <c r="DJ26">
        <f t="shared" si="14"/>
        <v>1480.28</v>
      </c>
      <c r="DK26">
        <v>0</v>
      </c>
      <c r="DL26" t="s">
        <v>3</v>
      </c>
      <c r="DM26">
        <v>0</v>
      </c>
      <c r="DN26" t="s">
        <v>3</v>
      </c>
      <c r="DO26">
        <v>0</v>
      </c>
    </row>
    <row r="27" spans="1:119" x14ac:dyDescent="0.2">
      <c r="A27">
        <f>ROW(Source!A31)</f>
        <v>31</v>
      </c>
      <c r="B27">
        <v>75703152</v>
      </c>
      <c r="C27">
        <v>75702897</v>
      </c>
      <c r="D27">
        <v>75388993</v>
      </c>
      <c r="E27">
        <v>1</v>
      </c>
      <c r="F27">
        <v>1</v>
      </c>
      <c r="G27">
        <v>39</v>
      </c>
      <c r="H27">
        <v>3</v>
      </c>
      <c r="I27" t="s">
        <v>206</v>
      </c>
      <c r="J27" t="s">
        <v>207</v>
      </c>
      <c r="K27" t="s">
        <v>208</v>
      </c>
      <c r="L27">
        <v>1296</v>
      </c>
      <c r="N27">
        <v>1002</v>
      </c>
      <c r="O27" t="s">
        <v>209</v>
      </c>
      <c r="P27" t="s">
        <v>209</v>
      </c>
      <c r="Q27">
        <v>1</v>
      </c>
      <c r="W27">
        <v>0</v>
      </c>
      <c r="X27">
        <v>1726395108</v>
      </c>
      <c r="Y27">
        <f t="shared" si="0"/>
        <v>10</v>
      </c>
      <c r="AA27">
        <v>128.71</v>
      </c>
      <c r="AB27">
        <v>0</v>
      </c>
      <c r="AC27">
        <v>0</v>
      </c>
      <c r="AD27">
        <v>0</v>
      </c>
      <c r="AE27">
        <v>128.71</v>
      </c>
      <c r="AF27">
        <v>0</v>
      </c>
      <c r="AG27">
        <v>0</v>
      </c>
      <c r="AH27">
        <v>0</v>
      </c>
      <c r="AI27">
        <v>1</v>
      </c>
      <c r="AJ27">
        <v>1</v>
      </c>
      <c r="AK27">
        <v>1</v>
      </c>
      <c r="AL27">
        <v>1</v>
      </c>
      <c r="AM27">
        <v>-2</v>
      </c>
      <c r="AN27">
        <v>0</v>
      </c>
      <c r="AO27">
        <v>1</v>
      </c>
      <c r="AP27">
        <v>0</v>
      </c>
      <c r="AQ27">
        <v>0</v>
      </c>
      <c r="AR27">
        <v>0</v>
      </c>
      <c r="AS27" t="s">
        <v>3</v>
      </c>
      <c r="AT27">
        <v>10</v>
      </c>
      <c r="AU27" t="s">
        <v>3</v>
      </c>
      <c r="AV27">
        <v>0</v>
      </c>
      <c r="AW27">
        <v>2</v>
      </c>
      <c r="AX27">
        <v>75703120</v>
      </c>
      <c r="AY27">
        <v>1</v>
      </c>
      <c r="AZ27">
        <v>0</v>
      </c>
      <c r="BA27">
        <v>27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  <c r="CV27">
        <v>0</v>
      </c>
      <c r="CW27">
        <v>0</v>
      </c>
      <c r="CX27">
        <f>ROUND(Y27*Source!I31,9)</f>
        <v>10.5</v>
      </c>
      <c r="CY27">
        <f t="shared" si="11"/>
        <v>128.71</v>
      </c>
      <c r="CZ27">
        <f t="shared" si="12"/>
        <v>128.71</v>
      </c>
      <c r="DA27">
        <f t="shared" si="13"/>
        <v>1</v>
      </c>
      <c r="DB27">
        <f t="shared" si="1"/>
        <v>1287.0999999999999</v>
      </c>
      <c r="DC27">
        <f t="shared" si="2"/>
        <v>0</v>
      </c>
      <c r="DD27" t="s">
        <v>3</v>
      </c>
      <c r="DE27" t="s">
        <v>3</v>
      </c>
      <c r="DF27">
        <f t="shared" si="3"/>
        <v>1351.46</v>
      </c>
      <c r="DG27">
        <f t="shared" si="4"/>
        <v>0</v>
      </c>
      <c r="DH27">
        <f t="shared" si="5"/>
        <v>0</v>
      </c>
      <c r="DI27">
        <f t="shared" si="6"/>
        <v>0</v>
      </c>
      <c r="DJ27">
        <f t="shared" si="14"/>
        <v>1351.46</v>
      </c>
      <c r="DK27">
        <v>0</v>
      </c>
      <c r="DL27" t="s">
        <v>3</v>
      </c>
      <c r="DM27">
        <v>0</v>
      </c>
      <c r="DN27" t="s">
        <v>3</v>
      </c>
      <c r="DO27">
        <v>0</v>
      </c>
    </row>
    <row r="28" spans="1:119" x14ac:dyDescent="0.2">
      <c r="A28">
        <f>ROW(Source!A31)</f>
        <v>31</v>
      </c>
      <c r="B28">
        <v>75703152</v>
      </c>
      <c r="C28">
        <v>75702897</v>
      </c>
      <c r="D28">
        <v>75389091</v>
      </c>
      <c r="E28">
        <v>1</v>
      </c>
      <c r="F28">
        <v>1</v>
      </c>
      <c r="G28">
        <v>39</v>
      </c>
      <c r="H28">
        <v>3</v>
      </c>
      <c r="I28" t="s">
        <v>210</v>
      </c>
      <c r="J28" t="s">
        <v>211</v>
      </c>
      <c r="K28" t="s">
        <v>212</v>
      </c>
      <c r="L28">
        <v>1348</v>
      </c>
      <c r="N28">
        <v>1009</v>
      </c>
      <c r="O28" t="s">
        <v>116</v>
      </c>
      <c r="P28" t="s">
        <v>116</v>
      </c>
      <c r="Q28">
        <v>1000</v>
      </c>
      <c r="W28">
        <v>0</v>
      </c>
      <c r="X28">
        <v>-1442459766</v>
      </c>
      <c r="Y28">
        <f t="shared" si="0"/>
        <v>1.6000000000000001E-3</v>
      </c>
      <c r="AA28">
        <v>116802.33</v>
      </c>
      <c r="AB28">
        <v>0</v>
      </c>
      <c r="AC28">
        <v>0</v>
      </c>
      <c r="AD28">
        <v>0</v>
      </c>
      <c r="AE28">
        <v>116802.33</v>
      </c>
      <c r="AF28">
        <v>0</v>
      </c>
      <c r="AG28">
        <v>0</v>
      </c>
      <c r="AH28">
        <v>0</v>
      </c>
      <c r="AI28">
        <v>1</v>
      </c>
      <c r="AJ28">
        <v>1</v>
      </c>
      <c r="AK28">
        <v>1</v>
      </c>
      <c r="AL28">
        <v>1</v>
      </c>
      <c r="AM28">
        <v>-2</v>
      </c>
      <c r="AN28">
        <v>0</v>
      </c>
      <c r="AO28">
        <v>1</v>
      </c>
      <c r="AP28">
        <v>0</v>
      </c>
      <c r="AQ28">
        <v>0</v>
      </c>
      <c r="AR28">
        <v>0</v>
      </c>
      <c r="AS28" t="s">
        <v>3</v>
      </c>
      <c r="AT28">
        <v>1.6000000000000001E-3</v>
      </c>
      <c r="AU28" t="s">
        <v>3</v>
      </c>
      <c r="AV28">
        <v>0</v>
      </c>
      <c r="AW28">
        <v>2</v>
      </c>
      <c r="AX28">
        <v>75703121</v>
      </c>
      <c r="AY28">
        <v>1</v>
      </c>
      <c r="AZ28">
        <v>0</v>
      </c>
      <c r="BA28">
        <v>28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0</v>
      </c>
      <c r="BK28">
        <v>0</v>
      </c>
      <c r="BL28">
        <v>0</v>
      </c>
      <c r="BM28">
        <v>0</v>
      </c>
      <c r="BN28">
        <v>0</v>
      </c>
      <c r="BO28">
        <v>0</v>
      </c>
      <c r="BP28">
        <v>0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0</v>
      </c>
      <c r="CV28">
        <v>0</v>
      </c>
      <c r="CW28">
        <v>0</v>
      </c>
      <c r="CX28">
        <f>ROUND(Y28*Source!I31,9)</f>
        <v>1.6800000000000001E-3</v>
      </c>
      <c r="CY28">
        <f t="shared" si="11"/>
        <v>116802.33</v>
      </c>
      <c r="CZ28">
        <f t="shared" si="12"/>
        <v>116802.33</v>
      </c>
      <c r="DA28">
        <f t="shared" si="13"/>
        <v>1</v>
      </c>
      <c r="DB28">
        <f t="shared" si="1"/>
        <v>186.88</v>
      </c>
      <c r="DC28">
        <f t="shared" si="2"/>
        <v>0</v>
      </c>
      <c r="DD28" t="s">
        <v>3</v>
      </c>
      <c r="DE28" t="s">
        <v>3</v>
      </c>
      <c r="DF28">
        <f t="shared" si="3"/>
        <v>196.23</v>
      </c>
      <c r="DG28">
        <f t="shared" si="4"/>
        <v>0</v>
      </c>
      <c r="DH28">
        <f t="shared" si="5"/>
        <v>0</v>
      </c>
      <c r="DI28">
        <f t="shared" si="6"/>
        <v>0</v>
      </c>
      <c r="DJ28">
        <f t="shared" si="14"/>
        <v>196.23</v>
      </c>
      <c r="DK28">
        <v>0</v>
      </c>
      <c r="DL28" t="s">
        <v>3</v>
      </c>
      <c r="DM28">
        <v>0</v>
      </c>
      <c r="DN28" t="s">
        <v>3</v>
      </c>
      <c r="DO28">
        <v>0</v>
      </c>
    </row>
    <row r="29" spans="1:119" x14ac:dyDescent="0.2">
      <c r="A29">
        <f>ROW(Source!A31)</f>
        <v>31</v>
      </c>
      <c r="B29">
        <v>75703152</v>
      </c>
      <c r="C29">
        <v>75702897</v>
      </c>
      <c r="D29">
        <v>75389041</v>
      </c>
      <c r="E29">
        <v>1</v>
      </c>
      <c r="F29">
        <v>1</v>
      </c>
      <c r="G29">
        <v>39</v>
      </c>
      <c r="H29">
        <v>3</v>
      </c>
      <c r="I29" t="s">
        <v>181</v>
      </c>
      <c r="J29" t="s">
        <v>182</v>
      </c>
      <c r="K29" t="s">
        <v>183</v>
      </c>
      <c r="L29">
        <v>1348</v>
      </c>
      <c r="N29">
        <v>1009</v>
      </c>
      <c r="O29" t="s">
        <v>116</v>
      </c>
      <c r="P29" t="s">
        <v>116</v>
      </c>
      <c r="Q29">
        <v>1000</v>
      </c>
      <c r="W29">
        <v>0</v>
      </c>
      <c r="X29">
        <v>43045499</v>
      </c>
      <c r="Y29">
        <f t="shared" si="0"/>
        <v>5.11E-2</v>
      </c>
      <c r="AA29">
        <v>147321.03</v>
      </c>
      <c r="AB29">
        <v>0</v>
      </c>
      <c r="AC29">
        <v>0</v>
      </c>
      <c r="AD29">
        <v>0</v>
      </c>
      <c r="AE29">
        <v>147321.03</v>
      </c>
      <c r="AF29">
        <v>0</v>
      </c>
      <c r="AG29">
        <v>0</v>
      </c>
      <c r="AH29">
        <v>0</v>
      </c>
      <c r="AI29">
        <v>1</v>
      </c>
      <c r="AJ29">
        <v>1</v>
      </c>
      <c r="AK29">
        <v>1</v>
      </c>
      <c r="AL29">
        <v>1</v>
      </c>
      <c r="AM29">
        <v>-2</v>
      </c>
      <c r="AN29">
        <v>0</v>
      </c>
      <c r="AO29">
        <v>1</v>
      </c>
      <c r="AP29">
        <v>0</v>
      </c>
      <c r="AQ29">
        <v>0</v>
      </c>
      <c r="AR29">
        <v>0</v>
      </c>
      <c r="AS29" t="s">
        <v>3</v>
      </c>
      <c r="AT29">
        <v>5.11E-2</v>
      </c>
      <c r="AU29" t="s">
        <v>3</v>
      </c>
      <c r="AV29">
        <v>0</v>
      </c>
      <c r="AW29">
        <v>2</v>
      </c>
      <c r="AX29">
        <v>75703122</v>
      </c>
      <c r="AY29">
        <v>1</v>
      </c>
      <c r="AZ29">
        <v>0</v>
      </c>
      <c r="BA29">
        <v>29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0</v>
      </c>
      <c r="BK29">
        <v>0</v>
      </c>
      <c r="BL29">
        <v>0</v>
      </c>
      <c r="BM29">
        <v>0</v>
      </c>
      <c r="BN29">
        <v>0</v>
      </c>
      <c r="BO29">
        <v>0</v>
      </c>
      <c r="BP29">
        <v>0</v>
      </c>
      <c r="BQ29">
        <v>0</v>
      </c>
      <c r="BR29">
        <v>0</v>
      </c>
      <c r="BS29">
        <v>0</v>
      </c>
      <c r="BT29">
        <v>0</v>
      </c>
      <c r="BU29">
        <v>0</v>
      </c>
      <c r="BV29">
        <v>0</v>
      </c>
      <c r="BW29">
        <v>0</v>
      </c>
      <c r="CV29">
        <v>0</v>
      </c>
      <c r="CW29">
        <v>0</v>
      </c>
      <c r="CX29">
        <f>ROUND(Y29*Source!I31,9)</f>
        <v>5.3655000000000001E-2</v>
      </c>
      <c r="CY29">
        <f t="shared" si="11"/>
        <v>147321.03</v>
      </c>
      <c r="CZ29">
        <f t="shared" si="12"/>
        <v>147321.03</v>
      </c>
      <c r="DA29">
        <f t="shared" si="13"/>
        <v>1</v>
      </c>
      <c r="DB29">
        <f t="shared" si="1"/>
        <v>7528.1</v>
      </c>
      <c r="DC29">
        <f t="shared" si="2"/>
        <v>0</v>
      </c>
      <c r="DD29" t="s">
        <v>3</v>
      </c>
      <c r="DE29" t="s">
        <v>3</v>
      </c>
      <c r="DF29">
        <f t="shared" si="3"/>
        <v>7904.51</v>
      </c>
      <c r="DG29">
        <f t="shared" si="4"/>
        <v>0</v>
      </c>
      <c r="DH29">
        <f t="shared" si="5"/>
        <v>0</v>
      </c>
      <c r="DI29">
        <f t="shared" si="6"/>
        <v>0</v>
      </c>
      <c r="DJ29">
        <f t="shared" si="14"/>
        <v>7904.51</v>
      </c>
      <c r="DK29">
        <v>0</v>
      </c>
      <c r="DL29" t="s">
        <v>3</v>
      </c>
      <c r="DM29">
        <v>0</v>
      </c>
      <c r="DN29" t="s">
        <v>3</v>
      </c>
      <c r="DO29">
        <v>0</v>
      </c>
    </row>
    <row r="30" spans="1:119" x14ac:dyDescent="0.2">
      <c r="A30">
        <f>ROW(Source!A31)</f>
        <v>31</v>
      </c>
      <c r="B30">
        <v>75703152</v>
      </c>
      <c r="C30">
        <v>75702897</v>
      </c>
      <c r="D30">
        <v>75388991</v>
      </c>
      <c r="E30">
        <v>1</v>
      </c>
      <c r="F30">
        <v>1</v>
      </c>
      <c r="G30">
        <v>39</v>
      </c>
      <c r="H30">
        <v>3</v>
      </c>
      <c r="I30" t="s">
        <v>184</v>
      </c>
      <c r="J30" t="s">
        <v>185</v>
      </c>
      <c r="K30" t="s">
        <v>186</v>
      </c>
      <c r="L30">
        <v>1348</v>
      </c>
      <c r="N30">
        <v>1009</v>
      </c>
      <c r="O30" t="s">
        <v>116</v>
      </c>
      <c r="P30" t="s">
        <v>116</v>
      </c>
      <c r="Q30">
        <v>1000</v>
      </c>
      <c r="W30">
        <v>0</v>
      </c>
      <c r="X30">
        <v>371116997</v>
      </c>
      <c r="Y30">
        <f t="shared" si="0"/>
        <v>3.5000000000000001E-3</v>
      </c>
      <c r="AA30">
        <v>196706.48</v>
      </c>
      <c r="AB30">
        <v>0</v>
      </c>
      <c r="AC30">
        <v>0</v>
      </c>
      <c r="AD30">
        <v>0</v>
      </c>
      <c r="AE30">
        <v>196706.48</v>
      </c>
      <c r="AF30">
        <v>0</v>
      </c>
      <c r="AG30">
        <v>0</v>
      </c>
      <c r="AH30">
        <v>0</v>
      </c>
      <c r="AI30">
        <v>1</v>
      </c>
      <c r="AJ30">
        <v>1</v>
      </c>
      <c r="AK30">
        <v>1</v>
      </c>
      <c r="AL30">
        <v>1</v>
      </c>
      <c r="AM30">
        <v>-2</v>
      </c>
      <c r="AN30">
        <v>0</v>
      </c>
      <c r="AO30">
        <v>1</v>
      </c>
      <c r="AP30">
        <v>0</v>
      </c>
      <c r="AQ30">
        <v>0</v>
      </c>
      <c r="AR30">
        <v>0</v>
      </c>
      <c r="AS30" t="s">
        <v>3</v>
      </c>
      <c r="AT30">
        <v>3.5000000000000001E-3</v>
      </c>
      <c r="AU30" t="s">
        <v>3</v>
      </c>
      <c r="AV30">
        <v>0</v>
      </c>
      <c r="AW30">
        <v>2</v>
      </c>
      <c r="AX30">
        <v>75703123</v>
      </c>
      <c r="AY30">
        <v>1</v>
      </c>
      <c r="AZ30">
        <v>0</v>
      </c>
      <c r="BA30">
        <v>30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0</v>
      </c>
      <c r="CV30">
        <v>0</v>
      </c>
      <c r="CW30">
        <v>0</v>
      </c>
      <c r="CX30">
        <f>ROUND(Y30*Source!I31,9)</f>
        <v>3.6749999999999999E-3</v>
      </c>
      <c r="CY30">
        <f t="shared" si="11"/>
        <v>196706.48</v>
      </c>
      <c r="CZ30">
        <f t="shared" si="12"/>
        <v>196706.48</v>
      </c>
      <c r="DA30">
        <f t="shared" si="13"/>
        <v>1</v>
      </c>
      <c r="DB30">
        <f t="shared" si="1"/>
        <v>688.47</v>
      </c>
      <c r="DC30">
        <f t="shared" si="2"/>
        <v>0</v>
      </c>
      <c r="DD30" t="s">
        <v>3</v>
      </c>
      <c r="DE30" t="s">
        <v>3</v>
      </c>
      <c r="DF30">
        <f t="shared" si="3"/>
        <v>722.9</v>
      </c>
      <c r="DG30">
        <f t="shared" si="4"/>
        <v>0</v>
      </c>
      <c r="DH30">
        <f t="shared" si="5"/>
        <v>0</v>
      </c>
      <c r="DI30">
        <f t="shared" si="6"/>
        <v>0</v>
      </c>
      <c r="DJ30">
        <f t="shared" si="14"/>
        <v>722.9</v>
      </c>
      <c r="DK30">
        <v>0</v>
      </c>
      <c r="DL30" t="s">
        <v>3</v>
      </c>
      <c r="DM30">
        <v>0</v>
      </c>
      <c r="DN30" t="s">
        <v>3</v>
      </c>
      <c r="DO30">
        <v>0</v>
      </c>
    </row>
    <row r="31" spans="1:119" x14ac:dyDescent="0.2">
      <c r="A31">
        <f>ROW(Source!A31)</f>
        <v>31</v>
      </c>
      <c r="B31">
        <v>75703152</v>
      </c>
      <c r="C31">
        <v>75702897</v>
      </c>
      <c r="D31">
        <v>75391717</v>
      </c>
      <c r="E31">
        <v>1</v>
      </c>
      <c r="F31">
        <v>1</v>
      </c>
      <c r="G31">
        <v>39</v>
      </c>
      <c r="H31">
        <v>3</v>
      </c>
      <c r="I31" t="s">
        <v>213</v>
      </c>
      <c r="J31" t="s">
        <v>214</v>
      </c>
      <c r="K31" t="s">
        <v>215</v>
      </c>
      <c r="L31">
        <v>1348</v>
      </c>
      <c r="N31">
        <v>1009</v>
      </c>
      <c r="O31" t="s">
        <v>116</v>
      </c>
      <c r="P31" t="s">
        <v>116</v>
      </c>
      <c r="Q31">
        <v>1000</v>
      </c>
      <c r="W31">
        <v>0</v>
      </c>
      <c r="X31">
        <v>-692374849</v>
      </c>
      <c r="Y31">
        <f t="shared" si="0"/>
        <v>5.2499999999999998E-2</v>
      </c>
      <c r="AA31">
        <v>17372.259999999998</v>
      </c>
      <c r="AB31">
        <v>0</v>
      </c>
      <c r="AC31">
        <v>0</v>
      </c>
      <c r="AD31">
        <v>0</v>
      </c>
      <c r="AE31">
        <v>17372.259999999998</v>
      </c>
      <c r="AF31">
        <v>0</v>
      </c>
      <c r="AG31">
        <v>0</v>
      </c>
      <c r="AH31">
        <v>0</v>
      </c>
      <c r="AI31">
        <v>1</v>
      </c>
      <c r="AJ31">
        <v>1</v>
      </c>
      <c r="AK31">
        <v>1</v>
      </c>
      <c r="AL31">
        <v>1</v>
      </c>
      <c r="AM31">
        <v>-2</v>
      </c>
      <c r="AN31">
        <v>0</v>
      </c>
      <c r="AO31">
        <v>1</v>
      </c>
      <c r="AP31">
        <v>0</v>
      </c>
      <c r="AQ31">
        <v>0</v>
      </c>
      <c r="AR31">
        <v>0</v>
      </c>
      <c r="AS31" t="s">
        <v>3</v>
      </c>
      <c r="AT31">
        <v>5.2499999999999998E-2</v>
      </c>
      <c r="AU31" t="s">
        <v>3</v>
      </c>
      <c r="AV31">
        <v>0</v>
      </c>
      <c r="AW31">
        <v>2</v>
      </c>
      <c r="AX31">
        <v>75703124</v>
      </c>
      <c r="AY31">
        <v>1</v>
      </c>
      <c r="AZ31">
        <v>0</v>
      </c>
      <c r="BA31">
        <v>31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0</v>
      </c>
      <c r="BI31">
        <v>0</v>
      </c>
      <c r="BJ31">
        <v>0</v>
      </c>
      <c r="BK31">
        <v>0</v>
      </c>
      <c r="BL31">
        <v>0</v>
      </c>
      <c r="BM31">
        <v>0</v>
      </c>
      <c r="BN31">
        <v>0</v>
      </c>
      <c r="BO31">
        <v>0</v>
      </c>
      <c r="BP31">
        <v>0</v>
      </c>
      <c r="BQ31">
        <v>0</v>
      </c>
      <c r="BR31">
        <v>0</v>
      </c>
      <c r="BS31">
        <v>0</v>
      </c>
      <c r="BT31">
        <v>0</v>
      </c>
      <c r="BU31">
        <v>0</v>
      </c>
      <c r="BV31">
        <v>0</v>
      </c>
      <c r="BW31">
        <v>0</v>
      </c>
      <c r="CV31">
        <v>0</v>
      </c>
      <c r="CW31">
        <v>0</v>
      </c>
      <c r="CX31">
        <f>ROUND(Y31*Source!I31,9)</f>
        <v>5.5125E-2</v>
      </c>
      <c r="CY31">
        <f t="shared" si="11"/>
        <v>17372.259999999998</v>
      </c>
      <c r="CZ31">
        <f t="shared" si="12"/>
        <v>17372.259999999998</v>
      </c>
      <c r="DA31">
        <f t="shared" si="13"/>
        <v>1</v>
      </c>
      <c r="DB31">
        <f t="shared" si="1"/>
        <v>912.04</v>
      </c>
      <c r="DC31">
        <f t="shared" si="2"/>
        <v>0</v>
      </c>
      <c r="DD31" t="s">
        <v>3</v>
      </c>
      <c r="DE31" t="s">
        <v>3</v>
      </c>
      <c r="DF31">
        <f t="shared" si="3"/>
        <v>957.65</v>
      </c>
      <c r="DG31">
        <f t="shared" si="4"/>
        <v>0</v>
      </c>
      <c r="DH31">
        <f t="shared" si="5"/>
        <v>0</v>
      </c>
      <c r="DI31">
        <f t="shared" si="6"/>
        <v>0</v>
      </c>
      <c r="DJ31">
        <f t="shared" si="14"/>
        <v>957.65</v>
      </c>
      <c r="DK31">
        <v>0</v>
      </c>
      <c r="DL31" t="s">
        <v>3</v>
      </c>
      <c r="DM31">
        <v>0</v>
      </c>
      <c r="DN31" t="s">
        <v>3</v>
      </c>
      <c r="DO31">
        <v>0</v>
      </c>
    </row>
    <row r="32" spans="1:119" x14ac:dyDescent="0.2">
      <c r="A32">
        <f>ROW(Source!A67)</f>
        <v>67</v>
      </c>
      <c r="B32">
        <v>75703152</v>
      </c>
      <c r="C32">
        <v>75702976</v>
      </c>
      <c r="D32">
        <v>75386788</v>
      </c>
      <c r="E32">
        <v>39</v>
      </c>
      <c r="F32">
        <v>1</v>
      </c>
      <c r="G32">
        <v>39</v>
      </c>
      <c r="H32">
        <v>1</v>
      </c>
      <c r="I32" t="s">
        <v>134</v>
      </c>
      <c r="J32" t="s">
        <v>3</v>
      </c>
      <c r="K32" t="s">
        <v>135</v>
      </c>
      <c r="L32">
        <v>1191</v>
      </c>
      <c r="N32">
        <v>1013</v>
      </c>
      <c r="O32" t="s">
        <v>136</v>
      </c>
      <c r="P32" t="s">
        <v>136</v>
      </c>
      <c r="Q32">
        <v>1</v>
      </c>
      <c r="W32">
        <v>0</v>
      </c>
      <c r="X32">
        <v>476480486</v>
      </c>
      <c r="Y32">
        <f t="shared" si="0"/>
        <v>17.41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1</v>
      </c>
      <c r="AJ32">
        <v>1</v>
      </c>
      <c r="AK32">
        <v>1</v>
      </c>
      <c r="AL32">
        <v>1</v>
      </c>
      <c r="AM32">
        <v>-2</v>
      </c>
      <c r="AN32">
        <v>0</v>
      </c>
      <c r="AO32">
        <v>1</v>
      </c>
      <c r="AP32">
        <v>0</v>
      </c>
      <c r="AQ32">
        <v>0</v>
      </c>
      <c r="AR32">
        <v>0</v>
      </c>
      <c r="AS32" t="s">
        <v>3</v>
      </c>
      <c r="AT32">
        <v>17.41</v>
      </c>
      <c r="AU32" t="s">
        <v>3</v>
      </c>
      <c r="AV32">
        <v>1</v>
      </c>
      <c r="AW32">
        <v>2</v>
      </c>
      <c r="AX32">
        <v>75703125</v>
      </c>
      <c r="AY32">
        <v>1</v>
      </c>
      <c r="AZ32">
        <v>0</v>
      </c>
      <c r="BA32">
        <v>32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0</v>
      </c>
      <c r="BI32">
        <v>0</v>
      </c>
      <c r="BJ32">
        <v>0</v>
      </c>
      <c r="BK32">
        <v>0</v>
      </c>
      <c r="BL32">
        <v>0</v>
      </c>
      <c r="BM32">
        <v>0</v>
      </c>
      <c r="BN32">
        <v>0</v>
      </c>
      <c r="BO32">
        <v>0</v>
      </c>
      <c r="BP32">
        <v>0</v>
      </c>
      <c r="BQ32">
        <v>0</v>
      </c>
      <c r="BR32">
        <v>0</v>
      </c>
      <c r="BS32">
        <v>0</v>
      </c>
      <c r="BT32">
        <v>0</v>
      </c>
      <c r="BU32">
        <v>0</v>
      </c>
      <c r="BV32">
        <v>0</v>
      </c>
      <c r="BW32">
        <v>0</v>
      </c>
      <c r="CU32">
        <f>ROUND(AT32*Source!I67*AH32*AL32,2)</f>
        <v>0</v>
      </c>
      <c r="CV32">
        <f>ROUND(Y32*Source!I67,9)</f>
        <v>8.7050000000000001</v>
      </c>
      <c r="CW32">
        <v>0</v>
      </c>
      <c r="CX32">
        <f>ROUND(Y32*Source!I67,9)</f>
        <v>8.7050000000000001</v>
      </c>
      <c r="CY32">
        <f>AD32</f>
        <v>0</v>
      </c>
      <c r="CZ32">
        <f>AH32</f>
        <v>0</v>
      </c>
      <c r="DA32">
        <f>AL32</f>
        <v>1</v>
      </c>
      <c r="DB32">
        <f t="shared" si="1"/>
        <v>0</v>
      </c>
      <c r="DC32">
        <f t="shared" si="2"/>
        <v>0</v>
      </c>
      <c r="DD32" t="s">
        <v>3</v>
      </c>
      <c r="DE32" t="s">
        <v>3</v>
      </c>
      <c r="DF32">
        <f t="shared" si="3"/>
        <v>0</v>
      </c>
      <c r="DG32">
        <f t="shared" si="4"/>
        <v>0</v>
      </c>
      <c r="DH32">
        <f t="shared" si="5"/>
        <v>0</v>
      </c>
      <c r="DI32">
        <f t="shared" si="6"/>
        <v>0</v>
      </c>
      <c r="DJ32">
        <f>DI32</f>
        <v>0</v>
      </c>
      <c r="DK32">
        <v>0</v>
      </c>
      <c r="DL32" t="s">
        <v>3</v>
      </c>
      <c r="DM32">
        <v>0</v>
      </c>
      <c r="DN32" t="s">
        <v>3</v>
      </c>
      <c r="DO32">
        <v>0</v>
      </c>
    </row>
    <row r="33" spans="1:119" x14ac:dyDescent="0.2">
      <c r="A33">
        <f>ROW(Source!A67)</f>
        <v>67</v>
      </c>
      <c r="B33">
        <v>75703152</v>
      </c>
      <c r="C33">
        <v>75702976</v>
      </c>
      <c r="D33">
        <v>75386789</v>
      </c>
      <c r="E33">
        <v>39</v>
      </c>
      <c r="F33">
        <v>1</v>
      </c>
      <c r="G33">
        <v>39</v>
      </c>
      <c r="H33">
        <v>3</v>
      </c>
      <c r="I33" t="s">
        <v>173</v>
      </c>
      <c r="J33" t="s">
        <v>3</v>
      </c>
      <c r="K33" t="s">
        <v>174</v>
      </c>
      <c r="L33">
        <v>1348</v>
      </c>
      <c r="N33">
        <v>1009</v>
      </c>
      <c r="O33" t="s">
        <v>116</v>
      </c>
      <c r="P33" t="s">
        <v>116</v>
      </c>
      <c r="Q33">
        <v>1000</v>
      </c>
      <c r="W33">
        <v>0</v>
      </c>
      <c r="X33">
        <v>1489638031</v>
      </c>
      <c r="Y33">
        <f t="shared" si="0"/>
        <v>1.02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1</v>
      </c>
      <c r="AJ33">
        <v>1</v>
      </c>
      <c r="AK33">
        <v>1</v>
      </c>
      <c r="AL33">
        <v>1</v>
      </c>
      <c r="AM33">
        <v>-2</v>
      </c>
      <c r="AN33">
        <v>0</v>
      </c>
      <c r="AO33">
        <v>1</v>
      </c>
      <c r="AP33">
        <v>0</v>
      </c>
      <c r="AQ33">
        <v>0</v>
      </c>
      <c r="AR33">
        <v>0</v>
      </c>
      <c r="AS33" t="s">
        <v>3</v>
      </c>
      <c r="AT33">
        <v>1.02</v>
      </c>
      <c r="AU33" t="s">
        <v>3</v>
      </c>
      <c r="AV33">
        <v>0</v>
      </c>
      <c r="AW33">
        <v>2</v>
      </c>
      <c r="AX33">
        <v>75703126</v>
      </c>
      <c r="AY33">
        <v>1</v>
      </c>
      <c r="AZ33">
        <v>0</v>
      </c>
      <c r="BA33">
        <v>33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0</v>
      </c>
      <c r="BI33">
        <v>0</v>
      </c>
      <c r="BJ33">
        <v>0</v>
      </c>
      <c r="BK33">
        <v>0</v>
      </c>
      <c r="BL33">
        <v>0</v>
      </c>
      <c r="BM33">
        <v>0</v>
      </c>
      <c r="BN33">
        <v>0</v>
      </c>
      <c r="BO33">
        <v>0</v>
      </c>
      <c r="BP33">
        <v>0</v>
      </c>
      <c r="BQ33">
        <v>0</v>
      </c>
      <c r="BR33">
        <v>0</v>
      </c>
      <c r="BS33">
        <v>0</v>
      </c>
      <c r="BT33">
        <v>0</v>
      </c>
      <c r="BU33">
        <v>0</v>
      </c>
      <c r="BV33">
        <v>0</v>
      </c>
      <c r="BW33">
        <v>0</v>
      </c>
      <c r="CV33">
        <v>0</v>
      </c>
      <c r="CW33">
        <v>0</v>
      </c>
      <c r="CX33">
        <f>ROUND(Y33*Source!I67,9)</f>
        <v>0.51</v>
      </c>
      <c r="CY33">
        <f>AA33</f>
        <v>0</v>
      </c>
      <c r="CZ33">
        <f>AE33</f>
        <v>0</v>
      </c>
      <c r="DA33">
        <f>AI33</f>
        <v>1</v>
      </c>
      <c r="DB33">
        <f t="shared" si="1"/>
        <v>0</v>
      </c>
      <c r="DC33">
        <f t="shared" si="2"/>
        <v>0</v>
      </c>
      <c r="DD33" t="s">
        <v>3</v>
      </c>
      <c r="DE33" t="s">
        <v>3</v>
      </c>
      <c r="DF33">
        <f t="shared" ref="DF33:DF57" si="15">ROUND(ROUND(AE33,2)*CX33,2)</f>
        <v>0</v>
      </c>
      <c r="DG33">
        <f t="shared" ref="DG33:DG57" si="16">ROUND(ROUND(AF33,2)*CX33,2)</f>
        <v>0</v>
      </c>
      <c r="DH33">
        <f t="shared" ref="DH33:DH57" si="17">ROUND(ROUND(AG33,2)*CX33,2)</f>
        <v>0</v>
      </c>
      <c r="DI33">
        <f t="shared" ref="DI33:DI57" si="18">ROUND(ROUND(AH33,2)*CX33,2)</f>
        <v>0</v>
      </c>
      <c r="DJ33">
        <f>DF33</f>
        <v>0</v>
      </c>
      <c r="DK33">
        <v>0</v>
      </c>
      <c r="DL33" t="s">
        <v>3</v>
      </c>
      <c r="DM33">
        <v>0</v>
      </c>
      <c r="DN33" t="s">
        <v>3</v>
      </c>
      <c r="DO33">
        <v>0</v>
      </c>
    </row>
    <row r="34" spans="1:119" x14ac:dyDescent="0.2">
      <c r="A34">
        <f>ROW(Source!A68)</f>
        <v>68</v>
      </c>
      <c r="B34">
        <v>75703152</v>
      </c>
      <c r="C34">
        <v>75702981</v>
      </c>
      <c r="D34">
        <v>75386788</v>
      </c>
      <c r="E34">
        <v>39</v>
      </c>
      <c r="F34">
        <v>1</v>
      </c>
      <c r="G34">
        <v>39</v>
      </c>
      <c r="H34">
        <v>1</v>
      </c>
      <c r="I34" t="s">
        <v>134</v>
      </c>
      <c r="J34" t="s">
        <v>3</v>
      </c>
      <c r="K34" t="s">
        <v>135</v>
      </c>
      <c r="L34">
        <v>1191</v>
      </c>
      <c r="N34">
        <v>1013</v>
      </c>
      <c r="O34" t="s">
        <v>136</v>
      </c>
      <c r="P34" t="s">
        <v>136</v>
      </c>
      <c r="Q34">
        <v>1</v>
      </c>
      <c r="W34">
        <v>0</v>
      </c>
      <c r="X34">
        <v>476480486</v>
      </c>
      <c r="Y34">
        <f t="shared" si="0"/>
        <v>24.6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1</v>
      </c>
      <c r="AJ34">
        <v>1</v>
      </c>
      <c r="AK34">
        <v>1</v>
      </c>
      <c r="AL34">
        <v>1</v>
      </c>
      <c r="AM34">
        <v>-2</v>
      </c>
      <c r="AN34">
        <v>0</v>
      </c>
      <c r="AO34">
        <v>1</v>
      </c>
      <c r="AP34">
        <v>0</v>
      </c>
      <c r="AQ34">
        <v>0</v>
      </c>
      <c r="AR34">
        <v>0</v>
      </c>
      <c r="AS34" t="s">
        <v>3</v>
      </c>
      <c r="AT34">
        <v>24.6</v>
      </c>
      <c r="AU34" t="s">
        <v>3</v>
      </c>
      <c r="AV34">
        <v>1</v>
      </c>
      <c r="AW34">
        <v>2</v>
      </c>
      <c r="AX34">
        <v>75703127</v>
      </c>
      <c r="AY34">
        <v>1</v>
      </c>
      <c r="AZ34">
        <v>0</v>
      </c>
      <c r="BA34">
        <v>34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0</v>
      </c>
      <c r="BI34">
        <v>0</v>
      </c>
      <c r="BJ34">
        <v>0</v>
      </c>
      <c r="BK34">
        <v>0</v>
      </c>
      <c r="BL34">
        <v>0</v>
      </c>
      <c r="BM34">
        <v>0</v>
      </c>
      <c r="BN34">
        <v>0</v>
      </c>
      <c r="BO34">
        <v>0</v>
      </c>
      <c r="BP34">
        <v>0</v>
      </c>
      <c r="BQ34">
        <v>0</v>
      </c>
      <c r="BR34">
        <v>0</v>
      </c>
      <c r="BS34">
        <v>0</v>
      </c>
      <c r="BT34">
        <v>0</v>
      </c>
      <c r="BU34">
        <v>0</v>
      </c>
      <c r="BV34">
        <v>0</v>
      </c>
      <c r="BW34">
        <v>0</v>
      </c>
      <c r="CU34">
        <f>ROUND(AT34*Source!I68*AH34*AL34,2)</f>
        <v>0</v>
      </c>
      <c r="CV34">
        <f>ROUND(Y34*Source!I68,9)</f>
        <v>3.69</v>
      </c>
      <c r="CW34">
        <v>0</v>
      </c>
      <c r="CX34">
        <f>ROUND(Y34*Source!I68,9)</f>
        <v>3.69</v>
      </c>
      <c r="CY34">
        <f>AD34</f>
        <v>0</v>
      </c>
      <c r="CZ34">
        <f>AH34</f>
        <v>0</v>
      </c>
      <c r="DA34">
        <f>AL34</f>
        <v>1</v>
      </c>
      <c r="DB34">
        <f t="shared" si="1"/>
        <v>0</v>
      </c>
      <c r="DC34">
        <f t="shared" si="2"/>
        <v>0</v>
      </c>
      <c r="DD34" t="s">
        <v>3</v>
      </c>
      <c r="DE34" t="s">
        <v>3</v>
      </c>
      <c r="DF34">
        <f t="shared" si="15"/>
        <v>0</v>
      </c>
      <c r="DG34">
        <f t="shared" si="16"/>
        <v>0</v>
      </c>
      <c r="DH34">
        <f t="shared" si="17"/>
        <v>0</v>
      </c>
      <c r="DI34">
        <f t="shared" si="18"/>
        <v>0</v>
      </c>
      <c r="DJ34">
        <f>DI34</f>
        <v>0</v>
      </c>
      <c r="DK34">
        <v>0</v>
      </c>
      <c r="DL34" t="s">
        <v>3</v>
      </c>
      <c r="DM34">
        <v>0</v>
      </c>
      <c r="DN34" t="s">
        <v>3</v>
      </c>
      <c r="DO34">
        <v>0</v>
      </c>
    </row>
    <row r="35" spans="1:119" x14ac:dyDescent="0.2">
      <c r="A35">
        <f>ROW(Source!A68)</f>
        <v>68</v>
      </c>
      <c r="B35">
        <v>75703152</v>
      </c>
      <c r="C35">
        <v>75702981</v>
      </c>
      <c r="D35">
        <v>75388083</v>
      </c>
      <c r="E35">
        <v>1</v>
      </c>
      <c r="F35">
        <v>1</v>
      </c>
      <c r="G35">
        <v>39</v>
      </c>
      <c r="H35">
        <v>2</v>
      </c>
      <c r="I35" t="s">
        <v>216</v>
      </c>
      <c r="J35" t="s">
        <v>217</v>
      </c>
      <c r="K35" t="s">
        <v>218</v>
      </c>
      <c r="L35">
        <v>1368</v>
      </c>
      <c r="N35">
        <v>1011</v>
      </c>
      <c r="O35" t="s">
        <v>140</v>
      </c>
      <c r="P35" t="s">
        <v>140</v>
      </c>
      <c r="Q35">
        <v>1</v>
      </c>
      <c r="W35">
        <v>0</v>
      </c>
      <c r="X35">
        <v>-1581238339</v>
      </c>
      <c r="Y35">
        <f t="shared" si="0"/>
        <v>10.4</v>
      </c>
      <c r="AA35">
        <v>0</v>
      </c>
      <c r="AB35">
        <v>12.14</v>
      </c>
      <c r="AC35">
        <v>7.0000000000000007E-2</v>
      </c>
      <c r="AD35">
        <v>0</v>
      </c>
      <c r="AE35">
        <v>0</v>
      </c>
      <c r="AF35">
        <v>12.14</v>
      </c>
      <c r="AG35">
        <v>7.0000000000000007E-2</v>
      </c>
      <c r="AH35">
        <v>0</v>
      </c>
      <c r="AI35">
        <v>1</v>
      </c>
      <c r="AJ35">
        <v>1</v>
      </c>
      <c r="AK35">
        <v>1</v>
      </c>
      <c r="AL35">
        <v>1</v>
      </c>
      <c r="AM35">
        <v>-2</v>
      </c>
      <c r="AN35">
        <v>0</v>
      </c>
      <c r="AO35">
        <v>1</v>
      </c>
      <c r="AP35">
        <v>0</v>
      </c>
      <c r="AQ35">
        <v>0</v>
      </c>
      <c r="AR35">
        <v>0</v>
      </c>
      <c r="AS35" t="s">
        <v>3</v>
      </c>
      <c r="AT35">
        <v>10.4</v>
      </c>
      <c r="AU35" t="s">
        <v>3</v>
      </c>
      <c r="AV35">
        <v>0</v>
      </c>
      <c r="AW35">
        <v>2</v>
      </c>
      <c r="AX35">
        <v>75703128</v>
      </c>
      <c r="AY35">
        <v>1</v>
      </c>
      <c r="AZ35">
        <v>0</v>
      </c>
      <c r="BA35">
        <v>35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0</v>
      </c>
      <c r="BI35">
        <v>0</v>
      </c>
      <c r="BJ35">
        <v>0</v>
      </c>
      <c r="BK35">
        <v>0</v>
      </c>
      <c r="BL35">
        <v>0</v>
      </c>
      <c r="BM35">
        <v>0</v>
      </c>
      <c r="BN35">
        <v>0</v>
      </c>
      <c r="BO35">
        <v>0</v>
      </c>
      <c r="BP35">
        <v>0</v>
      </c>
      <c r="BQ35">
        <v>0</v>
      </c>
      <c r="BR35">
        <v>0</v>
      </c>
      <c r="BS35">
        <v>0</v>
      </c>
      <c r="BT35">
        <v>0</v>
      </c>
      <c r="BU35">
        <v>0</v>
      </c>
      <c r="BV35">
        <v>0</v>
      </c>
      <c r="BW35">
        <v>0</v>
      </c>
      <c r="CV35">
        <v>0</v>
      </c>
      <c r="CW35">
        <f>ROUND(Y35*Source!I68*DO35,9)</f>
        <v>0</v>
      </c>
      <c r="CX35">
        <f>ROUND(Y35*Source!I68,9)</f>
        <v>1.56</v>
      </c>
      <c r="CY35">
        <f>AB35</f>
        <v>12.14</v>
      </c>
      <c r="CZ35">
        <f>AF35</f>
        <v>12.14</v>
      </c>
      <c r="DA35">
        <f>AJ35</f>
        <v>1</v>
      </c>
      <c r="DB35">
        <f t="shared" si="1"/>
        <v>126.26</v>
      </c>
      <c r="DC35">
        <f t="shared" si="2"/>
        <v>0.73</v>
      </c>
      <c r="DD35" t="s">
        <v>3</v>
      </c>
      <c r="DE35" t="s">
        <v>3</v>
      </c>
      <c r="DF35">
        <f t="shared" si="15"/>
        <v>0</v>
      </c>
      <c r="DG35">
        <f t="shared" si="16"/>
        <v>18.940000000000001</v>
      </c>
      <c r="DH35">
        <f t="shared" si="17"/>
        <v>0.11</v>
      </c>
      <c r="DI35">
        <f t="shared" si="18"/>
        <v>0</v>
      </c>
      <c r="DJ35">
        <f>DG35</f>
        <v>18.940000000000001</v>
      </c>
      <c r="DK35">
        <v>0</v>
      </c>
      <c r="DL35" t="s">
        <v>3</v>
      </c>
      <c r="DM35">
        <v>0</v>
      </c>
      <c r="DN35" t="s">
        <v>3</v>
      </c>
      <c r="DO35">
        <v>0</v>
      </c>
    </row>
    <row r="36" spans="1:119" x14ac:dyDescent="0.2">
      <c r="A36">
        <f>ROW(Source!A68)</f>
        <v>68</v>
      </c>
      <c r="B36">
        <v>75703152</v>
      </c>
      <c r="C36">
        <v>75702981</v>
      </c>
      <c r="D36">
        <v>75388548</v>
      </c>
      <c r="E36">
        <v>1</v>
      </c>
      <c r="F36">
        <v>1</v>
      </c>
      <c r="G36">
        <v>39</v>
      </c>
      <c r="H36">
        <v>2</v>
      </c>
      <c r="I36" t="s">
        <v>219</v>
      </c>
      <c r="J36" t="s">
        <v>220</v>
      </c>
      <c r="K36" t="s">
        <v>221</v>
      </c>
      <c r="L36">
        <v>1368</v>
      </c>
      <c r="N36">
        <v>1011</v>
      </c>
      <c r="O36" t="s">
        <v>140</v>
      </c>
      <c r="P36" t="s">
        <v>140</v>
      </c>
      <c r="Q36">
        <v>1</v>
      </c>
      <c r="W36">
        <v>0</v>
      </c>
      <c r="X36">
        <v>-1540904251</v>
      </c>
      <c r="Y36">
        <f t="shared" si="0"/>
        <v>10.4</v>
      </c>
      <c r="AA36">
        <v>0</v>
      </c>
      <c r="AB36">
        <v>6.09</v>
      </c>
      <c r="AC36">
        <v>0.02</v>
      </c>
      <c r="AD36">
        <v>0</v>
      </c>
      <c r="AE36">
        <v>0</v>
      </c>
      <c r="AF36">
        <v>6.09</v>
      </c>
      <c r="AG36">
        <v>0.02</v>
      </c>
      <c r="AH36">
        <v>0</v>
      </c>
      <c r="AI36">
        <v>1</v>
      </c>
      <c r="AJ36">
        <v>1</v>
      </c>
      <c r="AK36">
        <v>1</v>
      </c>
      <c r="AL36">
        <v>1</v>
      </c>
      <c r="AM36">
        <v>-2</v>
      </c>
      <c r="AN36">
        <v>0</v>
      </c>
      <c r="AO36">
        <v>1</v>
      </c>
      <c r="AP36">
        <v>0</v>
      </c>
      <c r="AQ36">
        <v>0</v>
      </c>
      <c r="AR36">
        <v>0</v>
      </c>
      <c r="AS36" t="s">
        <v>3</v>
      </c>
      <c r="AT36">
        <v>10.4</v>
      </c>
      <c r="AU36" t="s">
        <v>3</v>
      </c>
      <c r="AV36">
        <v>0</v>
      </c>
      <c r="AW36">
        <v>2</v>
      </c>
      <c r="AX36">
        <v>75703129</v>
      </c>
      <c r="AY36">
        <v>1</v>
      </c>
      <c r="AZ36">
        <v>0</v>
      </c>
      <c r="BA36">
        <v>36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0</v>
      </c>
      <c r="BK36">
        <v>0</v>
      </c>
      <c r="BL36">
        <v>0</v>
      </c>
      <c r="BM36">
        <v>0</v>
      </c>
      <c r="BN36">
        <v>0</v>
      </c>
      <c r="BO36">
        <v>0</v>
      </c>
      <c r="BP36">
        <v>0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0</v>
      </c>
      <c r="BW36">
        <v>0</v>
      </c>
      <c r="CV36">
        <v>0</v>
      </c>
      <c r="CW36">
        <f>ROUND(Y36*Source!I68*DO36,9)</f>
        <v>0</v>
      </c>
      <c r="CX36">
        <f>ROUND(Y36*Source!I68,9)</f>
        <v>1.56</v>
      </c>
      <c r="CY36">
        <f>AB36</f>
        <v>6.09</v>
      </c>
      <c r="CZ36">
        <f>AF36</f>
        <v>6.09</v>
      </c>
      <c r="DA36">
        <f>AJ36</f>
        <v>1</v>
      </c>
      <c r="DB36">
        <f t="shared" si="1"/>
        <v>63.34</v>
      </c>
      <c r="DC36">
        <f t="shared" si="2"/>
        <v>0.21</v>
      </c>
      <c r="DD36" t="s">
        <v>3</v>
      </c>
      <c r="DE36" t="s">
        <v>3</v>
      </c>
      <c r="DF36">
        <f t="shared" si="15"/>
        <v>0</v>
      </c>
      <c r="DG36">
        <f t="shared" si="16"/>
        <v>9.5</v>
      </c>
      <c r="DH36">
        <f t="shared" si="17"/>
        <v>0.03</v>
      </c>
      <c r="DI36">
        <f t="shared" si="18"/>
        <v>0</v>
      </c>
      <c r="DJ36">
        <f>DG36</f>
        <v>9.5</v>
      </c>
      <c r="DK36">
        <v>0</v>
      </c>
      <c r="DL36" t="s">
        <v>3</v>
      </c>
      <c r="DM36">
        <v>0</v>
      </c>
      <c r="DN36" t="s">
        <v>3</v>
      </c>
      <c r="DO36">
        <v>0</v>
      </c>
    </row>
    <row r="37" spans="1:119" x14ac:dyDescent="0.2">
      <c r="A37">
        <f>ROW(Source!A68)</f>
        <v>68</v>
      </c>
      <c r="B37">
        <v>75703152</v>
      </c>
      <c r="C37">
        <v>75702981</v>
      </c>
      <c r="D37">
        <v>75386789</v>
      </c>
      <c r="E37">
        <v>39</v>
      </c>
      <c r="F37">
        <v>1</v>
      </c>
      <c r="G37">
        <v>39</v>
      </c>
      <c r="H37">
        <v>3</v>
      </c>
      <c r="I37" t="s">
        <v>173</v>
      </c>
      <c r="J37" t="s">
        <v>3</v>
      </c>
      <c r="K37" t="s">
        <v>174</v>
      </c>
      <c r="L37">
        <v>1348</v>
      </c>
      <c r="N37">
        <v>1009</v>
      </c>
      <c r="O37" t="s">
        <v>116</v>
      </c>
      <c r="P37" t="s">
        <v>116</v>
      </c>
      <c r="Q37">
        <v>1000</v>
      </c>
      <c r="W37">
        <v>0</v>
      </c>
      <c r="X37">
        <v>1489638031</v>
      </c>
      <c r="Y37">
        <f t="shared" si="0"/>
        <v>6.6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1</v>
      </c>
      <c r="AJ37">
        <v>1</v>
      </c>
      <c r="AK37">
        <v>1</v>
      </c>
      <c r="AL37">
        <v>1</v>
      </c>
      <c r="AM37">
        <v>-2</v>
      </c>
      <c r="AN37">
        <v>0</v>
      </c>
      <c r="AO37">
        <v>1</v>
      </c>
      <c r="AP37">
        <v>0</v>
      </c>
      <c r="AQ37">
        <v>0</v>
      </c>
      <c r="AR37">
        <v>0</v>
      </c>
      <c r="AS37" t="s">
        <v>3</v>
      </c>
      <c r="AT37">
        <v>6.6</v>
      </c>
      <c r="AU37" t="s">
        <v>3</v>
      </c>
      <c r="AV37">
        <v>0</v>
      </c>
      <c r="AW37">
        <v>2</v>
      </c>
      <c r="AX37">
        <v>75703130</v>
      </c>
      <c r="AY37">
        <v>1</v>
      </c>
      <c r="AZ37">
        <v>0</v>
      </c>
      <c r="BA37">
        <v>37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0</v>
      </c>
      <c r="BI37">
        <v>0</v>
      </c>
      <c r="BJ37">
        <v>0</v>
      </c>
      <c r="BK37">
        <v>0</v>
      </c>
      <c r="BL37">
        <v>0</v>
      </c>
      <c r="BM37">
        <v>0</v>
      </c>
      <c r="BN37">
        <v>0</v>
      </c>
      <c r="BO37">
        <v>0</v>
      </c>
      <c r="BP37">
        <v>0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0</v>
      </c>
      <c r="BW37">
        <v>0</v>
      </c>
      <c r="CV37">
        <v>0</v>
      </c>
      <c r="CW37">
        <v>0</v>
      </c>
      <c r="CX37">
        <f>ROUND(Y37*Source!I68,9)</f>
        <v>0.99</v>
      </c>
      <c r="CY37">
        <f>AA37</f>
        <v>0</v>
      </c>
      <c r="CZ37">
        <f>AE37</f>
        <v>0</v>
      </c>
      <c r="DA37">
        <f>AI37</f>
        <v>1</v>
      </c>
      <c r="DB37">
        <f t="shared" si="1"/>
        <v>0</v>
      </c>
      <c r="DC37">
        <f t="shared" si="2"/>
        <v>0</v>
      </c>
      <c r="DD37" t="s">
        <v>3</v>
      </c>
      <c r="DE37" t="s">
        <v>3</v>
      </c>
      <c r="DF37">
        <f t="shared" si="15"/>
        <v>0</v>
      </c>
      <c r="DG37">
        <f t="shared" si="16"/>
        <v>0</v>
      </c>
      <c r="DH37">
        <f t="shared" si="17"/>
        <v>0</v>
      </c>
      <c r="DI37">
        <f t="shared" si="18"/>
        <v>0</v>
      </c>
      <c r="DJ37">
        <f>DF37</f>
        <v>0</v>
      </c>
      <c r="DK37">
        <v>0</v>
      </c>
      <c r="DL37" t="s">
        <v>3</v>
      </c>
      <c r="DM37">
        <v>0</v>
      </c>
      <c r="DN37" t="s">
        <v>3</v>
      </c>
      <c r="DO37">
        <v>0</v>
      </c>
    </row>
    <row r="38" spans="1:119" x14ac:dyDescent="0.2">
      <c r="A38">
        <f>ROW(Source!A69)</f>
        <v>69</v>
      </c>
      <c r="B38">
        <v>75703152</v>
      </c>
      <c r="C38">
        <v>75702990</v>
      </c>
      <c r="D38">
        <v>75386788</v>
      </c>
      <c r="E38">
        <v>39</v>
      </c>
      <c r="F38">
        <v>1</v>
      </c>
      <c r="G38">
        <v>39</v>
      </c>
      <c r="H38">
        <v>1</v>
      </c>
      <c r="I38" t="s">
        <v>134</v>
      </c>
      <c r="J38" t="s">
        <v>3</v>
      </c>
      <c r="K38" t="s">
        <v>135</v>
      </c>
      <c r="L38">
        <v>1191</v>
      </c>
      <c r="N38">
        <v>1013</v>
      </c>
      <c r="O38" t="s">
        <v>136</v>
      </c>
      <c r="P38" t="s">
        <v>136</v>
      </c>
      <c r="Q38">
        <v>1</v>
      </c>
      <c r="W38">
        <v>0</v>
      </c>
      <c r="X38">
        <v>476480486</v>
      </c>
      <c r="Y38">
        <f t="shared" si="0"/>
        <v>27.94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1</v>
      </c>
      <c r="AJ38">
        <v>1</v>
      </c>
      <c r="AK38">
        <v>1</v>
      </c>
      <c r="AL38">
        <v>1</v>
      </c>
      <c r="AM38">
        <v>-2</v>
      </c>
      <c r="AN38">
        <v>0</v>
      </c>
      <c r="AO38">
        <v>1</v>
      </c>
      <c r="AP38">
        <v>0</v>
      </c>
      <c r="AQ38">
        <v>0</v>
      </c>
      <c r="AR38">
        <v>0</v>
      </c>
      <c r="AS38" t="s">
        <v>3</v>
      </c>
      <c r="AT38">
        <v>27.94</v>
      </c>
      <c r="AU38" t="s">
        <v>3</v>
      </c>
      <c r="AV38">
        <v>1</v>
      </c>
      <c r="AW38">
        <v>2</v>
      </c>
      <c r="AX38">
        <v>75703131</v>
      </c>
      <c r="AY38">
        <v>1</v>
      </c>
      <c r="AZ38">
        <v>0</v>
      </c>
      <c r="BA38">
        <v>38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0</v>
      </c>
      <c r="BI38">
        <v>0</v>
      </c>
      <c r="BJ38">
        <v>0</v>
      </c>
      <c r="BK38">
        <v>0</v>
      </c>
      <c r="BL38">
        <v>0</v>
      </c>
      <c r="BM38">
        <v>0</v>
      </c>
      <c r="BN38">
        <v>0</v>
      </c>
      <c r="BO38">
        <v>0</v>
      </c>
      <c r="BP38">
        <v>0</v>
      </c>
      <c r="BQ38">
        <v>0</v>
      </c>
      <c r="BR38">
        <v>0</v>
      </c>
      <c r="BS38">
        <v>0</v>
      </c>
      <c r="BT38">
        <v>0</v>
      </c>
      <c r="BU38">
        <v>0</v>
      </c>
      <c r="BV38">
        <v>0</v>
      </c>
      <c r="BW38">
        <v>0</v>
      </c>
      <c r="CU38">
        <f>ROUND(AT38*Source!I69*AH38*AL38,2)</f>
        <v>0</v>
      </c>
      <c r="CV38">
        <f>ROUND(Y38*Source!I69,9)</f>
        <v>4.1909999999999998</v>
      </c>
      <c r="CW38">
        <v>0</v>
      </c>
      <c r="CX38">
        <f>ROUND(Y38*Source!I69,9)</f>
        <v>4.1909999999999998</v>
      </c>
      <c r="CY38">
        <f>AD38</f>
        <v>0</v>
      </c>
      <c r="CZ38">
        <f>AH38</f>
        <v>0</v>
      </c>
      <c r="DA38">
        <f>AL38</f>
        <v>1</v>
      </c>
      <c r="DB38">
        <f t="shared" si="1"/>
        <v>0</v>
      </c>
      <c r="DC38">
        <f t="shared" si="2"/>
        <v>0</v>
      </c>
      <c r="DD38" t="s">
        <v>3</v>
      </c>
      <c r="DE38" t="s">
        <v>3</v>
      </c>
      <c r="DF38">
        <f t="shared" si="15"/>
        <v>0</v>
      </c>
      <c r="DG38">
        <f t="shared" si="16"/>
        <v>0</v>
      </c>
      <c r="DH38">
        <f t="shared" si="17"/>
        <v>0</v>
      </c>
      <c r="DI38">
        <f t="shared" si="18"/>
        <v>0</v>
      </c>
      <c r="DJ38">
        <f>DI38</f>
        <v>0</v>
      </c>
      <c r="DK38">
        <v>0</v>
      </c>
      <c r="DL38" t="s">
        <v>3</v>
      </c>
      <c r="DM38">
        <v>0</v>
      </c>
      <c r="DN38" t="s">
        <v>3</v>
      </c>
      <c r="DO38">
        <v>0</v>
      </c>
    </row>
    <row r="39" spans="1:119" x14ac:dyDescent="0.2">
      <c r="A39">
        <f>ROW(Source!A69)</f>
        <v>69</v>
      </c>
      <c r="B39">
        <v>75703152</v>
      </c>
      <c r="C39">
        <v>75702990</v>
      </c>
      <c r="D39">
        <v>75388101</v>
      </c>
      <c r="E39">
        <v>1</v>
      </c>
      <c r="F39">
        <v>1</v>
      </c>
      <c r="G39">
        <v>39</v>
      </c>
      <c r="H39">
        <v>2</v>
      </c>
      <c r="I39" t="s">
        <v>222</v>
      </c>
      <c r="J39" t="s">
        <v>223</v>
      </c>
      <c r="K39" t="s">
        <v>224</v>
      </c>
      <c r="L39">
        <v>1368</v>
      </c>
      <c r="N39">
        <v>1011</v>
      </c>
      <c r="O39" t="s">
        <v>140</v>
      </c>
      <c r="P39" t="s">
        <v>140</v>
      </c>
      <c r="Q39">
        <v>1</v>
      </c>
      <c r="W39">
        <v>0</v>
      </c>
      <c r="X39">
        <v>630374746</v>
      </c>
      <c r="Y39">
        <f t="shared" si="0"/>
        <v>2.86</v>
      </c>
      <c r="AA39">
        <v>0</v>
      </c>
      <c r="AB39">
        <v>135.65</v>
      </c>
      <c r="AC39">
        <v>33.54</v>
      </c>
      <c r="AD39">
        <v>0</v>
      </c>
      <c r="AE39">
        <v>0</v>
      </c>
      <c r="AF39">
        <v>135.65</v>
      </c>
      <c r="AG39">
        <v>33.54</v>
      </c>
      <c r="AH39">
        <v>0</v>
      </c>
      <c r="AI39">
        <v>1</v>
      </c>
      <c r="AJ39">
        <v>1</v>
      </c>
      <c r="AK39">
        <v>1</v>
      </c>
      <c r="AL39">
        <v>1</v>
      </c>
      <c r="AM39">
        <v>-2</v>
      </c>
      <c r="AN39">
        <v>0</v>
      </c>
      <c r="AO39">
        <v>1</v>
      </c>
      <c r="AP39">
        <v>0</v>
      </c>
      <c r="AQ39">
        <v>0</v>
      </c>
      <c r="AR39">
        <v>0</v>
      </c>
      <c r="AS39" t="s">
        <v>3</v>
      </c>
      <c r="AT39">
        <v>2.86</v>
      </c>
      <c r="AU39" t="s">
        <v>3</v>
      </c>
      <c r="AV39">
        <v>0</v>
      </c>
      <c r="AW39">
        <v>2</v>
      </c>
      <c r="AX39">
        <v>75703132</v>
      </c>
      <c r="AY39">
        <v>1</v>
      </c>
      <c r="AZ39">
        <v>0</v>
      </c>
      <c r="BA39">
        <v>39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0</v>
      </c>
      <c r="BI39">
        <v>0</v>
      </c>
      <c r="BJ39">
        <v>0</v>
      </c>
      <c r="BK39">
        <v>0</v>
      </c>
      <c r="BL39">
        <v>0</v>
      </c>
      <c r="BM39">
        <v>0</v>
      </c>
      <c r="BN39">
        <v>0</v>
      </c>
      <c r="BO39">
        <v>0</v>
      </c>
      <c r="BP39">
        <v>0</v>
      </c>
      <c r="BQ39">
        <v>0</v>
      </c>
      <c r="BR39">
        <v>0</v>
      </c>
      <c r="BS39">
        <v>0</v>
      </c>
      <c r="BT39">
        <v>0</v>
      </c>
      <c r="BU39">
        <v>0</v>
      </c>
      <c r="BV39">
        <v>0</v>
      </c>
      <c r="BW39">
        <v>0</v>
      </c>
      <c r="CV39">
        <v>0</v>
      </c>
      <c r="CW39">
        <f>ROUND(Y39*Source!I69*DO39,9)</f>
        <v>0</v>
      </c>
      <c r="CX39">
        <f>ROUND(Y39*Source!I69,9)</f>
        <v>0.42899999999999999</v>
      </c>
      <c r="CY39">
        <f>AB39</f>
        <v>135.65</v>
      </c>
      <c r="CZ39">
        <f>AF39</f>
        <v>135.65</v>
      </c>
      <c r="DA39">
        <f>AJ39</f>
        <v>1</v>
      </c>
      <c r="DB39">
        <f t="shared" si="1"/>
        <v>387.96</v>
      </c>
      <c r="DC39">
        <f t="shared" si="2"/>
        <v>95.92</v>
      </c>
      <c r="DD39" t="s">
        <v>3</v>
      </c>
      <c r="DE39" t="s">
        <v>3</v>
      </c>
      <c r="DF39">
        <f t="shared" si="15"/>
        <v>0</v>
      </c>
      <c r="DG39">
        <f t="shared" si="16"/>
        <v>58.19</v>
      </c>
      <c r="DH39">
        <f t="shared" si="17"/>
        <v>14.39</v>
      </c>
      <c r="DI39">
        <f t="shared" si="18"/>
        <v>0</v>
      </c>
      <c r="DJ39">
        <f>DG39</f>
        <v>58.19</v>
      </c>
      <c r="DK39">
        <v>0</v>
      </c>
      <c r="DL39" t="s">
        <v>3</v>
      </c>
      <c r="DM39">
        <v>0</v>
      </c>
      <c r="DN39" t="s">
        <v>3</v>
      </c>
      <c r="DO39">
        <v>0</v>
      </c>
    </row>
    <row r="40" spans="1:119" x14ac:dyDescent="0.2">
      <c r="A40">
        <f>ROW(Source!A69)</f>
        <v>69</v>
      </c>
      <c r="B40">
        <v>75703152</v>
      </c>
      <c r="C40">
        <v>75702990</v>
      </c>
      <c r="D40">
        <v>75390588</v>
      </c>
      <c r="E40">
        <v>1</v>
      </c>
      <c r="F40">
        <v>1</v>
      </c>
      <c r="G40">
        <v>39</v>
      </c>
      <c r="H40">
        <v>3</v>
      </c>
      <c r="I40" t="s">
        <v>197</v>
      </c>
      <c r="J40" t="s">
        <v>198</v>
      </c>
      <c r="K40" t="s">
        <v>199</v>
      </c>
      <c r="L40">
        <v>1339</v>
      </c>
      <c r="N40">
        <v>1007</v>
      </c>
      <c r="O40" t="s">
        <v>18</v>
      </c>
      <c r="P40" t="s">
        <v>18</v>
      </c>
      <c r="Q40">
        <v>1</v>
      </c>
      <c r="W40">
        <v>0</v>
      </c>
      <c r="X40">
        <v>973433911</v>
      </c>
      <c r="Y40">
        <f t="shared" si="0"/>
        <v>3.85</v>
      </c>
      <c r="AA40">
        <v>49.83</v>
      </c>
      <c r="AB40">
        <v>0</v>
      </c>
      <c r="AC40">
        <v>0</v>
      </c>
      <c r="AD40">
        <v>0</v>
      </c>
      <c r="AE40">
        <v>49.83</v>
      </c>
      <c r="AF40">
        <v>0</v>
      </c>
      <c r="AG40">
        <v>0</v>
      </c>
      <c r="AH40">
        <v>0</v>
      </c>
      <c r="AI40">
        <v>1</v>
      </c>
      <c r="AJ40">
        <v>1</v>
      </c>
      <c r="AK40">
        <v>1</v>
      </c>
      <c r="AL40">
        <v>1</v>
      </c>
      <c r="AM40">
        <v>-2</v>
      </c>
      <c r="AN40">
        <v>0</v>
      </c>
      <c r="AO40">
        <v>1</v>
      </c>
      <c r="AP40">
        <v>0</v>
      </c>
      <c r="AQ40">
        <v>0</v>
      </c>
      <c r="AR40">
        <v>0</v>
      </c>
      <c r="AS40" t="s">
        <v>3</v>
      </c>
      <c r="AT40">
        <v>3.85</v>
      </c>
      <c r="AU40" t="s">
        <v>3</v>
      </c>
      <c r="AV40">
        <v>0</v>
      </c>
      <c r="AW40">
        <v>2</v>
      </c>
      <c r="AX40">
        <v>75703133</v>
      </c>
      <c r="AY40">
        <v>1</v>
      </c>
      <c r="AZ40">
        <v>0</v>
      </c>
      <c r="BA40">
        <v>40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0</v>
      </c>
      <c r="BI40">
        <v>0</v>
      </c>
      <c r="BJ40">
        <v>0</v>
      </c>
      <c r="BK40">
        <v>0</v>
      </c>
      <c r="BL40">
        <v>0</v>
      </c>
      <c r="BM40">
        <v>0</v>
      </c>
      <c r="BN40">
        <v>0</v>
      </c>
      <c r="BO40">
        <v>0</v>
      </c>
      <c r="BP40">
        <v>0</v>
      </c>
      <c r="BQ40">
        <v>0</v>
      </c>
      <c r="BR40">
        <v>0</v>
      </c>
      <c r="BS40">
        <v>0</v>
      </c>
      <c r="BT40">
        <v>0</v>
      </c>
      <c r="BU40">
        <v>0</v>
      </c>
      <c r="BV40">
        <v>0</v>
      </c>
      <c r="BW40">
        <v>0</v>
      </c>
      <c r="CV40">
        <v>0</v>
      </c>
      <c r="CW40">
        <v>0</v>
      </c>
      <c r="CX40">
        <f>ROUND(Y40*Source!I69,9)</f>
        <v>0.57750000000000001</v>
      </c>
      <c r="CY40">
        <f>AA40</f>
        <v>49.83</v>
      </c>
      <c r="CZ40">
        <f>AE40</f>
        <v>49.83</v>
      </c>
      <c r="DA40">
        <f>AI40</f>
        <v>1</v>
      </c>
      <c r="DB40">
        <f t="shared" si="1"/>
        <v>191.85</v>
      </c>
      <c r="DC40">
        <f t="shared" si="2"/>
        <v>0</v>
      </c>
      <c r="DD40" t="s">
        <v>3</v>
      </c>
      <c r="DE40" t="s">
        <v>3</v>
      </c>
      <c r="DF40">
        <f t="shared" si="15"/>
        <v>28.78</v>
      </c>
      <c r="DG40">
        <f t="shared" si="16"/>
        <v>0</v>
      </c>
      <c r="DH40">
        <f t="shared" si="17"/>
        <v>0</v>
      </c>
      <c r="DI40">
        <f t="shared" si="18"/>
        <v>0</v>
      </c>
      <c r="DJ40">
        <f>DF40</f>
        <v>28.78</v>
      </c>
      <c r="DK40">
        <v>0</v>
      </c>
      <c r="DL40" t="s">
        <v>3</v>
      </c>
      <c r="DM40">
        <v>0</v>
      </c>
      <c r="DN40" t="s">
        <v>3</v>
      </c>
      <c r="DO40">
        <v>0</v>
      </c>
    </row>
    <row r="41" spans="1:119" x14ac:dyDescent="0.2">
      <c r="A41">
        <f>ROW(Source!A69)</f>
        <v>69</v>
      </c>
      <c r="B41">
        <v>75703152</v>
      </c>
      <c r="C41">
        <v>75702990</v>
      </c>
      <c r="D41">
        <v>75391666</v>
      </c>
      <c r="E41">
        <v>1</v>
      </c>
      <c r="F41">
        <v>1</v>
      </c>
      <c r="G41">
        <v>39</v>
      </c>
      <c r="H41">
        <v>3</v>
      </c>
      <c r="I41" t="s">
        <v>225</v>
      </c>
      <c r="J41" t="s">
        <v>226</v>
      </c>
      <c r="K41" t="s">
        <v>227</v>
      </c>
      <c r="L41">
        <v>1339</v>
      </c>
      <c r="N41">
        <v>1007</v>
      </c>
      <c r="O41" t="s">
        <v>18</v>
      </c>
      <c r="P41" t="s">
        <v>18</v>
      </c>
      <c r="Q41">
        <v>1</v>
      </c>
      <c r="W41">
        <v>0</v>
      </c>
      <c r="X41">
        <v>2035258603</v>
      </c>
      <c r="Y41">
        <f t="shared" si="0"/>
        <v>1.53</v>
      </c>
      <c r="AA41">
        <v>5192.1099999999997</v>
      </c>
      <c r="AB41">
        <v>0</v>
      </c>
      <c r="AC41">
        <v>0</v>
      </c>
      <c r="AD41">
        <v>0</v>
      </c>
      <c r="AE41">
        <v>5192.1099999999997</v>
      </c>
      <c r="AF41">
        <v>0</v>
      </c>
      <c r="AG41">
        <v>0</v>
      </c>
      <c r="AH41">
        <v>0</v>
      </c>
      <c r="AI41">
        <v>1</v>
      </c>
      <c r="AJ41">
        <v>1</v>
      </c>
      <c r="AK41">
        <v>1</v>
      </c>
      <c r="AL41">
        <v>1</v>
      </c>
      <c r="AM41">
        <v>-2</v>
      </c>
      <c r="AN41">
        <v>0</v>
      </c>
      <c r="AO41">
        <v>1</v>
      </c>
      <c r="AP41">
        <v>0</v>
      </c>
      <c r="AQ41">
        <v>0</v>
      </c>
      <c r="AR41">
        <v>0</v>
      </c>
      <c r="AS41" t="s">
        <v>3</v>
      </c>
      <c r="AT41">
        <v>1.53</v>
      </c>
      <c r="AU41" t="s">
        <v>3</v>
      </c>
      <c r="AV41">
        <v>0</v>
      </c>
      <c r="AW41">
        <v>2</v>
      </c>
      <c r="AX41">
        <v>75703134</v>
      </c>
      <c r="AY41">
        <v>1</v>
      </c>
      <c r="AZ41">
        <v>0</v>
      </c>
      <c r="BA41">
        <v>41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0</v>
      </c>
      <c r="BI41">
        <v>0</v>
      </c>
      <c r="BJ41">
        <v>0</v>
      </c>
      <c r="BK41">
        <v>0</v>
      </c>
      <c r="BL41">
        <v>0</v>
      </c>
      <c r="BM41">
        <v>0</v>
      </c>
      <c r="BN41">
        <v>0</v>
      </c>
      <c r="BO41">
        <v>0</v>
      </c>
      <c r="BP41">
        <v>0</v>
      </c>
      <c r="BQ41">
        <v>0</v>
      </c>
      <c r="BR41">
        <v>0</v>
      </c>
      <c r="BS41">
        <v>0</v>
      </c>
      <c r="BT41">
        <v>0</v>
      </c>
      <c r="BU41">
        <v>0</v>
      </c>
      <c r="BV41">
        <v>0</v>
      </c>
      <c r="BW41">
        <v>0</v>
      </c>
      <c r="CV41">
        <v>0</v>
      </c>
      <c r="CW41">
        <v>0</v>
      </c>
      <c r="CX41">
        <f>ROUND(Y41*Source!I69,9)</f>
        <v>0.22950000000000001</v>
      </c>
      <c r="CY41">
        <f>AA41</f>
        <v>5192.1099999999997</v>
      </c>
      <c r="CZ41">
        <f>AE41</f>
        <v>5192.1099999999997</v>
      </c>
      <c r="DA41">
        <f>AI41</f>
        <v>1</v>
      </c>
      <c r="DB41">
        <f t="shared" si="1"/>
        <v>7943.93</v>
      </c>
      <c r="DC41">
        <f t="shared" si="2"/>
        <v>0</v>
      </c>
      <c r="DD41" t="s">
        <v>3</v>
      </c>
      <c r="DE41" t="s">
        <v>3</v>
      </c>
      <c r="DF41">
        <f t="shared" si="15"/>
        <v>1191.5899999999999</v>
      </c>
      <c r="DG41">
        <f t="shared" si="16"/>
        <v>0</v>
      </c>
      <c r="DH41">
        <f t="shared" si="17"/>
        <v>0</v>
      </c>
      <c r="DI41">
        <f t="shared" si="18"/>
        <v>0</v>
      </c>
      <c r="DJ41">
        <f>DF41</f>
        <v>1191.5899999999999</v>
      </c>
      <c r="DK41">
        <v>0</v>
      </c>
      <c r="DL41" t="s">
        <v>3</v>
      </c>
      <c r="DM41">
        <v>0</v>
      </c>
      <c r="DN41" t="s">
        <v>3</v>
      </c>
      <c r="DO41">
        <v>0</v>
      </c>
    </row>
    <row r="42" spans="1:119" x14ac:dyDescent="0.2">
      <c r="A42">
        <f>ROW(Source!A70)</f>
        <v>70</v>
      </c>
      <c r="B42">
        <v>75703152</v>
      </c>
      <c r="C42">
        <v>75702999</v>
      </c>
      <c r="D42">
        <v>75386788</v>
      </c>
      <c r="E42">
        <v>39</v>
      </c>
      <c r="F42">
        <v>1</v>
      </c>
      <c r="G42">
        <v>39</v>
      </c>
      <c r="H42">
        <v>1</v>
      </c>
      <c r="I42" t="s">
        <v>134</v>
      </c>
      <c r="J42" t="s">
        <v>3</v>
      </c>
      <c r="K42" t="s">
        <v>135</v>
      </c>
      <c r="L42">
        <v>1191</v>
      </c>
      <c r="N42">
        <v>1013</v>
      </c>
      <c r="O42" t="s">
        <v>136</v>
      </c>
      <c r="P42" t="s">
        <v>136</v>
      </c>
      <c r="Q42">
        <v>1</v>
      </c>
      <c r="W42">
        <v>0</v>
      </c>
      <c r="X42">
        <v>476480486</v>
      </c>
      <c r="Y42">
        <f>(AT42*15)</f>
        <v>1.5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1</v>
      </c>
      <c r="AJ42">
        <v>1</v>
      </c>
      <c r="AK42">
        <v>1</v>
      </c>
      <c r="AL42">
        <v>1</v>
      </c>
      <c r="AM42">
        <v>-2</v>
      </c>
      <c r="AN42">
        <v>0</v>
      </c>
      <c r="AO42">
        <v>1</v>
      </c>
      <c r="AP42">
        <v>1</v>
      </c>
      <c r="AQ42">
        <v>0</v>
      </c>
      <c r="AR42">
        <v>0</v>
      </c>
      <c r="AS42" t="s">
        <v>3</v>
      </c>
      <c r="AT42">
        <v>0.1</v>
      </c>
      <c r="AU42" t="s">
        <v>107</v>
      </c>
      <c r="AV42">
        <v>1</v>
      </c>
      <c r="AW42">
        <v>2</v>
      </c>
      <c r="AX42">
        <v>75703135</v>
      </c>
      <c r="AY42">
        <v>1</v>
      </c>
      <c r="AZ42">
        <v>0</v>
      </c>
      <c r="BA42">
        <v>42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0</v>
      </c>
      <c r="BI42">
        <v>0</v>
      </c>
      <c r="BJ42">
        <v>0</v>
      </c>
      <c r="BK42">
        <v>0</v>
      </c>
      <c r="BL42">
        <v>0</v>
      </c>
      <c r="BM42">
        <v>0</v>
      </c>
      <c r="BN42">
        <v>0</v>
      </c>
      <c r="BO42">
        <v>0</v>
      </c>
      <c r="BP42">
        <v>0</v>
      </c>
      <c r="BQ42">
        <v>0</v>
      </c>
      <c r="BR42">
        <v>0</v>
      </c>
      <c r="BS42">
        <v>0</v>
      </c>
      <c r="BT42">
        <v>0</v>
      </c>
      <c r="BU42">
        <v>0</v>
      </c>
      <c r="BV42">
        <v>0</v>
      </c>
      <c r="BW42">
        <v>0</v>
      </c>
      <c r="CU42">
        <f>ROUND(AT42*Source!I70*AH42*AL42,2)</f>
        <v>0</v>
      </c>
      <c r="CV42">
        <f>ROUND(Y42*Source!I70,9)</f>
        <v>0.22500000000000001</v>
      </c>
      <c r="CW42">
        <v>0</v>
      </c>
      <c r="CX42">
        <f>ROUND(Y42*Source!I70,9)</f>
        <v>0.22500000000000001</v>
      </c>
      <c r="CY42">
        <f>AD42</f>
        <v>0</v>
      </c>
      <c r="CZ42">
        <f>AH42</f>
        <v>0</v>
      </c>
      <c r="DA42">
        <f>AL42</f>
        <v>1</v>
      </c>
      <c r="DB42">
        <f>ROUND((ROUND(AT42*CZ42,2)*15),6)</f>
        <v>0</v>
      </c>
      <c r="DC42">
        <f>ROUND((ROUND(AT42*AG42,2)*15),6)</f>
        <v>0</v>
      </c>
      <c r="DD42" t="s">
        <v>3</v>
      </c>
      <c r="DE42" t="s">
        <v>3</v>
      </c>
      <c r="DF42">
        <f t="shared" si="15"/>
        <v>0</v>
      </c>
      <c r="DG42">
        <f t="shared" si="16"/>
        <v>0</v>
      </c>
      <c r="DH42">
        <f t="shared" si="17"/>
        <v>0</v>
      </c>
      <c r="DI42">
        <f t="shared" si="18"/>
        <v>0</v>
      </c>
      <c r="DJ42">
        <f>DI42</f>
        <v>0</v>
      </c>
      <c r="DK42">
        <v>0</v>
      </c>
      <c r="DL42" t="s">
        <v>3</v>
      </c>
      <c r="DM42">
        <v>0</v>
      </c>
      <c r="DN42" t="s">
        <v>3</v>
      </c>
      <c r="DO42">
        <v>0</v>
      </c>
    </row>
    <row r="43" spans="1:119" x14ac:dyDescent="0.2">
      <c r="A43">
        <f>ROW(Source!A70)</f>
        <v>70</v>
      </c>
      <c r="B43">
        <v>75703152</v>
      </c>
      <c r="C43">
        <v>75702999</v>
      </c>
      <c r="D43">
        <v>75391666</v>
      </c>
      <c r="E43">
        <v>1</v>
      </c>
      <c r="F43">
        <v>1</v>
      </c>
      <c r="G43">
        <v>39</v>
      </c>
      <c r="H43">
        <v>3</v>
      </c>
      <c r="I43" t="s">
        <v>225</v>
      </c>
      <c r="J43" t="s">
        <v>226</v>
      </c>
      <c r="K43" t="s">
        <v>227</v>
      </c>
      <c r="L43">
        <v>1339</v>
      </c>
      <c r="N43">
        <v>1007</v>
      </c>
      <c r="O43" t="s">
        <v>18</v>
      </c>
      <c r="P43" t="s">
        <v>18</v>
      </c>
      <c r="Q43">
        <v>1</v>
      </c>
      <c r="W43">
        <v>0</v>
      </c>
      <c r="X43">
        <v>2035258603</v>
      </c>
      <c r="Y43">
        <f>(AT43*15)</f>
        <v>1.5299999999999998</v>
      </c>
      <c r="AA43">
        <v>5192.1099999999997</v>
      </c>
      <c r="AB43">
        <v>0</v>
      </c>
      <c r="AC43">
        <v>0</v>
      </c>
      <c r="AD43">
        <v>0</v>
      </c>
      <c r="AE43">
        <v>5192.1099999999997</v>
      </c>
      <c r="AF43">
        <v>0</v>
      </c>
      <c r="AG43">
        <v>0</v>
      </c>
      <c r="AH43">
        <v>0</v>
      </c>
      <c r="AI43">
        <v>1</v>
      </c>
      <c r="AJ43">
        <v>1</v>
      </c>
      <c r="AK43">
        <v>1</v>
      </c>
      <c r="AL43">
        <v>1</v>
      </c>
      <c r="AM43">
        <v>-2</v>
      </c>
      <c r="AN43">
        <v>0</v>
      </c>
      <c r="AO43">
        <v>1</v>
      </c>
      <c r="AP43">
        <v>1</v>
      </c>
      <c r="AQ43">
        <v>0</v>
      </c>
      <c r="AR43">
        <v>0</v>
      </c>
      <c r="AS43" t="s">
        <v>3</v>
      </c>
      <c r="AT43">
        <v>0.10199999999999999</v>
      </c>
      <c r="AU43" t="s">
        <v>107</v>
      </c>
      <c r="AV43">
        <v>0</v>
      </c>
      <c r="AW43">
        <v>2</v>
      </c>
      <c r="AX43">
        <v>75703136</v>
      </c>
      <c r="AY43">
        <v>1</v>
      </c>
      <c r="AZ43">
        <v>0</v>
      </c>
      <c r="BA43">
        <v>43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0</v>
      </c>
      <c r="BI43">
        <v>0</v>
      </c>
      <c r="BJ43">
        <v>0</v>
      </c>
      <c r="BK43">
        <v>0</v>
      </c>
      <c r="BL43">
        <v>0</v>
      </c>
      <c r="BM43">
        <v>0</v>
      </c>
      <c r="BN43">
        <v>0</v>
      </c>
      <c r="BO43">
        <v>0</v>
      </c>
      <c r="BP43">
        <v>0</v>
      </c>
      <c r="BQ43">
        <v>0</v>
      </c>
      <c r="BR43">
        <v>0</v>
      </c>
      <c r="BS43">
        <v>0</v>
      </c>
      <c r="BT43">
        <v>0</v>
      </c>
      <c r="BU43">
        <v>0</v>
      </c>
      <c r="BV43">
        <v>0</v>
      </c>
      <c r="BW43">
        <v>0</v>
      </c>
      <c r="CV43">
        <v>0</v>
      </c>
      <c r="CW43">
        <v>0</v>
      </c>
      <c r="CX43">
        <f>ROUND(Y43*Source!I70,9)</f>
        <v>0.22950000000000001</v>
      </c>
      <c r="CY43">
        <f>AA43</f>
        <v>5192.1099999999997</v>
      </c>
      <c r="CZ43">
        <f>AE43</f>
        <v>5192.1099999999997</v>
      </c>
      <c r="DA43">
        <f>AI43</f>
        <v>1</v>
      </c>
      <c r="DB43">
        <f>ROUND((ROUND(AT43*CZ43,2)*15),6)</f>
        <v>7944</v>
      </c>
      <c r="DC43">
        <f>ROUND((ROUND(AT43*AG43,2)*15),6)</f>
        <v>0</v>
      </c>
      <c r="DD43" t="s">
        <v>3</v>
      </c>
      <c r="DE43" t="s">
        <v>3</v>
      </c>
      <c r="DF43">
        <f t="shared" si="15"/>
        <v>1191.5899999999999</v>
      </c>
      <c r="DG43">
        <f t="shared" si="16"/>
        <v>0</v>
      </c>
      <c r="DH43">
        <f t="shared" si="17"/>
        <v>0</v>
      </c>
      <c r="DI43">
        <f t="shared" si="18"/>
        <v>0</v>
      </c>
      <c r="DJ43">
        <f>DF43</f>
        <v>1191.5899999999999</v>
      </c>
      <c r="DK43">
        <v>0</v>
      </c>
      <c r="DL43" t="s">
        <v>3</v>
      </c>
      <c r="DM43">
        <v>0</v>
      </c>
      <c r="DN43" t="s">
        <v>3</v>
      </c>
      <c r="DO43">
        <v>0</v>
      </c>
    </row>
    <row r="44" spans="1:119" x14ac:dyDescent="0.2">
      <c r="A44">
        <f>ROW(Source!A71)</f>
        <v>71</v>
      </c>
      <c r="B44">
        <v>75703152</v>
      </c>
      <c r="C44">
        <v>75703004</v>
      </c>
      <c r="D44">
        <v>75386788</v>
      </c>
      <c r="E44">
        <v>39</v>
      </c>
      <c r="F44">
        <v>1</v>
      </c>
      <c r="G44">
        <v>39</v>
      </c>
      <c r="H44">
        <v>1</v>
      </c>
      <c r="I44" t="s">
        <v>134</v>
      </c>
      <c r="J44" t="s">
        <v>3</v>
      </c>
      <c r="K44" t="s">
        <v>135</v>
      </c>
      <c r="L44">
        <v>1191</v>
      </c>
      <c r="N44">
        <v>1013</v>
      </c>
      <c r="O44" t="s">
        <v>136</v>
      </c>
      <c r="P44" t="s">
        <v>136</v>
      </c>
      <c r="Q44">
        <v>1</v>
      </c>
      <c r="W44">
        <v>0</v>
      </c>
      <c r="X44">
        <v>476480486</v>
      </c>
      <c r="Y44">
        <f t="shared" ref="Y44:Y55" si="19">AT44</f>
        <v>60.95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1</v>
      </c>
      <c r="AJ44">
        <v>1</v>
      </c>
      <c r="AK44">
        <v>1</v>
      </c>
      <c r="AL44">
        <v>1</v>
      </c>
      <c r="AM44">
        <v>-2</v>
      </c>
      <c r="AN44">
        <v>0</v>
      </c>
      <c r="AO44">
        <v>1</v>
      </c>
      <c r="AP44">
        <v>0</v>
      </c>
      <c r="AQ44">
        <v>0</v>
      </c>
      <c r="AR44">
        <v>0</v>
      </c>
      <c r="AS44" t="s">
        <v>3</v>
      </c>
      <c r="AT44">
        <v>60.95</v>
      </c>
      <c r="AU44" t="s">
        <v>3</v>
      </c>
      <c r="AV44">
        <v>1</v>
      </c>
      <c r="AW44">
        <v>2</v>
      </c>
      <c r="AX44">
        <v>75703137</v>
      </c>
      <c r="AY44">
        <v>1</v>
      </c>
      <c r="AZ44">
        <v>0</v>
      </c>
      <c r="BA44">
        <v>44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0</v>
      </c>
      <c r="BI44">
        <v>0</v>
      </c>
      <c r="BJ44">
        <v>0</v>
      </c>
      <c r="BK44">
        <v>0</v>
      </c>
      <c r="BL44">
        <v>0</v>
      </c>
      <c r="BM44">
        <v>0</v>
      </c>
      <c r="BN44">
        <v>0</v>
      </c>
      <c r="BO44">
        <v>0</v>
      </c>
      <c r="BP44">
        <v>0</v>
      </c>
      <c r="BQ44">
        <v>0</v>
      </c>
      <c r="BR44">
        <v>0</v>
      </c>
      <c r="BS44">
        <v>0</v>
      </c>
      <c r="BT44">
        <v>0</v>
      </c>
      <c r="BU44">
        <v>0</v>
      </c>
      <c r="BV44">
        <v>0</v>
      </c>
      <c r="BW44">
        <v>0</v>
      </c>
      <c r="CU44">
        <f>ROUND(AT44*Source!I71*AH44*AL44,2)</f>
        <v>0</v>
      </c>
      <c r="CV44">
        <f>ROUND(Y44*Source!I71,9)</f>
        <v>30.475000000000001</v>
      </c>
      <c r="CW44">
        <v>0</v>
      </c>
      <c r="CX44">
        <f>ROUND(Y44*Source!I71,9)</f>
        <v>30.475000000000001</v>
      </c>
      <c r="CY44">
        <f>AD44</f>
        <v>0</v>
      </c>
      <c r="CZ44">
        <f>AH44</f>
        <v>0</v>
      </c>
      <c r="DA44">
        <f>AL44</f>
        <v>1</v>
      </c>
      <c r="DB44">
        <f t="shared" ref="DB44:DB55" si="20">ROUND(ROUND(AT44*CZ44,2),6)</f>
        <v>0</v>
      </c>
      <c r="DC44">
        <f t="shared" ref="DC44:DC55" si="21">ROUND(ROUND(AT44*AG44,2),6)</f>
        <v>0</v>
      </c>
      <c r="DD44" t="s">
        <v>3</v>
      </c>
      <c r="DE44" t="s">
        <v>3</v>
      </c>
      <c r="DF44">
        <f t="shared" si="15"/>
        <v>0</v>
      </c>
      <c r="DG44">
        <f t="shared" si="16"/>
        <v>0</v>
      </c>
      <c r="DH44">
        <f t="shared" si="17"/>
        <v>0</v>
      </c>
      <c r="DI44">
        <f t="shared" si="18"/>
        <v>0</v>
      </c>
      <c r="DJ44">
        <f>DI44</f>
        <v>0</v>
      </c>
      <c r="DK44">
        <v>0</v>
      </c>
      <c r="DL44" t="s">
        <v>3</v>
      </c>
      <c r="DM44">
        <v>0</v>
      </c>
      <c r="DN44" t="s">
        <v>3</v>
      </c>
      <c r="DO44">
        <v>0</v>
      </c>
    </row>
    <row r="45" spans="1:119" x14ac:dyDescent="0.2">
      <c r="A45">
        <f>ROW(Source!A71)</f>
        <v>71</v>
      </c>
      <c r="B45">
        <v>75703152</v>
      </c>
      <c r="C45">
        <v>75703004</v>
      </c>
      <c r="D45">
        <v>75388071</v>
      </c>
      <c r="E45">
        <v>1</v>
      </c>
      <c r="F45">
        <v>1</v>
      </c>
      <c r="G45">
        <v>39</v>
      </c>
      <c r="H45">
        <v>2</v>
      </c>
      <c r="I45" t="s">
        <v>228</v>
      </c>
      <c r="J45" t="s">
        <v>229</v>
      </c>
      <c r="K45" t="s">
        <v>230</v>
      </c>
      <c r="L45">
        <v>1368</v>
      </c>
      <c r="N45">
        <v>1011</v>
      </c>
      <c r="O45" t="s">
        <v>140</v>
      </c>
      <c r="P45" t="s">
        <v>140</v>
      </c>
      <c r="Q45">
        <v>1</v>
      </c>
      <c r="W45">
        <v>0</v>
      </c>
      <c r="X45">
        <v>-829216341</v>
      </c>
      <c r="Y45">
        <f t="shared" si="19"/>
        <v>4.5199999999999996</v>
      </c>
      <c r="AA45">
        <v>0</v>
      </c>
      <c r="AB45">
        <v>1465.49</v>
      </c>
      <c r="AC45">
        <v>827.04</v>
      </c>
      <c r="AD45">
        <v>0</v>
      </c>
      <c r="AE45">
        <v>0</v>
      </c>
      <c r="AF45">
        <v>1465.49</v>
      </c>
      <c r="AG45">
        <v>827.04</v>
      </c>
      <c r="AH45">
        <v>0</v>
      </c>
      <c r="AI45">
        <v>1</v>
      </c>
      <c r="AJ45">
        <v>1</v>
      </c>
      <c r="AK45">
        <v>1</v>
      </c>
      <c r="AL45">
        <v>1</v>
      </c>
      <c r="AM45">
        <v>-2</v>
      </c>
      <c r="AN45">
        <v>0</v>
      </c>
      <c r="AO45">
        <v>1</v>
      </c>
      <c r="AP45">
        <v>0</v>
      </c>
      <c r="AQ45">
        <v>0</v>
      </c>
      <c r="AR45">
        <v>0</v>
      </c>
      <c r="AS45" t="s">
        <v>3</v>
      </c>
      <c r="AT45">
        <v>4.5199999999999996</v>
      </c>
      <c r="AU45" t="s">
        <v>3</v>
      </c>
      <c r="AV45">
        <v>0</v>
      </c>
      <c r="AW45">
        <v>2</v>
      </c>
      <c r="AX45">
        <v>75703138</v>
      </c>
      <c r="AY45">
        <v>1</v>
      </c>
      <c r="AZ45">
        <v>0</v>
      </c>
      <c r="BA45">
        <v>45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0</v>
      </c>
      <c r="BI45">
        <v>0</v>
      </c>
      <c r="BJ45">
        <v>0</v>
      </c>
      <c r="BK45">
        <v>0</v>
      </c>
      <c r="BL45">
        <v>0</v>
      </c>
      <c r="BM45">
        <v>0</v>
      </c>
      <c r="BN45">
        <v>0</v>
      </c>
      <c r="BO45">
        <v>0</v>
      </c>
      <c r="BP45">
        <v>0</v>
      </c>
      <c r="BQ45">
        <v>0</v>
      </c>
      <c r="BR45">
        <v>0</v>
      </c>
      <c r="BS45">
        <v>0</v>
      </c>
      <c r="BT45">
        <v>0</v>
      </c>
      <c r="BU45">
        <v>0</v>
      </c>
      <c r="BV45">
        <v>0</v>
      </c>
      <c r="BW45">
        <v>0</v>
      </c>
      <c r="CV45">
        <v>0</v>
      </c>
      <c r="CW45">
        <f>ROUND(Y45*Source!I71*DO45,9)</f>
        <v>0</v>
      </c>
      <c r="CX45">
        <f>ROUND(Y45*Source!I71,9)</f>
        <v>2.2599999999999998</v>
      </c>
      <c r="CY45">
        <f>AB45</f>
        <v>1465.49</v>
      </c>
      <c r="CZ45">
        <f>AF45</f>
        <v>1465.49</v>
      </c>
      <c r="DA45">
        <f>AJ45</f>
        <v>1</v>
      </c>
      <c r="DB45">
        <f t="shared" si="20"/>
        <v>6624.01</v>
      </c>
      <c r="DC45">
        <f t="shared" si="21"/>
        <v>3738.22</v>
      </c>
      <c r="DD45" t="s">
        <v>3</v>
      </c>
      <c r="DE45" t="s">
        <v>3</v>
      </c>
      <c r="DF45">
        <f t="shared" si="15"/>
        <v>0</v>
      </c>
      <c r="DG45">
        <f t="shared" si="16"/>
        <v>3312.01</v>
      </c>
      <c r="DH45">
        <f t="shared" si="17"/>
        <v>1869.11</v>
      </c>
      <c r="DI45">
        <f t="shared" si="18"/>
        <v>0</v>
      </c>
      <c r="DJ45">
        <f>DG45</f>
        <v>3312.01</v>
      </c>
      <c r="DK45">
        <v>0</v>
      </c>
      <c r="DL45" t="s">
        <v>3</v>
      </c>
      <c r="DM45">
        <v>0</v>
      </c>
      <c r="DN45" t="s">
        <v>3</v>
      </c>
      <c r="DO45">
        <v>0</v>
      </c>
    </row>
    <row r="46" spans="1:119" x14ac:dyDescent="0.2">
      <c r="A46">
        <f>ROW(Source!A71)</f>
        <v>71</v>
      </c>
      <c r="B46">
        <v>75703152</v>
      </c>
      <c r="C46">
        <v>75703004</v>
      </c>
      <c r="D46">
        <v>75388182</v>
      </c>
      <c r="E46">
        <v>1</v>
      </c>
      <c r="F46">
        <v>1</v>
      </c>
      <c r="G46">
        <v>39</v>
      </c>
      <c r="H46">
        <v>2</v>
      </c>
      <c r="I46" t="s">
        <v>231</v>
      </c>
      <c r="J46" t="s">
        <v>232</v>
      </c>
      <c r="K46" t="s">
        <v>233</v>
      </c>
      <c r="L46">
        <v>1368</v>
      </c>
      <c r="N46">
        <v>1011</v>
      </c>
      <c r="O46" t="s">
        <v>140</v>
      </c>
      <c r="P46" t="s">
        <v>140</v>
      </c>
      <c r="Q46">
        <v>1</v>
      </c>
      <c r="W46">
        <v>0</v>
      </c>
      <c r="X46">
        <v>64700738</v>
      </c>
      <c r="Y46">
        <f t="shared" si="19"/>
        <v>4.5199999999999996</v>
      </c>
      <c r="AA46">
        <v>0</v>
      </c>
      <c r="AB46">
        <v>56.19</v>
      </c>
      <c r="AC46">
        <v>0.31</v>
      </c>
      <c r="AD46">
        <v>0</v>
      </c>
      <c r="AE46">
        <v>0</v>
      </c>
      <c r="AF46">
        <v>56.19</v>
      </c>
      <c r="AG46">
        <v>0.31</v>
      </c>
      <c r="AH46">
        <v>0</v>
      </c>
      <c r="AI46">
        <v>1</v>
      </c>
      <c r="AJ46">
        <v>1</v>
      </c>
      <c r="AK46">
        <v>1</v>
      </c>
      <c r="AL46">
        <v>1</v>
      </c>
      <c r="AM46">
        <v>-2</v>
      </c>
      <c r="AN46">
        <v>0</v>
      </c>
      <c r="AO46">
        <v>1</v>
      </c>
      <c r="AP46">
        <v>0</v>
      </c>
      <c r="AQ46">
        <v>0</v>
      </c>
      <c r="AR46">
        <v>0</v>
      </c>
      <c r="AS46" t="s">
        <v>3</v>
      </c>
      <c r="AT46">
        <v>4.5199999999999996</v>
      </c>
      <c r="AU46" t="s">
        <v>3</v>
      </c>
      <c r="AV46">
        <v>0</v>
      </c>
      <c r="AW46">
        <v>2</v>
      </c>
      <c r="AX46">
        <v>75703139</v>
      </c>
      <c r="AY46">
        <v>1</v>
      </c>
      <c r="AZ46">
        <v>0</v>
      </c>
      <c r="BA46">
        <v>46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0</v>
      </c>
      <c r="BI46">
        <v>0</v>
      </c>
      <c r="BJ46">
        <v>0</v>
      </c>
      <c r="BK46">
        <v>0</v>
      </c>
      <c r="BL46">
        <v>0</v>
      </c>
      <c r="BM46">
        <v>0</v>
      </c>
      <c r="BN46">
        <v>0</v>
      </c>
      <c r="BO46">
        <v>0</v>
      </c>
      <c r="BP46">
        <v>0</v>
      </c>
      <c r="BQ46">
        <v>0</v>
      </c>
      <c r="BR46">
        <v>0</v>
      </c>
      <c r="BS46">
        <v>0</v>
      </c>
      <c r="BT46">
        <v>0</v>
      </c>
      <c r="BU46">
        <v>0</v>
      </c>
      <c r="BV46">
        <v>0</v>
      </c>
      <c r="BW46">
        <v>0</v>
      </c>
      <c r="CV46">
        <v>0</v>
      </c>
      <c r="CW46">
        <f>ROUND(Y46*Source!I71*DO46,9)</f>
        <v>0</v>
      </c>
      <c r="CX46">
        <f>ROUND(Y46*Source!I71,9)</f>
        <v>2.2599999999999998</v>
      </c>
      <c r="CY46">
        <f>AB46</f>
        <v>56.19</v>
      </c>
      <c r="CZ46">
        <f>AF46</f>
        <v>56.19</v>
      </c>
      <c r="DA46">
        <f>AJ46</f>
        <v>1</v>
      </c>
      <c r="DB46">
        <f t="shared" si="20"/>
        <v>253.98</v>
      </c>
      <c r="DC46">
        <f t="shared" si="21"/>
        <v>1.4</v>
      </c>
      <c r="DD46" t="s">
        <v>3</v>
      </c>
      <c r="DE46" t="s">
        <v>3</v>
      </c>
      <c r="DF46">
        <f t="shared" si="15"/>
        <v>0</v>
      </c>
      <c r="DG46">
        <f t="shared" si="16"/>
        <v>126.99</v>
      </c>
      <c r="DH46">
        <f t="shared" si="17"/>
        <v>0.7</v>
      </c>
      <c r="DI46">
        <f t="shared" si="18"/>
        <v>0</v>
      </c>
      <c r="DJ46">
        <f>DG46</f>
        <v>126.99</v>
      </c>
      <c r="DK46">
        <v>0</v>
      </c>
      <c r="DL46" t="s">
        <v>3</v>
      </c>
      <c r="DM46">
        <v>0</v>
      </c>
      <c r="DN46" t="s">
        <v>3</v>
      </c>
      <c r="DO46">
        <v>0</v>
      </c>
    </row>
    <row r="47" spans="1:119" x14ac:dyDescent="0.2">
      <c r="A47">
        <f>ROW(Source!A71)</f>
        <v>71</v>
      </c>
      <c r="B47">
        <v>75703152</v>
      </c>
      <c r="C47">
        <v>75703004</v>
      </c>
      <c r="D47">
        <v>75388258</v>
      </c>
      <c r="E47">
        <v>1</v>
      </c>
      <c r="F47">
        <v>1</v>
      </c>
      <c r="G47">
        <v>39</v>
      </c>
      <c r="H47">
        <v>2</v>
      </c>
      <c r="I47" t="s">
        <v>234</v>
      </c>
      <c r="J47" t="s">
        <v>235</v>
      </c>
      <c r="K47" t="s">
        <v>236</v>
      </c>
      <c r="L47">
        <v>1368</v>
      </c>
      <c r="N47">
        <v>1011</v>
      </c>
      <c r="O47" t="s">
        <v>140</v>
      </c>
      <c r="P47" t="s">
        <v>140</v>
      </c>
      <c r="Q47">
        <v>1</v>
      </c>
      <c r="W47">
        <v>0</v>
      </c>
      <c r="X47">
        <v>1548580198</v>
      </c>
      <c r="Y47">
        <f t="shared" si="19"/>
        <v>3.62</v>
      </c>
      <c r="AA47">
        <v>0</v>
      </c>
      <c r="AB47">
        <v>76.53</v>
      </c>
      <c r="AC47">
        <v>0.12</v>
      </c>
      <c r="AD47">
        <v>0</v>
      </c>
      <c r="AE47">
        <v>0</v>
      </c>
      <c r="AF47">
        <v>76.53</v>
      </c>
      <c r="AG47">
        <v>0.12</v>
      </c>
      <c r="AH47">
        <v>0</v>
      </c>
      <c r="AI47">
        <v>1</v>
      </c>
      <c r="AJ47">
        <v>1</v>
      </c>
      <c r="AK47">
        <v>1</v>
      </c>
      <c r="AL47">
        <v>1</v>
      </c>
      <c r="AM47">
        <v>-2</v>
      </c>
      <c r="AN47">
        <v>0</v>
      </c>
      <c r="AO47">
        <v>1</v>
      </c>
      <c r="AP47">
        <v>0</v>
      </c>
      <c r="AQ47">
        <v>0</v>
      </c>
      <c r="AR47">
        <v>0</v>
      </c>
      <c r="AS47" t="s">
        <v>3</v>
      </c>
      <c r="AT47">
        <v>3.62</v>
      </c>
      <c r="AU47" t="s">
        <v>3</v>
      </c>
      <c r="AV47">
        <v>0</v>
      </c>
      <c r="AW47">
        <v>2</v>
      </c>
      <c r="AX47">
        <v>75703140</v>
      </c>
      <c r="AY47">
        <v>1</v>
      </c>
      <c r="AZ47">
        <v>0</v>
      </c>
      <c r="BA47">
        <v>47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0</v>
      </c>
      <c r="BI47">
        <v>0</v>
      </c>
      <c r="BJ47">
        <v>0</v>
      </c>
      <c r="BK47">
        <v>0</v>
      </c>
      <c r="BL47">
        <v>0</v>
      </c>
      <c r="BM47">
        <v>0</v>
      </c>
      <c r="BN47">
        <v>0</v>
      </c>
      <c r="BO47">
        <v>0</v>
      </c>
      <c r="BP47">
        <v>0</v>
      </c>
      <c r="BQ47">
        <v>0</v>
      </c>
      <c r="BR47">
        <v>0</v>
      </c>
      <c r="BS47">
        <v>0</v>
      </c>
      <c r="BT47">
        <v>0</v>
      </c>
      <c r="BU47">
        <v>0</v>
      </c>
      <c r="BV47">
        <v>0</v>
      </c>
      <c r="BW47">
        <v>0</v>
      </c>
      <c r="CV47">
        <v>0</v>
      </c>
      <c r="CW47">
        <f>ROUND(Y47*Source!I71*DO47,9)</f>
        <v>0</v>
      </c>
      <c r="CX47">
        <f>ROUND(Y47*Source!I71,9)</f>
        <v>1.81</v>
      </c>
      <c r="CY47">
        <f>AB47</f>
        <v>76.53</v>
      </c>
      <c r="CZ47">
        <f>AF47</f>
        <v>76.53</v>
      </c>
      <c r="DA47">
        <f>AJ47</f>
        <v>1</v>
      </c>
      <c r="DB47">
        <f t="shared" si="20"/>
        <v>277.04000000000002</v>
      </c>
      <c r="DC47">
        <f t="shared" si="21"/>
        <v>0.43</v>
      </c>
      <c r="DD47" t="s">
        <v>3</v>
      </c>
      <c r="DE47" t="s">
        <v>3</v>
      </c>
      <c r="DF47">
        <f t="shared" si="15"/>
        <v>0</v>
      </c>
      <c r="DG47">
        <f t="shared" si="16"/>
        <v>138.52000000000001</v>
      </c>
      <c r="DH47">
        <f t="shared" si="17"/>
        <v>0.22</v>
      </c>
      <c r="DI47">
        <f t="shared" si="18"/>
        <v>0</v>
      </c>
      <c r="DJ47">
        <f>DG47</f>
        <v>138.52000000000001</v>
      </c>
      <c r="DK47">
        <v>0</v>
      </c>
      <c r="DL47" t="s">
        <v>3</v>
      </c>
      <c r="DM47">
        <v>0</v>
      </c>
      <c r="DN47" t="s">
        <v>3</v>
      </c>
      <c r="DO47">
        <v>0</v>
      </c>
    </row>
    <row r="48" spans="1:119" x14ac:dyDescent="0.2">
      <c r="A48">
        <f>ROW(Source!A71)</f>
        <v>71</v>
      </c>
      <c r="B48">
        <v>75703152</v>
      </c>
      <c r="C48">
        <v>75703004</v>
      </c>
      <c r="D48">
        <v>75388259</v>
      </c>
      <c r="E48">
        <v>1</v>
      </c>
      <c r="F48">
        <v>1</v>
      </c>
      <c r="G48">
        <v>39</v>
      </c>
      <c r="H48">
        <v>2</v>
      </c>
      <c r="I48" t="s">
        <v>237</v>
      </c>
      <c r="J48" t="s">
        <v>238</v>
      </c>
      <c r="K48" t="s">
        <v>239</v>
      </c>
      <c r="L48">
        <v>1368</v>
      </c>
      <c r="N48">
        <v>1011</v>
      </c>
      <c r="O48" t="s">
        <v>140</v>
      </c>
      <c r="P48" t="s">
        <v>140</v>
      </c>
      <c r="Q48">
        <v>1</v>
      </c>
      <c r="W48">
        <v>0</v>
      </c>
      <c r="X48">
        <v>-983302307</v>
      </c>
      <c r="Y48">
        <f t="shared" si="19"/>
        <v>14.98</v>
      </c>
      <c r="AA48">
        <v>0</v>
      </c>
      <c r="AB48">
        <v>9.56</v>
      </c>
      <c r="AC48">
        <v>5.82</v>
      </c>
      <c r="AD48">
        <v>0</v>
      </c>
      <c r="AE48">
        <v>0</v>
      </c>
      <c r="AF48">
        <v>9.56</v>
      </c>
      <c r="AG48">
        <v>5.82</v>
      </c>
      <c r="AH48">
        <v>0</v>
      </c>
      <c r="AI48">
        <v>1</v>
      </c>
      <c r="AJ48">
        <v>1</v>
      </c>
      <c r="AK48">
        <v>1</v>
      </c>
      <c r="AL48">
        <v>1</v>
      </c>
      <c r="AM48">
        <v>-2</v>
      </c>
      <c r="AN48">
        <v>0</v>
      </c>
      <c r="AO48">
        <v>1</v>
      </c>
      <c r="AP48">
        <v>0</v>
      </c>
      <c r="AQ48">
        <v>0</v>
      </c>
      <c r="AR48">
        <v>0</v>
      </c>
      <c r="AS48" t="s">
        <v>3</v>
      </c>
      <c r="AT48">
        <v>14.98</v>
      </c>
      <c r="AU48" t="s">
        <v>3</v>
      </c>
      <c r="AV48">
        <v>0</v>
      </c>
      <c r="AW48">
        <v>2</v>
      </c>
      <c r="AX48">
        <v>75703141</v>
      </c>
      <c r="AY48">
        <v>1</v>
      </c>
      <c r="AZ48">
        <v>0</v>
      </c>
      <c r="BA48">
        <v>48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0</v>
      </c>
      <c r="BI48">
        <v>0</v>
      </c>
      <c r="BJ48">
        <v>0</v>
      </c>
      <c r="BK48">
        <v>0</v>
      </c>
      <c r="BL48">
        <v>0</v>
      </c>
      <c r="BM48">
        <v>0</v>
      </c>
      <c r="BN48">
        <v>0</v>
      </c>
      <c r="BO48">
        <v>0</v>
      </c>
      <c r="BP48">
        <v>0</v>
      </c>
      <c r="BQ48">
        <v>0</v>
      </c>
      <c r="BR48">
        <v>0</v>
      </c>
      <c r="BS48">
        <v>0</v>
      </c>
      <c r="BT48">
        <v>0</v>
      </c>
      <c r="BU48">
        <v>0</v>
      </c>
      <c r="BV48">
        <v>0</v>
      </c>
      <c r="BW48">
        <v>0</v>
      </c>
      <c r="CV48">
        <v>0</v>
      </c>
      <c r="CW48">
        <f>ROUND(Y48*Source!I71*DO48,9)</f>
        <v>0</v>
      </c>
      <c r="CX48">
        <f>ROUND(Y48*Source!I71,9)</f>
        <v>7.49</v>
      </c>
      <c r="CY48">
        <f>AB48</f>
        <v>9.56</v>
      </c>
      <c r="CZ48">
        <f>AF48</f>
        <v>9.56</v>
      </c>
      <c r="DA48">
        <f>AJ48</f>
        <v>1</v>
      </c>
      <c r="DB48">
        <f t="shared" si="20"/>
        <v>143.21</v>
      </c>
      <c r="DC48">
        <f t="shared" si="21"/>
        <v>87.18</v>
      </c>
      <c r="DD48" t="s">
        <v>3</v>
      </c>
      <c r="DE48" t="s">
        <v>3</v>
      </c>
      <c r="DF48">
        <f t="shared" si="15"/>
        <v>0</v>
      </c>
      <c r="DG48">
        <f t="shared" si="16"/>
        <v>71.599999999999994</v>
      </c>
      <c r="DH48">
        <f t="shared" si="17"/>
        <v>43.59</v>
      </c>
      <c r="DI48">
        <f t="shared" si="18"/>
        <v>0</v>
      </c>
      <c r="DJ48">
        <f>DG48</f>
        <v>71.599999999999994</v>
      </c>
      <c r="DK48">
        <v>0</v>
      </c>
      <c r="DL48" t="s">
        <v>3</v>
      </c>
      <c r="DM48">
        <v>0</v>
      </c>
      <c r="DN48" t="s">
        <v>3</v>
      </c>
      <c r="DO48">
        <v>0</v>
      </c>
    </row>
    <row r="49" spans="1:119" x14ac:dyDescent="0.2">
      <c r="A49">
        <f>ROW(Source!A71)</f>
        <v>71</v>
      </c>
      <c r="B49">
        <v>75703152</v>
      </c>
      <c r="C49">
        <v>75703004</v>
      </c>
      <c r="D49">
        <v>75388665</v>
      </c>
      <c r="E49">
        <v>1</v>
      </c>
      <c r="F49">
        <v>1</v>
      </c>
      <c r="G49">
        <v>39</v>
      </c>
      <c r="H49">
        <v>3</v>
      </c>
      <c r="I49" t="s">
        <v>240</v>
      </c>
      <c r="J49" t="s">
        <v>241</v>
      </c>
      <c r="K49" t="s">
        <v>242</v>
      </c>
      <c r="L49">
        <v>1348</v>
      </c>
      <c r="N49">
        <v>1009</v>
      </c>
      <c r="O49" t="s">
        <v>116</v>
      </c>
      <c r="P49" t="s">
        <v>116</v>
      </c>
      <c r="Q49">
        <v>1000</v>
      </c>
      <c r="W49">
        <v>0</v>
      </c>
      <c r="X49">
        <v>445982593</v>
      </c>
      <c r="Y49">
        <f t="shared" si="19"/>
        <v>3.5000000000000003E-2</v>
      </c>
      <c r="AA49">
        <v>129600.01</v>
      </c>
      <c r="AB49">
        <v>0</v>
      </c>
      <c r="AC49">
        <v>0</v>
      </c>
      <c r="AD49">
        <v>0</v>
      </c>
      <c r="AE49">
        <v>129600.01</v>
      </c>
      <c r="AF49">
        <v>0</v>
      </c>
      <c r="AG49">
        <v>0</v>
      </c>
      <c r="AH49">
        <v>0</v>
      </c>
      <c r="AI49">
        <v>1</v>
      </c>
      <c r="AJ49">
        <v>1</v>
      </c>
      <c r="AK49">
        <v>1</v>
      </c>
      <c r="AL49">
        <v>1</v>
      </c>
      <c r="AM49">
        <v>-2</v>
      </c>
      <c r="AN49">
        <v>0</v>
      </c>
      <c r="AO49">
        <v>1</v>
      </c>
      <c r="AP49">
        <v>0</v>
      </c>
      <c r="AQ49">
        <v>0</v>
      </c>
      <c r="AR49">
        <v>0</v>
      </c>
      <c r="AS49" t="s">
        <v>3</v>
      </c>
      <c r="AT49">
        <v>3.5000000000000003E-2</v>
      </c>
      <c r="AU49" t="s">
        <v>3</v>
      </c>
      <c r="AV49">
        <v>0</v>
      </c>
      <c r="AW49">
        <v>2</v>
      </c>
      <c r="AX49">
        <v>75703142</v>
      </c>
      <c r="AY49">
        <v>1</v>
      </c>
      <c r="AZ49">
        <v>0</v>
      </c>
      <c r="BA49">
        <v>49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0</v>
      </c>
      <c r="BI49">
        <v>0</v>
      </c>
      <c r="BJ49">
        <v>0</v>
      </c>
      <c r="BK49">
        <v>0</v>
      </c>
      <c r="BL49">
        <v>0</v>
      </c>
      <c r="BM49">
        <v>0</v>
      </c>
      <c r="BN49">
        <v>0</v>
      </c>
      <c r="BO49">
        <v>0</v>
      </c>
      <c r="BP49">
        <v>0</v>
      </c>
      <c r="BQ49">
        <v>0</v>
      </c>
      <c r="BR49">
        <v>0</v>
      </c>
      <c r="BS49">
        <v>0</v>
      </c>
      <c r="BT49">
        <v>0</v>
      </c>
      <c r="BU49">
        <v>0</v>
      </c>
      <c r="BV49">
        <v>0</v>
      </c>
      <c r="BW49">
        <v>0</v>
      </c>
      <c r="CV49">
        <v>0</v>
      </c>
      <c r="CW49">
        <v>0</v>
      </c>
      <c r="CX49">
        <f>ROUND(Y49*Source!I71,9)</f>
        <v>1.7500000000000002E-2</v>
      </c>
      <c r="CY49">
        <f>AA49</f>
        <v>129600.01</v>
      </c>
      <c r="CZ49">
        <f>AE49</f>
        <v>129600.01</v>
      </c>
      <c r="DA49">
        <f>AI49</f>
        <v>1</v>
      </c>
      <c r="DB49">
        <f t="shared" si="20"/>
        <v>4536</v>
      </c>
      <c r="DC49">
        <f t="shared" si="21"/>
        <v>0</v>
      </c>
      <c r="DD49" t="s">
        <v>3</v>
      </c>
      <c r="DE49" t="s">
        <v>3</v>
      </c>
      <c r="DF49">
        <f t="shared" si="15"/>
        <v>2268</v>
      </c>
      <c r="DG49">
        <f t="shared" si="16"/>
        <v>0</v>
      </c>
      <c r="DH49">
        <f t="shared" si="17"/>
        <v>0</v>
      </c>
      <c r="DI49">
        <f t="shared" si="18"/>
        <v>0</v>
      </c>
      <c r="DJ49">
        <f>DF49</f>
        <v>2268</v>
      </c>
      <c r="DK49">
        <v>0</v>
      </c>
      <c r="DL49" t="s">
        <v>3</v>
      </c>
      <c r="DM49">
        <v>0</v>
      </c>
      <c r="DN49" t="s">
        <v>3</v>
      </c>
      <c r="DO49">
        <v>0</v>
      </c>
    </row>
    <row r="50" spans="1:119" x14ac:dyDescent="0.2">
      <c r="A50">
        <f>ROW(Source!A71)</f>
        <v>71</v>
      </c>
      <c r="B50">
        <v>75703152</v>
      </c>
      <c r="C50">
        <v>75703004</v>
      </c>
      <c r="D50">
        <v>75388812</v>
      </c>
      <c r="E50">
        <v>1</v>
      </c>
      <c r="F50">
        <v>1</v>
      </c>
      <c r="G50">
        <v>39</v>
      </c>
      <c r="H50">
        <v>3</v>
      </c>
      <c r="I50" t="s">
        <v>243</v>
      </c>
      <c r="J50" t="s">
        <v>244</v>
      </c>
      <c r="K50" t="s">
        <v>245</v>
      </c>
      <c r="L50">
        <v>1327</v>
      </c>
      <c r="N50">
        <v>1005</v>
      </c>
      <c r="O50" t="s">
        <v>169</v>
      </c>
      <c r="P50" t="s">
        <v>169</v>
      </c>
      <c r="Q50">
        <v>1</v>
      </c>
      <c r="W50">
        <v>0</v>
      </c>
      <c r="X50">
        <v>1660649221</v>
      </c>
      <c r="Y50">
        <f t="shared" si="19"/>
        <v>135</v>
      </c>
      <c r="AA50">
        <v>315.89</v>
      </c>
      <c r="AB50">
        <v>0</v>
      </c>
      <c r="AC50">
        <v>0</v>
      </c>
      <c r="AD50">
        <v>0</v>
      </c>
      <c r="AE50">
        <v>315.89</v>
      </c>
      <c r="AF50">
        <v>0</v>
      </c>
      <c r="AG50">
        <v>0</v>
      </c>
      <c r="AH50">
        <v>0</v>
      </c>
      <c r="AI50">
        <v>1</v>
      </c>
      <c r="AJ50">
        <v>1</v>
      </c>
      <c r="AK50">
        <v>1</v>
      </c>
      <c r="AL50">
        <v>1</v>
      </c>
      <c r="AM50">
        <v>-2</v>
      </c>
      <c r="AN50">
        <v>0</v>
      </c>
      <c r="AO50">
        <v>1</v>
      </c>
      <c r="AP50">
        <v>0</v>
      </c>
      <c r="AQ50">
        <v>0</v>
      </c>
      <c r="AR50">
        <v>0</v>
      </c>
      <c r="AS50" t="s">
        <v>3</v>
      </c>
      <c r="AT50">
        <v>135</v>
      </c>
      <c r="AU50" t="s">
        <v>3</v>
      </c>
      <c r="AV50">
        <v>0</v>
      </c>
      <c r="AW50">
        <v>2</v>
      </c>
      <c r="AX50">
        <v>75703143</v>
      </c>
      <c r="AY50">
        <v>1</v>
      </c>
      <c r="AZ50">
        <v>0</v>
      </c>
      <c r="BA50">
        <v>50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0</v>
      </c>
      <c r="BI50">
        <v>0</v>
      </c>
      <c r="BJ50">
        <v>0</v>
      </c>
      <c r="BK50">
        <v>0</v>
      </c>
      <c r="BL50">
        <v>0</v>
      </c>
      <c r="BM50">
        <v>0</v>
      </c>
      <c r="BN50">
        <v>0</v>
      </c>
      <c r="BO50">
        <v>0</v>
      </c>
      <c r="BP50">
        <v>0</v>
      </c>
      <c r="BQ50">
        <v>0</v>
      </c>
      <c r="BR50">
        <v>0</v>
      </c>
      <c r="BS50">
        <v>0</v>
      </c>
      <c r="BT50">
        <v>0</v>
      </c>
      <c r="BU50">
        <v>0</v>
      </c>
      <c r="BV50">
        <v>0</v>
      </c>
      <c r="BW50">
        <v>0</v>
      </c>
      <c r="CV50">
        <v>0</v>
      </c>
      <c r="CW50">
        <v>0</v>
      </c>
      <c r="CX50">
        <f>ROUND(Y50*Source!I71,9)</f>
        <v>67.5</v>
      </c>
      <c r="CY50">
        <f>AA50</f>
        <v>315.89</v>
      </c>
      <c r="CZ50">
        <f>AE50</f>
        <v>315.89</v>
      </c>
      <c r="DA50">
        <f>AI50</f>
        <v>1</v>
      </c>
      <c r="DB50">
        <f t="shared" si="20"/>
        <v>42645.15</v>
      </c>
      <c r="DC50">
        <f t="shared" si="21"/>
        <v>0</v>
      </c>
      <c r="DD50" t="s">
        <v>3</v>
      </c>
      <c r="DE50" t="s">
        <v>3</v>
      </c>
      <c r="DF50">
        <f t="shared" si="15"/>
        <v>21322.58</v>
      </c>
      <c r="DG50">
        <f t="shared" si="16"/>
        <v>0</v>
      </c>
      <c r="DH50">
        <f t="shared" si="17"/>
        <v>0</v>
      </c>
      <c r="DI50">
        <f t="shared" si="18"/>
        <v>0</v>
      </c>
      <c r="DJ50">
        <f>DF50</f>
        <v>21322.58</v>
      </c>
      <c r="DK50">
        <v>0</v>
      </c>
      <c r="DL50" t="s">
        <v>3</v>
      </c>
      <c r="DM50">
        <v>0</v>
      </c>
      <c r="DN50" t="s">
        <v>3</v>
      </c>
      <c r="DO50">
        <v>0</v>
      </c>
    </row>
    <row r="51" spans="1:119" x14ac:dyDescent="0.2">
      <c r="A51">
        <f>ROW(Source!A71)</f>
        <v>71</v>
      </c>
      <c r="B51">
        <v>75703152</v>
      </c>
      <c r="C51">
        <v>75703004</v>
      </c>
      <c r="D51">
        <v>75388813</v>
      </c>
      <c r="E51">
        <v>1</v>
      </c>
      <c r="F51">
        <v>1</v>
      </c>
      <c r="G51">
        <v>39</v>
      </c>
      <c r="H51">
        <v>3</v>
      </c>
      <c r="I51" t="s">
        <v>246</v>
      </c>
      <c r="J51" t="s">
        <v>247</v>
      </c>
      <c r="K51" t="s">
        <v>248</v>
      </c>
      <c r="L51">
        <v>1327</v>
      </c>
      <c r="N51">
        <v>1005</v>
      </c>
      <c r="O51" t="s">
        <v>169</v>
      </c>
      <c r="P51" t="s">
        <v>169</v>
      </c>
      <c r="Q51">
        <v>1</v>
      </c>
      <c r="W51">
        <v>0</v>
      </c>
      <c r="X51">
        <v>-616504056</v>
      </c>
      <c r="Y51">
        <f t="shared" si="19"/>
        <v>132.30000000000001</v>
      </c>
      <c r="AA51">
        <v>302.27999999999997</v>
      </c>
      <c r="AB51">
        <v>0</v>
      </c>
      <c r="AC51">
        <v>0</v>
      </c>
      <c r="AD51">
        <v>0</v>
      </c>
      <c r="AE51">
        <v>302.27999999999997</v>
      </c>
      <c r="AF51">
        <v>0</v>
      </c>
      <c r="AG51">
        <v>0</v>
      </c>
      <c r="AH51">
        <v>0</v>
      </c>
      <c r="AI51">
        <v>1</v>
      </c>
      <c r="AJ51">
        <v>1</v>
      </c>
      <c r="AK51">
        <v>1</v>
      </c>
      <c r="AL51">
        <v>1</v>
      </c>
      <c r="AM51">
        <v>-2</v>
      </c>
      <c r="AN51">
        <v>0</v>
      </c>
      <c r="AO51">
        <v>1</v>
      </c>
      <c r="AP51">
        <v>0</v>
      </c>
      <c r="AQ51">
        <v>0</v>
      </c>
      <c r="AR51">
        <v>0</v>
      </c>
      <c r="AS51" t="s">
        <v>3</v>
      </c>
      <c r="AT51">
        <v>132.30000000000001</v>
      </c>
      <c r="AU51" t="s">
        <v>3</v>
      </c>
      <c r="AV51">
        <v>0</v>
      </c>
      <c r="AW51">
        <v>2</v>
      </c>
      <c r="AX51">
        <v>75703144</v>
      </c>
      <c r="AY51">
        <v>1</v>
      </c>
      <c r="AZ51">
        <v>0</v>
      </c>
      <c r="BA51">
        <v>51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0</v>
      </c>
      <c r="BI51">
        <v>0</v>
      </c>
      <c r="BJ51">
        <v>0</v>
      </c>
      <c r="BK51">
        <v>0</v>
      </c>
      <c r="BL51">
        <v>0</v>
      </c>
      <c r="BM51">
        <v>0</v>
      </c>
      <c r="BN51">
        <v>0</v>
      </c>
      <c r="BO51">
        <v>0</v>
      </c>
      <c r="BP51">
        <v>0</v>
      </c>
      <c r="BQ51">
        <v>0</v>
      </c>
      <c r="BR51">
        <v>0</v>
      </c>
      <c r="BS51">
        <v>0</v>
      </c>
      <c r="BT51">
        <v>0</v>
      </c>
      <c r="BU51">
        <v>0</v>
      </c>
      <c r="BV51">
        <v>0</v>
      </c>
      <c r="BW51">
        <v>0</v>
      </c>
      <c r="CV51">
        <v>0</v>
      </c>
      <c r="CW51">
        <v>0</v>
      </c>
      <c r="CX51">
        <f>ROUND(Y51*Source!I71,9)</f>
        <v>66.150000000000006</v>
      </c>
      <c r="CY51">
        <f>AA51</f>
        <v>302.27999999999997</v>
      </c>
      <c r="CZ51">
        <f>AE51</f>
        <v>302.27999999999997</v>
      </c>
      <c r="DA51">
        <f>AI51</f>
        <v>1</v>
      </c>
      <c r="DB51">
        <f t="shared" si="20"/>
        <v>39991.64</v>
      </c>
      <c r="DC51">
        <f t="shared" si="21"/>
        <v>0</v>
      </c>
      <c r="DD51" t="s">
        <v>3</v>
      </c>
      <c r="DE51" t="s">
        <v>3</v>
      </c>
      <c r="DF51">
        <f t="shared" si="15"/>
        <v>19995.82</v>
      </c>
      <c r="DG51">
        <f t="shared" si="16"/>
        <v>0</v>
      </c>
      <c r="DH51">
        <f t="shared" si="17"/>
        <v>0</v>
      </c>
      <c r="DI51">
        <f t="shared" si="18"/>
        <v>0</v>
      </c>
      <c r="DJ51">
        <f>DF51</f>
        <v>19995.82</v>
      </c>
      <c r="DK51">
        <v>0</v>
      </c>
      <c r="DL51" t="s">
        <v>3</v>
      </c>
      <c r="DM51">
        <v>0</v>
      </c>
      <c r="DN51" t="s">
        <v>3</v>
      </c>
      <c r="DO51">
        <v>0</v>
      </c>
    </row>
    <row r="52" spans="1:119" x14ac:dyDescent="0.2">
      <c r="A52">
        <f>ROW(Source!A71)</f>
        <v>71</v>
      </c>
      <c r="B52">
        <v>75703152</v>
      </c>
      <c r="C52">
        <v>75703004</v>
      </c>
      <c r="D52">
        <v>75388872</v>
      </c>
      <c r="E52">
        <v>1</v>
      </c>
      <c r="F52">
        <v>1</v>
      </c>
      <c r="G52">
        <v>39</v>
      </c>
      <c r="H52">
        <v>3</v>
      </c>
      <c r="I52" t="s">
        <v>249</v>
      </c>
      <c r="J52" t="s">
        <v>250</v>
      </c>
      <c r="K52" t="s">
        <v>251</v>
      </c>
      <c r="L52">
        <v>1346</v>
      </c>
      <c r="N52">
        <v>1009</v>
      </c>
      <c r="O52" t="s">
        <v>196</v>
      </c>
      <c r="P52" t="s">
        <v>196</v>
      </c>
      <c r="Q52">
        <v>1</v>
      </c>
      <c r="W52">
        <v>0</v>
      </c>
      <c r="X52">
        <v>-1105174393</v>
      </c>
      <c r="Y52">
        <f t="shared" si="19"/>
        <v>6.9</v>
      </c>
      <c r="AA52">
        <v>68.540000000000006</v>
      </c>
      <c r="AB52">
        <v>0</v>
      </c>
      <c r="AC52">
        <v>0</v>
      </c>
      <c r="AD52">
        <v>0</v>
      </c>
      <c r="AE52">
        <v>68.540000000000006</v>
      </c>
      <c r="AF52">
        <v>0</v>
      </c>
      <c r="AG52">
        <v>0</v>
      </c>
      <c r="AH52">
        <v>0</v>
      </c>
      <c r="AI52">
        <v>1</v>
      </c>
      <c r="AJ52">
        <v>1</v>
      </c>
      <c r="AK52">
        <v>1</v>
      </c>
      <c r="AL52">
        <v>1</v>
      </c>
      <c r="AM52">
        <v>-2</v>
      </c>
      <c r="AN52">
        <v>0</v>
      </c>
      <c r="AO52">
        <v>1</v>
      </c>
      <c r="AP52">
        <v>0</v>
      </c>
      <c r="AQ52">
        <v>0</v>
      </c>
      <c r="AR52">
        <v>0</v>
      </c>
      <c r="AS52" t="s">
        <v>3</v>
      </c>
      <c r="AT52">
        <v>6.9</v>
      </c>
      <c r="AU52" t="s">
        <v>3</v>
      </c>
      <c r="AV52">
        <v>0</v>
      </c>
      <c r="AW52">
        <v>2</v>
      </c>
      <c r="AX52">
        <v>75703145</v>
      </c>
      <c r="AY52">
        <v>1</v>
      </c>
      <c r="AZ52">
        <v>0</v>
      </c>
      <c r="BA52">
        <v>52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0</v>
      </c>
      <c r="BI52">
        <v>0</v>
      </c>
      <c r="BJ52">
        <v>0</v>
      </c>
      <c r="BK52">
        <v>0</v>
      </c>
      <c r="BL52">
        <v>0</v>
      </c>
      <c r="BM52">
        <v>0</v>
      </c>
      <c r="BN52">
        <v>0</v>
      </c>
      <c r="BO52">
        <v>0</v>
      </c>
      <c r="BP52">
        <v>0</v>
      </c>
      <c r="BQ52">
        <v>0</v>
      </c>
      <c r="BR52">
        <v>0</v>
      </c>
      <c r="BS52">
        <v>0</v>
      </c>
      <c r="BT52">
        <v>0</v>
      </c>
      <c r="BU52">
        <v>0</v>
      </c>
      <c r="BV52">
        <v>0</v>
      </c>
      <c r="BW52">
        <v>0</v>
      </c>
      <c r="CV52">
        <v>0</v>
      </c>
      <c r="CW52">
        <v>0</v>
      </c>
      <c r="CX52">
        <f>ROUND(Y52*Source!I71,9)</f>
        <v>3.45</v>
      </c>
      <c r="CY52">
        <f>AA52</f>
        <v>68.540000000000006</v>
      </c>
      <c r="CZ52">
        <f>AE52</f>
        <v>68.540000000000006</v>
      </c>
      <c r="DA52">
        <f>AI52</f>
        <v>1</v>
      </c>
      <c r="DB52">
        <f t="shared" si="20"/>
        <v>472.93</v>
      </c>
      <c r="DC52">
        <f t="shared" si="21"/>
        <v>0</v>
      </c>
      <c r="DD52" t="s">
        <v>3</v>
      </c>
      <c r="DE52" t="s">
        <v>3</v>
      </c>
      <c r="DF52">
        <f t="shared" si="15"/>
        <v>236.46</v>
      </c>
      <c r="DG52">
        <f t="shared" si="16"/>
        <v>0</v>
      </c>
      <c r="DH52">
        <f t="shared" si="17"/>
        <v>0</v>
      </c>
      <c r="DI52">
        <f t="shared" si="18"/>
        <v>0</v>
      </c>
      <c r="DJ52">
        <f>DF52</f>
        <v>236.46</v>
      </c>
      <c r="DK52">
        <v>0</v>
      </c>
      <c r="DL52" t="s">
        <v>3</v>
      </c>
      <c r="DM52">
        <v>0</v>
      </c>
      <c r="DN52" t="s">
        <v>3</v>
      </c>
      <c r="DO52">
        <v>0</v>
      </c>
    </row>
    <row r="53" spans="1:119" x14ac:dyDescent="0.2">
      <c r="A53">
        <f>ROW(Source!A107)</f>
        <v>107</v>
      </c>
      <c r="B53">
        <v>75703152</v>
      </c>
      <c r="C53">
        <v>75703079</v>
      </c>
      <c r="D53">
        <v>75387788</v>
      </c>
      <c r="E53">
        <v>1</v>
      </c>
      <c r="F53">
        <v>1</v>
      </c>
      <c r="G53">
        <v>39</v>
      </c>
      <c r="H53">
        <v>2</v>
      </c>
      <c r="I53" t="s">
        <v>252</v>
      </c>
      <c r="J53" t="s">
        <v>253</v>
      </c>
      <c r="K53" t="s">
        <v>254</v>
      </c>
      <c r="L53">
        <v>1368</v>
      </c>
      <c r="N53">
        <v>1011</v>
      </c>
      <c r="O53" t="s">
        <v>140</v>
      </c>
      <c r="P53" t="s">
        <v>140</v>
      </c>
      <c r="Q53">
        <v>1</v>
      </c>
      <c r="W53">
        <v>0</v>
      </c>
      <c r="X53">
        <v>-1415669716</v>
      </c>
      <c r="Y53">
        <f t="shared" si="19"/>
        <v>5.3699999999999998E-2</v>
      </c>
      <c r="AA53">
        <v>0</v>
      </c>
      <c r="AB53">
        <v>2195.02</v>
      </c>
      <c r="AC53">
        <v>940.44</v>
      </c>
      <c r="AD53">
        <v>0</v>
      </c>
      <c r="AE53">
        <v>0</v>
      </c>
      <c r="AF53">
        <v>2195.02</v>
      </c>
      <c r="AG53">
        <v>940.44</v>
      </c>
      <c r="AH53">
        <v>0</v>
      </c>
      <c r="AI53">
        <v>1</v>
      </c>
      <c r="AJ53">
        <v>1</v>
      </c>
      <c r="AK53">
        <v>1</v>
      </c>
      <c r="AL53">
        <v>1</v>
      </c>
      <c r="AM53">
        <v>-2</v>
      </c>
      <c r="AN53">
        <v>0</v>
      </c>
      <c r="AO53">
        <v>1</v>
      </c>
      <c r="AP53">
        <v>0</v>
      </c>
      <c r="AQ53">
        <v>0</v>
      </c>
      <c r="AR53">
        <v>0</v>
      </c>
      <c r="AS53" t="s">
        <v>3</v>
      </c>
      <c r="AT53">
        <v>5.3699999999999998E-2</v>
      </c>
      <c r="AU53" t="s">
        <v>3</v>
      </c>
      <c r="AV53">
        <v>0</v>
      </c>
      <c r="AW53">
        <v>2</v>
      </c>
      <c r="AX53">
        <v>75703146</v>
      </c>
      <c r="AY53">
        <v>1</v>
      </c>
      <c r="AZ53">
        <v>0</v>
      </c>
      <c r="BA53">
        <v>53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0</v>
      </c>
      <c r="BI53">
        <v>0</v>
      </c>
      <c r="BJ53">
        <v>0</v>
      </c>
      <c r="BK53">
        <v>0</v>
      </c>
      <c r="BL53">
        <v>0</v>
      </c>
      <c r="BM53">
        <v>0</v>
      </c>
      <c r="BN53">
        <v>0</v>
      </c>
      <c r="BO53">
        <v>0</v>
      </c>
      <c r="BP53">
        <v>0</v>
      </c>
      <c r="BQ53">
        <v>0</v>
      </c>
      <c r="BR53">
        <v>0</v>
      </c>
      <c r="BS53">
        <v>0</v>
      </c>
      <c r="BT53">
        <v>0</v>
      </c>
      <c r="BU53">
        <v>0</v>
      </c>
      <c r="BV53">
        <v>0</v>
      </c>
      <c r="BW53">
        <v>0</v>
      </c>
      <c r="CV53">
        <v>0</v>
      </c>
      <c r="CW53">
        <f>ROUND(Y53*Source!I107*DO53,9)</f>
        <v>0</v>
      </c>
      <c r="CX53">
        <f>ROUND(Y53*Source!I107,9)</f>
        <v>0.14552699999999999</v>
      </c>
      <c r="CY53">
        <f>AB53</f>
        <v>2195.02</v>
      </c>
      <c r="CZ53">
        <f>AF53</f>
        <v>2195.02</v>
      </c>
      <c r="DA53">
        <f>AJ53</f>
        <v>1</v>
      </c>
      <c r="DB53">
        <f t="shared" si="20"/>
        <v>117.87</v>
      </c>
      <c r="DC53">
        <f t="shared" si="21"/>
        <v>50.5</v>
      </c>
      <c r="DD53" t="s">
        <v>3</v>
      </c>
      <c r="DE53" t="s">
        <v>3</v>
      </c>
      <c r="DF53">
        <f t="shared" si="15"/>
        <v>0</v>
      </c>
      <c r="DG53">
        <f t="shared" si="16"/>
        <v>319.43</v>
      </c>
      <c r="DH53">
        <f t="shared" si="17"/>
        <v>136.86000000000001</v>
      </c>
      <c r="DI53">
        <f t="shared" si="18"/>
        <v>0</v>
      </c>
      <c r="DJ53">
        <f>DG53</f>
        <v>319.43</v>
      </c>
      <c r="DK53">
        <v>0</v>
      </c>
      <c r="DL53" t="s">
        <v>3</v>
      </c>
      <c r="DM53">
        <v>0</v>
      </c>
      <c r="DN53" t="s">
        <v>3</v>
      </c>
      <c r="DO53">
        <v>0</v>
      </c>
    </row>
    <row r="54" spans="1:119" x14ac:dyDescent="0.2">
      <c r="A54">
        <f>ROW(Source!A108)</f>
        <v>108</v>
      </c>
      <c r="B54">
        <v>75703152</v>
      </c>
      <c r="C54">
        <v>75703082</v>
      </c>
      <c r="D54">
        <v>75388479</v>
      </c>
      <c r="E54">
        <v>1</v>
      </c>
      <c r="F54">
        <v>1</v>
      </c>
      <c r="G54">
        <v>39</v>
      </c>
      <c r="H54">
        <v>2</v>
      </c>
      <c r="I54" t="s">
        <v>255</v>
      </c>
      <c r="J54" t="s">
        <v>256</v>
      </c>
      <c r="K54" t="s">
        <v>257</v>
      </c>
      <c r="L54">
        <v>1368</v>
      </c>
      <c r="N54">
        <v>1011</v>
      </c>
      <c r="O54" t="s">
        <v>140</v>
      </c>
      <c r="P54" t="s">
        <v>140</v>
      </c>
      <c r="Q54">
        <v>1</v>
      </c>
      <c r="W54">
        <v>0</v>
      </c>
      <c r="X54">
        <v>9060937</v>
      </c>
      <c r="Y54">
        <f t="shared" si="19"/>
        <v>0.02</v>
      </c>
      <c r="AA54">
        <v>0</v>
      </c>
      <c r="AB54">
        <v>1552.57</v>
      </c>
      <c r="AC54">
        <v>619.16</v>
      </c>
      <c r="AD54">
        <v>0</v>
      </c>
      <c r="AE54">
        <v>0</v>
      </c>
      <c r="AF54">
        <v>1552.57</v>
      </c>
      <c r="AG54">
        <v>619.16</v>
      </c>
      <c r="AH54">
        <v>0</v>
      </c>
      <c r="AI54">
        <v>1</v>
      </c>
      <c r="AJ54">
        <v>1</v>
      </c>
      <c r="AK54">
        <v>1</v>
      </c>
      <c r="AL54">
        <v>1</v>
      </c>
      <c r="AM54">
        <v>-2</v>
      </c>
      <c r="AN54">
        <v>0</v>
      </c>
      <c r="AO54">
        <v>1</v>
      </c>
      <c r="AP54">
        <v>0</v>
      </c>
      <c r="AQ54">
        <v>0</v>
      </c>
      <c r="AR54">
        <v>0</v>
      </c>
      <c r="AS54" t="s">
        <v>3</v>
      </c>
      <c r="AT54">
        <v>0.02</v>
      </c>
      <c r="AU54" t="s">
        <v>3</v>
      </c>
      <c r="AV54">
        <v>0</v>
      </c>
      <c r="AW54">
        <v>2</v>
      </c>
      <c r="AX54">
        <v>75703147</v>
      </c>
      <c r="AY54">
        <v>1</v>
      </c>
      <c r="AZ54">
        <v>0</v>
      </c>
      <c r="BA54">
        <v>54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0</v>
      </c>
      <c r="BI54">
        <v>0</v>
      </c>
      <c r="BJ54">
        <v>0</v>
      </c>
      <c r="BK54">
        <v>0</v>
      </c>
      <c r="BL54">
        <v>0</v>
      </c>
      <c r="BM54">
        <v>0</v>
      </c>
      <c r="BN54">
        <v>0</v>
      </c>
      <c r="BO54">
        <v>0</v>
      </c>
      <c r="BP54">
        <v>0</v>
      </c>
      <c r="BQ54">
        <v>0</v>
      </c>
      <c r="BR54">
        <v>0</v>
      </c>
      <c r="BS54">
        <v>0</v>
      </c>
      <c r="BT54">
        <v>0</v>
      </c>
      <c r="BU54">
        <v>0</v>
      </c>
      <c r="BV54">
        <v>0</v>
      </c>
      <c r="BW54">
        <v>0</v>
      </c>
      <c r="CV54">
        <v>0</v>
      </c>
      <c r="CW54">
        <f>ROUND(Y54*Source!I108*DO54,9)</f>
        <v>0</v>
      </c>
      <c r="CX54">
        <f>ROUND(Y54*Source!I108,9)</f>
        <v>5.4199999999999998E-2</v>
      </c>
      <c r="CY54">
        <f>AB54</f>
        <v>1552.57</v>
      </c>
      <c r="CZ54">
        <f>AF54</f>
        <v>1552.57</v>
      </c>
      <c r="DA54">
        <f>AJ54</f>
        <v>1</v>
      </c>
      <c r="DB54">
        <f t="shared" si="20"/>
        <v>31.05</v>
      </c>
      <c r="DC54">
        <f t="shared" si="21"/>
        <v>12.38</v>
      </c>
      <c r="DD54" t="s">
        <v>3</v>
      </c>
      <c r="DE54" t="s">
        <v>3</v>
      </c>
      <c r="DF54">
        <f t="shared" si="15"/>
        <v>0</v>
      </c>
      <c r="DG54">
        <f t="shared" si="16"/>
        <v>84.15</v>
      </c>
      <c r="DH54">
        <f t="shared" si="17"/>
        <v>33.56</v>
      </c>
      <c r="DI54">
        <f t="shared" si="18"/>
        <v>0</v>
      </c>
      <c r="DJ54">
        <f>DG54</f>
        <v>84.15</v>
      </c>
      <c r="DK54">
        <v>0</v>
      </c>
      <c r="DL54" t="s">
        <v>3</v>
      </c>
      <c r="DM54">
        <v>0</v>
      </c>
      <c r="DN54" t="s">
        <v>3</v>
      </c>
      <c r="DO54">
        <v>0</v>
      </c>
    </row>
    <row r="55" spans="1:119" x14ac:dyDescent="0.2">
      <c r="A55">
        <f>ROW(Source!A108)</f>
        <v>108</v>
      </c>
      <c r="B55">
        <v>75703152</v>
      </c>
      <c r="C55">
        <v>75703082</v>
      </c>
      <c r="D55">
        <v>75388480</v>
      </c>
      <c r="E55">
        <v>1</v>
      </c>
      <c r="F55">
        <v>1</v>
      </c>
      <c r="G55">
        <v>39</v>
      </c>
      <c r="H55">
        <v>2</v>
      </c>
      <c r="I55" t="s">
        <v>258</v>
      </c>
      <c r="J55" t="s">
        <v>259</v>
      </c>
      <c r="K55" t="s">
        <v>260</v>
      </c>
      <c r="L55">
        <v>1368</v>
      </c>
      <c r="N55">
        <v>1011</v>
      </c>
      <c r="O55" t="s">
        <v>140</v>
      </c>
      <c r="P55" t="s">
        <v>140</v>
      </c>
      <c r="Q55">
        <v>1</v>
      </c>
      <c r="W55">
        <v>0</v>
      </c>
      <c r="X55">
        <v>822486257</v>
      </c>
      <c r="Y55">
        <f t="shared" si="19"/>
        <v>1.7999999999999999E-2</v>
      </c>
      <c r="AA55">
        <v>0</v>
      </c>
      <c r="AB55">
        <v>1566.41</v>
      </c>
      <c r="AC55">
        <v>619.79</v>
      </c>
      <c r="AD55">
        <v>0</v>
      </c>
      <c r="AE55">
        <v>0</v>
      </c>
      <c r="AF55">
        <v>1566.41</v>
      </c>
      <c r="AG55">
        <v>619.79</v>
      </c>
      <c r="AH55">
        <v>0</v>
      </c>
      <c r="AI55">
        <v>1</v>
      </c>
      <c r="AJ55">
        <v>1</v>
      </c>
      <c r="AK55">
        <v>1</v>
      </c>
      <c r="AL55">
        <v>1</v>
      </c>
      <c r="AM55">
        <v>-2</v>
      </c>
      <c r="AN55">
        <v>0</v>
      </c>
      <c r="AO55">
        <v>1</v>
      </c>
      <c r="AP55">
        <v>0</v>
      </c>
      <c r="AQ55">
        <v>0</v>
      </c>
      <c r="AR55">
        <v>0</v>
      </c>
      <c r="AS55" t="s">
        <v>3</v>
      </c>
      <c r="AT55">
        <v>1.7999999999999999E-2</v>
      </c>
      <c r="AU55" t="s">
        <v>3</v>
      </c>
      <c r="AV55">
        <v>0</v>
      </c>
      <c r="AW55">
        <v>2</v>
      </c>
      <c r="AX55">
        <v>75703148</v>
      </c>
      <c r="AY55">
        <v>1</v>
      </c>
      <c r="AZ55">
        <v>0</v>
      </c>
      <c r="BA55">
        <v>55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0</v>
      </c>
      <c r="BI55">
        <v>0</v>
      </c>
      <c r="BJ55">
        <v>0</v>
      </c>
      <c r="BK55">
        <v>0</v>
      </c>
      <c r="BL55">
        <v>0</v>
      </c>
      <c r="BM55">
        <v>0</v>
      </c>
      <c r="BN55">
        <v>0</v>
      </c>
      <c r="BO55">
        <v>0</v>
      </c>
      <c r="BP55">
        <v>0</v>
      </c>
      <c r="BQ55">
        <v>0</v>
      </c>
      <c r="BR55">
        <v>0</v>
      </c>
      <c r="BS55">
        <v>0</v>
      </c>
      <c r="BT55">
        <v>0</v>
      </c>
      <c r="BU55">
        <v>0</v>
      </c>
      <c r="BV55">
        <v>0</v>
      </c>
      <c r="BW55">
        <v>0</v>
      </c>
      <c r="CV55">
        <v>0</v>
      </c>
      <c r="CW55">
        <f>ROUND(Y55*Source!I108*DO55,9)</f>
        <v>0</v>
      </c>
      <c r="CX55">
        <f>ROUND(Y55*Source!I108,9)</f>
        <v>4.8779999999999997E-2</v>
      </c>
      <c r="CY55">
        <f>AB55</f>
        <v>1566.41</v>
      </c>
      <c r="CZ55">
        <f>AF55</f>
        <v>1566.41</v>
      </c>
      <c r="DA55">
        <f>AJ55</f>
        <v>1</v>
      </c>
      <c r="DB55">
        <f t="shared" si="20"/>
        <v>28.2</v>
      </c>
      <c r="DC55">
        <f t="shared" si="21"/>
        <v>11.16</v>
      </c>
      <c r="DD55" t="s">
        <v>3</v>
      </c>
      <c r="DE55" t="s">
        <v>3</v>
      </c>
      <c r="DF55">
        <f t="shared" si="15"/>
        <v>0</v>
      </c>
      <c r="DG55">
        <f t="shared" si="16"/>
        <v>76.41</v>
      </c>
      <c r="DH55">
        <f t="shared" si="17"/>
        <v>30.23</v>
      </c>
      <c r="DI55">
        <f t="shared" si="18"/>
        <v>0</v>
      </c>
      <c r="DJ55">
        <f>DG55</f>
        <v>76.41</v>
      </c>
      <c r="DK55">
        <v>0</v>
      </c>
      <c r="DL55" t="s">
        <v>3</v>
      </c>
      <c r="DM55">
        <v>0</v>
      </c>
      <c r="DN55" t="s">
        <v>3</v>
      </c>
      <c r="DO55">
        <v>0</v>
      </c>
    </row>
    <row r="56" spans="1:119" x14ac:dyDescent="0.2">
      <c r="A56">
        <f>ROW(Source!A109)</f>
        <v>109</v>
      </c>
      <c r="B56">
        <v>75703152</v>
      </c>
      <c r="C56">
        <v>75703087</v>
      </c>
      <c r="D56">
        <v>75388479</v>
      </c>
      <c r="E56">
        <v>1</v>
      </c>
      <c r="F56">
        <v>1</v>
      </c>
      <c r="G56">
        <v>39</v>
      </c>
      <c r="H56">
        <v>2</v>
      </c>
      <c r="I56" t="s">
        <v>255</v>
      </c>
      <c r="J56" t="s">
        <v>256</v>
      </c>
      <c r="K56" t="s">
        <v>257</v>
      </c>
      <c r="L56">
        <v>1368</v>
      </c>
      <c r="N56">
        <v>1011</v>
      </c>
      <c r="O56" t="s">
        <v>140</v>
      </c>
      <c r="P56" t="s">
        <v>140</v>
      </c>
      <c r="Q56">
        <v>1</v>
      </c>
      <c r="W56">
        <v>0</v>
      </c>
      <c r="X56">
        <v>9060937</v>
      </c>
      <c r="Y56">
        <f>(AT56*48)</f>
        <v>0.48</v>
      </c>
      <c r="AA56">
        <v>0</v>
      </c>
      <c r="AB56">
        <v>1552.57</v>
      </c>
      <c r="AC56">
        <v>619.16</v>
      </c>
      <c r="AD56">
        <v>0</v>
      </c>
      <c r="AE56">
        <v>0</v>
      </c>
      <c r="AF56">
        <v>1552.57</v>
      </c>
      <c r="AG56">
        <v>619.16</v>
      </c>
      <c r="AH56">
        <v>0</v>
      </c>
      <c r="AI56">
        <v>1</v>
      </c>
      <c r="AJ56">
        <v>1</v>
      </c>
      <c r="AK56">
        <v>1</v>
      </c>
      <c r="AL56">
        <v>1</v>
      </c>
      <c r="AM56">
        <v>-2</v>
      </c>
      <c r="AN56">
        <v>0</v>
      </c>
      <c r="AO56">
        <v>1</v>
      </c>
      <c r="AP56">
        <v>1</v>
      </c>
      <c r="AQ56">
        <v>0</v>
      </c>
      <c r="AR56">
        <v>0</v>
      </c>
      <c r="AS56" t="s">
        <v>3</v>
      </c>
      <c r="AT56">
        <v>0.01</v>
      </c>
      <c r="AU56" t="s">
        <v>127</v>
      </c>
      <c r="AV56">
        <v>0</v>
      </c>
      <c r="AW56">
        <v>2</v>
      </c>
      <c r="AX56">
        <v>75703149</v>
      </c>
      <c r="AY56">
        <v>1</v>
      </c>
      <c r="AZ56">
        <v>0</v>
      </c>
      <c r="BA56">
        <v>56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0</v>
      </c>
      <c r="BI56">
        <v>0</v>
      </c>
      <c r="BJ56">
        <v>0</v>
      </c>
      <c r="BK56">
        <v>0</v>
      </c>
      <c r="BL56">
        <v>0</v>
      </c>
      <c r="BM56">
        <v>0</v>
      </c>
      <c r="BN56">
        <v>0</v>
      </c>
      <c r="BO56">
        <v>0</v>
      </c>
      <c r="BP56">
        <v>0</v>
      </c>
      <c r="BQ56">
        <v>0</v>
      </c>
      <c r="BR56">
        <v>0</v>
      </c>
      <c r="BS56">
        <v>0</v>
      </c>
      <c r="BT56">
        <v>0</v>
      </c>
      <c r="BU56">
        <v>0</v>
      </c>
      <c r="BV56">
        <v>0</v>
      </c>
      <c r="BW56">
        <v>0</v>
      </c>
      <c r="CV56">
        <v>0</v>
      </c>
      <c r="CW56">
        <f>ROUND(Y56*Source!I109*DO56,9)</f>
        <v>0</v>
      </c>
      <c r="CX56">
        <f>ROUND(Y56*Source!I109,9)</f>
        <v>1.3008</v>
      </c>
      <c r="CY56">
        <f>AB56</f>
        <v>1552.57</v>
      </c>
      <c r="CZ56">
        <f>AF56</f>
        <v>1552.57</v>
      </c>
      <c r="DA56">
        <f>AJ56</f>
        <v>1</v>
      </c>
      <c r="DB56">
        <f>ROUND((ROUND(AT56*CZ56,2)*48),6)</f>
        <v>745.44</v>
      </c>
      <c r="DC56">
        <f>ROUND((ROUND(AT56*AG56,2)*48),6)</f>
        <v>297.12</v>
      </c>
      <c r="DD56" t="s">
        <v>3</v>
      </c>
      <c r="DE56" t="s">
        <v>3</v>
      </c>
      <c r="DF56">
        <f t="shared" si="15"/>
        <v>0</v>
      </c>
      <c r="DG56">
        <f t="shared" si="16"/>
        <v>2019.58</v>
      </c>
      <c r="DH56">
        <f t="shared" si="17"/>
        <v>805.4</v>
      </c>
      <c r="DI56">
        <f t="shared" si="18"/>
        <v>0</v>
      </c>
      <c r="DJ56">
        <f>DG56</f>
        <v>2019.58</v>
      </c>
      <c r="DK56">
        <v>0</v>
      </c>
      <c r="DL56" t="s">
        <v>3</v>
      </c>
      <c r="DM56">
        <v>0</v>
      </c>
      <c r="DN56" t="s">
        <v>3</v>
      </c>
      <c r="DO56">
        <v>0</v>
      </c>
    </row>
    <row r="57" spans="1:119" x14ac:dyDescent="0.2">
      <c r="A57">
        <f>ROW(Source!A109)</f>
        <v>109</v>
      </c>
      <c r="B57">
        <v>75703152</v>
      </c>
      <c r="C57">
        <v>75703087</v>
      </c>
      <c r="D57">
        <v>75388480</v>
      </c>
      <c r="E57">
        <v>1</v>
      </c>
      <c r="F57">
        <v>1</v>
      </c>
      <c r="G57">
        <v>39</v>
      </c>
      <c r="H57">
        <v>2</v>
      </c>
      <c r="I57" t="s">
        <v>258</v>
      </c>
      <c r="J57" t="s">
        <v>259</v>
      </c>
      <c r="K57" t="s">
        <v>260</v>
      </c>
      <c r="L57">
        <v>1368</v>
      </c>
      <c r="N57">
        <v>1011</v>
      </c>
      <c r="O57" t="s">
        <v>140</v>
      </c>
      <c r="P57" t="s">
        <v>140</v>
      </c>
      <c r="Q57">
        <v>1</v>
      </c>
      <c r="W57">
        <v>0</v>
      </c>
      <c r="X57">
        <v>822486257</v>
      </c>
      <c r="Y57">
        <f>(AT57*48)</f>
        <v>0.38400000000000001</v>
      </c>
      <c r="AA57">
        <v>0</v>
      </c>
      <c r="AB57">
        <v>1566.41</v>
      </c>
      <c r="AC57">
        <v>619.79</v>
      </c>
      <c r="AD57">
        <v>0</v>
      </c>
      <c r="AE57">
        <v>0</v>
      </c>
      <c r="AF57">
        <v>1566.41</v>
      </c>
      <c r="AG57">
        <v>619.79</v>
      </c>
      <c r="AH57">
        <v>0</v>
      </c>
      <c r="AI57">
        <v>1</v>
      </c>
      <c r="AJ57">
        <v>1</v>
      </c>
      <c r="AK57">
        <v>1</v>
      </c>
      <c r="AL57">
        <v>1</v>
      </c>
      <c r="AM57">
        <v>-2</v>
      </c>
      <c r="AN57">
        <v>0</v>
      </c>
      <c r="AO57">
        <v>1</v>
      </c>
      <c r="AP57">
        <v>1</v>
      </c>
      <c r="AQ57">
        <v>0</v>
      </c>
      <c r="AR57">
        <v>0</v>
      </c>
      <c r="AS57" t="s">
        <v>3</v>
      </c>
      <c r="AT57">
        <v>8.0000000000000002E-3</v>
      </c>
      <c r="AU57" t="s">
        <v>127</v>
      </c>
      <c r="AV57">
        <v>0</v>
      </c>
      <c r="AW57">
        <v>2</v>
      </c>
      <c r="AX57">
        <v>75703150</v>
      </c>
      <c r="AY57">
        <v>1</v>
      </c>
      <c r="AZ57">
        <v>0</v>
      </c>
      <c r="BA57">
        <v>57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0</v>
      </c>
      <c r="BI57">
        <v>0</v>
      </c>
      <c r="BJ57">
        <v>0</v>
      </c>
      <c r="BK57">
        <v>0</v>
      </c>
      <c r="BL57">
        <v>0</v>
      </c>
      <c r="BM57">
        <v>0</v>
      </c>
      <c r="BN57">
        <v>0</v>
      </c>
      <c r="BO57">
        <v>0</v>
      </c>
      <c r="BP57">
        <v>0</v>
      </c>
      <c r="BQ57">
        <v>0</v>
      </c>
      <c r="BR57">
        <v>0</v>
      </c>
      <c r="BS57">
        <v>0</v>
      </c>
      <c r="BT57">
        <v>0</v>
      </c>
      <c r="BU57">
        <v>0</v>
      </c>
      <c r="BV57">
        <v>0</v>
      </c>
      <c r="BW57">
        <v>0</v>
      </c>
      <c r="CV57">
        <v>0</v>
      </c>
      <c r="CW57">
        <f>ROUND(Y57*Source!I109*DO57,9)</f>
        <v>0</v>
      </c>
      <c r="CX57">
        <f>ROUND(Y57*Source!I109,9)</f>
        <v>1.04064</v>
      </c>
      <c r="CY57">
        <f>AB57</f>
        <v>1566.41</v>
      </c>
      <c r="CZ57">
        <f>AF57</f>
        <v>1566.41</v>
      </c>
      <c r="DA57">
        <f>AJ57</f>
        <v>1</v>
      </c>
      <c r="DB57">
        <f>ROUND((ROUND(AT57*CZ57,2)*48),6)</f>
        <v>601.44000000000005</v>
      </c>
      <c r="DC57">
        <f>ROUND((ROUND(AT57*AG57,2)*48),6)</f>
        <v>238.08</v>
      </c>
      <c r="DD57" t="s">
        <v>3</v>
      </c>
      <c r="DE57" t="s">
        <v>3</v>
      </c>
      <c r="DF57">
        <f t="shared" si="15"/>
        <v>0</v>
      </c>
      <c r="DG57">
        <f t="shared" si="16"/>
        <v>1630.07</v>
      </c>
      <c r="DH57">
        <f t="shared" si="17"/>
        <v>644.98</v>
      </c>
      <c r="DI57">
        <f t="shared" si="18"/>
        <v>0</v>
      </c>
      <c r="DJ57">
        <f>DG57</f>
        <v>1630.07</v>
      </c>
      <c r="DK57">
        <v>0</v>
      </c>
      <c r="DL57" t="s">
        <v>3</v>
      </c>
      <c r="DM57">
        <v>0</v>
      </c>
      <c r="DN57" t="s">
        <v>3</v>
      </c>
      <c r="DO57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57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44" x14ac:dyDescent="0.2">
      <c r="A1">
        <f>ROW(Source!A28)</f>
        <v>28</v>
      </c>
      <c r="B1">
        <v>75703094</v>
      </c>
      <c r="C1">
        <v>75702854</v>
      </c>
      <c r="D1">
        <v>75386788</v>
      </c>
      <c r="E1">
        <v>39</v>
      </c>
      <c r="F1">
        <v>1</v>
      </c>
      <c r="G1">
        <v>39</v>
      </c>
      <c r="H1">
        <v>1</v>
      </c>
      <c r="I1" t="s">
        <v>134</v>
      </c>
      <c r="J1" t="s">
        <v>3</v>
      </c>
      <c r="K1" t="s">
        <v>135</v>
      </c>
      <c r="L1">
        <v>1191</v>
      </c>
      <c r="N1">
        <v>1013</v>
      </c>
      <c r="O1" t="s">
        <v>136</v>
      </c>
      <c r="P1" t="s">
        <v>136</v>
      </c>
      <c r="Q1">
        <v>1</v>
      </c>
      <c r="X1">
        <v>79.2</v>
      </c>
      <c r="Y1">
        <v>0</v>
      </c>
      <c r="Z1">
        <v>0</v>
      </c>
      <c r="AA1">
        <v>0</v>
      </c>
      <c r="AB1">
        <v>0</v>
      </c>
      <c r="AC1">
        <v>0</v>
      </c>
      <c r="AD1">
        <v>1</v>
      </c>
      <c r="AE1">
        <v>1</v>
      </c>
      <c r="AF1" t="s">
        <v>3</v>
      </c>
      <c r="AG1">
        <v>79.2</v>
      </c>
      <c r="AH1">
        <v>2</v>
      </c>
      <c r="AI1">
        <v>75702855</v>
      </c>
      <c r="AJ1">
        <v>1</v>
      </c>
      <c r="AK1">
        <v>0</v>
      </c>
      <c r="AL1">
        <v>0</v>
      </c>
      <c r="AM1">
        <v>0</v>
      </c>
      <c r="AN1">
        <v>0</v>
      </c>
      <c r="AO1">
        <v>0</v>
      </c>
      <c r="AP1">
        <v>0</v>
      </c>
      <c r="AQ1">
        <v>0</v>
      </c>
      <c r="AR1">
        <v>0</v>
      </c>
    </row>
    <row r="2" spans="1:44" x14ac:dyDescent="0.2">
      <c r="A2">
        <f>ROW(Source!A28)</f>
        <v>28</v>
      </c>
      <c r="B2">
        <v>75703095</v>
      </c>
      <c r="C2">
        <v>75702854</v>
      </c>
      <c r="D2">
        <v>75388068</v>
      </c>
      <c r="E2">
        <v>1</v>
      </c>
      <c r="F2">
        <v>1</v>
      </c>
      <c r="G2">
        <v>39</v>
      </c>
      <c r="H2">
        <v>2</v>
      </c>
      <c r="I2" t="s">
        <v>137</v>
      </c>
      <c r="J2" t="s">
        <v>138</v>
      </c>
      <c r="K2" t="s">
        <v>139</v>
      </c>
      <c r="L2">
        <v>1368</v>
      </c>
      <c r="N2">
        <v>1011</v>
      </c>
      <c r="O2" t="s">
        <v>140</v>
      </c>
      <c r="P2" t="s">
        <v>140</v>
      </c>
      <c r="Q2">
        <v>1</v>
      </c>
      <c r="X2">
        <v>7.25</v>
      </c>
      <c r="Y2">
        <v>0</v>
      </c>
      <c r="Z2">
        <v>2430.38</v>
      </c>
      <c r="AA2">
        <v>901.93</v>
      </c>
      <c r="AB2">
        <v>0</v>
      </c>
      <c r="AC2">
        <v>0</v>
      </c>
      <c r="AD2">
        <v>1</v>
      </c>
      <c r="AE2">
        <v>0</v>
      </c>
      <c r="AF2" t="s">
        <v>3</v>
      </c>
      <c r="AG2">
        <v>7.25</v>
      </c>
      <c r="AH2">
        <v>2</v>
      </c>
      <c r="AI2">
        <v>75702856</v>
      </c>
      <c r="AJ2">
        <v>2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</row>
    <row r="3" spans="1:44" x14ac:dyDescent="0.2">
      <c r="A3">
        <f>ROW(Source!A28)</f>
        <v>28</v>
      </c>
      <c r="B3">
        <v>75703096</v>
      </c>
      <c r="C3">
        <v>75702854</v>
      </c>
      <c r="D3">
        <v>75387887</v>
      </c>
      <c r="E3">
        <v>1</v>
      </c>
      <c r="F3">
        <v>1</v>
      </c>
      <c r="G3">
        <v>39</v>
      </c>
      <c r="H3">
        <v>2</v>
      </c>
      <c r="I3" t="s">
        <v>141</v>
      </c>
      <c r="J3" t="s">
        <v>142</v>
      </c>
      <c r="K3" t="s">
        <v>143</v>
      </c>
      <c r="L3">
        <v>1368</v>
      </c>
      <c r="N3">
        <v>1011</v>
      </c>
      <c r="O3" t="s">
        <v>140</v>
      </c>
      <c r="P3" t="s">
        <v>140</v>
      </c>
      <c r="Q3">
        <v>1</v>
      </c>
      <c r="X3">
        <v>3.58</v>
      </c>
      <c r="Y3">
        <v>0</v>
      </c>
      <c r="Z3">
        <v>37.39</v>
      </c>
      <c r="AA3">
        <v>2.64</v>
      </c>
      <c r="AB3">
        <v>0</v>
      </c>
      <c r="AC3">
        <v>0</v>
      </c>
      <c r="AD3">
        <v>1</v>
      </c>
      <c r="AE3">
        <v>0</v>
      </c>
      <c r="AF3" t="s">
        <v>3</v>
      </c>
      <c r="AG3">
        <v>3.58</v>
      </c>
      <c r="AH3">
        <v>2</v>
      </c>
      <c r="AI3">
        <v>75702857</v>
      </c>
      <c r="AJ3">
        <v>3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</row>
    <row r="4" spans="1:44" x14ac:dyDescent="0.2">
      <c r="A4">
        <f>ROW(Source!A28)</f>
        <v>28</v>
      </c>
      <c r="B4">
        <v>75703097</v>
      </c>
      <c r="C4">
        <v>75702854</v>
      </c>
      <c r="D4">
        <v>75388029</v>
      </c>
      <c r="E4">
        <v>1</v>
      </c>
      <c r="F4">
        <v>1</v>
      </c>
      <c r="G4">
        <v>39</v>
      </c>
      <c r="H4">
        <v>2</v>
      </c>
      <c r="I4" t="s">
        <v>144</v>
      </c>
      <c r="J4" t="s">
        <v>145</v>
      </c>
      <c r="K4" t="s">
        <v>146</v>
      </c>
      <c r="L4">
        <v>1368</v>
      </c>
      <c r="N4">
        <v>1011</v>
      </c>
      <c r="O4" t="s">
        <v>140</v>
      </c>
      <c r="P4" t="s">
        <v>140</v>
      </c>
      <c r="Q4">
        <v>1</v>
      </c>
      <c r="X4">
        <v>7.25</v>
      </c>
      <c r="Y4">
        <v>0</v>
      </c>
      <c r="Z4">
        <v>83.16</v>
      </c>
      <c r="AA4">
        <v>40.22</v>
      </c>
      <c r="AB4">
        <v>0</v>
      </c>
      <c r="AC4">
        <v>0</v>
      </c>
      <c r="AD4">
        <v>1</v>
      </c>
      <c r="AE4">
        <v>0</v>
      </c>
      <c r="AF4" t="s">
        <v>3</v>
      </c>
      <c r="AG4">
        <v>7.25</v>
      </c>
      <c r="AH4">
        <v>2</v>
      </c>
      <c r="AI4">
        <v>75702858</v>
      </c>
      <c r="AJ4">
        <v>4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</row>
    <row r="5" spans="1:44" x14ac:dyDescent="0.2">
      <c r="A5">
        <f>ROW(Source!A28)</f>
        <v>28</v>
      </c>
      <c r="B5">
        <v>75703098</v>
      </c>
      <c r="C5">
        <v>75702854</v>
      </c>
      <c r="D5">
        <v>75389861</v>
      </c>
      <c r="E5">
        <v>1</v>
      </c>
      <c r="F5">
        <v>1</v>
      </c>
      <c r="G5">
        <v>39</v>
      </c>
      <c r="H5">
        <v>3</v>
      </c>
      <c r="I5" t="s">
        <v>147</v>
      </c>
      <c r="J5" t="s">
        <v>148</v>
      </c>
      <c r="K5" t="s">
        <v>149</v>
      </c>
      <c r="L5">
        <v>1339</v>
      </c>
      <c r="N5">
        <v>1007</v>
      </c>
      <c r="O5" t="s">
        <v>18</v>
      </c>
      <c r="P5" t="s">
        <v>18</v>
      </c>
      <c r="Q5">
        <v>1</v>
      </c>
      <c r="X5">
        <v>0.96</v>
      </c>
      <c r="Y5">
        <v>903.53</v>
      </c>
      <c r="Z5">
        <v>0</v>
      </c>
      <c r="AA5">
        <v>0</v>
      </c>
      <c r="AB5">
        <v>0</v>
      </c>
      <c r="AC5">
        <v>0</v>
      </c>
      <c r="AD5">
        <v>1</v>
      </c>
      <c r="AE5">
        <v>0</v>
      </c>
      <c r="AF5" t="s">
        <v>3</v>
      </c>
      <c r="AG5">
        <v>0.96</v>
      </c>
      <c r="AH5">
        <v>2</v>
      </c>
      <c r="AI5">
        <v>75702859</v>
      </c>
      <c r="AJ5">
        <v>5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</row>
    <row r="6" spans="1:44" x14ac:dyDescent="0.2">
      <c r="A6">
        <f>ROW(Source!A28)</f>
        <v>28</v>
      </c>
      <c r="B6">
        <v>75703099</v>
      </c>
      <c r="C6">
        <v>75702854</v>
      </c>
      <c r="D6">
        <v>75388764</v>
      </c>
      <c r="E6">
        <v>1</v>
      </c>
      <c r="F6">
        <v>1</v>
      </c>
      <c r="G6">
        <v>39</v>
      </c>
      <c r="H6">
        <v>3</v>
      </c>
      <c r="I6" t="s">
        <v>150</v>
      </c>
      <c r="J6" t="s">
        <v>151</v>
      </c>
      <c r="K6" t="s">
        <v>152</v>
      </c>
      <c r="L6">
        <v>1348</v>
      </c>
      <c r="N6">
        <v>1009</v>
      </c>
      <c r="O6" t="s">
        <v>116</v>
      </c>
      <c r="P6" t="s">
        <v>116</v>
      </c>
      <c r="Q6">
        <v>1000</v>
      </c>
      <c r="X6">
        <v>0.52</v>
      </c>
      <c r="Y6">
        <v>8877.58</v>
      </c>
      <c r="Z6">
        <v>0</v>
      </c>
      <c r="AA6">
        <v>0</v>
      </c>
      <c r="AB6">
        <v>0</v>
      </c>
      <c r="AC6">
        <v>0</v>
      </c>
      <c r="AD6">
        <v>1</v>
      </c>
      <c r="AE6">
        <v>0</v>
      </c>
      <c r="AF6" t="s">
        <v>3</v>
      </c>
      <c r="AG6">
        <v>0.52</v>
      </c>
      <c r="AH6">
        <v>2</v>
      </c>
      <c r="AI6">
        <v>75702860</v>
      </c>
      <c r="AJ6">
        <v>6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</row>
    <row r="7" spans="1:44" x14ac:dyDescent="0.2">
      <c r="A7">
        <f>ROW(Source!A28)</f>
        <v>28</v>
      </c>
      <c r="B7">
        <v>75703100</v>
      </c>
      <c r="C7">
        <v>75702854</v>
      </c>
      <c r="D7">
        <v>75395168</v>
      </c>
      <c r="E7">
        <v>1</v>
      </c>
      <c r="F7">
        <v>1</v>
      </c>
      <c r="G7">
        <v>39</v>
      </c>
      <c r="H7">
        <v>3</v>
      </c>
      <c r="I7" t="s">
        <v>153</v>
      </c>
      <c r="J7" t="s">
        <v>154</v>
      </c>
      <c r="K7" t="s">
        <v>155</v>
      </c>
      <c r="L7">
        <v>1301</v>
      </c>
      <c r="N7">
        <v>1003</v>
      </c>
      <c r="O7" t="s">
        <v>156</v>
      </c>
      <c r="P7" t="s">
        <v>156</v>
      </c>
      <c r="Q7">
        <v>1</v>
      </c>
      <c r="X7">
        <v>9.24</v>
      </c>
      <c r="Y7">
        <v>255.44</v>
      </c>
      <c r="Z7">
        <v>0</v>
      </c>
      <c r="AA7">
        <v>0</v>
      </c>
      <c r="AB7">
        <v>0</v>
      </c>
      <c r="AC7">
        <v>0</v>
      </c>
      <c r="AD7">
        <v>1</v>
      </c>
      <c r="AE7">
        <v>0</v>
      </c>
      <c r="AF7" t="s">
        <v>3</v>
      </c>
      <c r="AG7">
        <v>9.24</v>
      </c>
      <c r="AH7">
        <v>2</v>
      </c>
      <c r="AI7">
        <v>75702861</v>
      </c>
      <c r="AJ7">
        <v>7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</row>
    <row r="8" spans="1:44" x14ac:dyDescent="0.2">
      <c r="A8">
        <f>ROW(Source!A28)</f>
        <v>28</v>
      </c>
      <c r="B8">
        <v>75703101</v>
      </c>
      <c r="C8">
        <v>75702854</v>
      </c>
      <c r="D8">
        <v>75391670</v>
      </c>
      <c r="E8">
        <v>1</v>
      </c>
      <c r="F8">
        <v>1</v>
      </c>
      <c r="G8">
        <v>39</v>
      </c>
      <c r="H8">
        <v>3</v>
      </c>
      <c r="I8" t="s">
        <v>157</v>
      </c>
      <c r="J8" t="s">
        <v>158</v>
      </c>
      <c r="K8" t="s">
        <v>159</v>
      </c>
      <c r="L8">
        <v>1339</v>
      </c>
      <c r="N8">
        <v>1007</v>
      </c>
      <c r="O8" t="s">
        <v>18</v>
      </c>
      <c r="P8" t="s">
        <v>18</v>
      </c>
      <c r="Q8">
        <v>1</v>
      </c>
      <c r="X8">
        <v>0.02</v>
      </c>
      <c r="Y8">
        <v>5951.59</v>
      </c>
      <c r="Z8">
        <v>0</v>
      </c>
      <c r="AA8">
        <v>0</v>
      </c>
      <c r="AB8">
        <v>0</v>
      </c>
      <c r="AC8">
        <v>0</v>
      </c>
      <c r="AD8">
        <v>1</v>
      </c>
      <c r="AE8">
        <v>0</v>
      </c>
      <c r="AF8" t="s">
        <v>3</v>
      </c>
      <c r="AG8">
        <v>0.02</v>
      </c>
      <c r="AH8">
        <v>2</v>
      </c>
      <c r="AI8">
        <v>75702862</v>
      </c>
      <c r="AJ8">
        <v>8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</row>
    <row r="9" spans="1:44" x14ac:dyDescent="0.2">
      <c r="A9">
        <f>ROW(Source!A28)</f>
        <v>28</v>
      </c>
      <c r="B9">
        <v>75703102</v>
      </c>
      <c r="C9">
        <v>75702854</v>
      </c>
      <c r="D9">
        <v>75391832</v>
      </c>
      <c r="E9">
        <v>1</v>
      </c>
      <c r="F9">
        <v>1</v>
      </c>
      <c r="G9">
        <v>39</v>
      </c>
      <c r="H9">
        <v>3</v>
      </c>
      <c r="I9" t="s">
        <v>160</v>
      </c>
      <c r="J9" t="s">
        <v>161</v>
      </c>
      <c r="K9" t="s">
        <v>162</v>
      </c>
      <c r="L9">
        <v>1348</v>
      </c>
      <c r="N9">
        <v>1009</v>
      </c>
      <c r="O9" t="s">
        <v>116</v>
      </c>
      <c r="P9" t="s">
        <v>116</v>
      </c>
      <c r="Q9">
        <v>1000</v>
      </c>
      <c r="X9">
        <v>8.8700000000000001E-2</v>
      </c>
      <c r="Y9">
        <v>52981.64</v>
      </c>
      <c r="Z9">
        <v>0</v>
      </c>
      <c r="AA9">
        <v>0</v>
      </c>
      <c r="AB9">
        <v>0</v>
      </c>
      <c r="AC9">
        <v>0</v>
      </c>
      <c r="AD9">
        <v>1</v>
      </c>
      <c r="AE9">
        <v>0</v>
      </c>
      <c r="AF9" t="s">
        <v>3</v>
      </c>
      <c r="AG9">
        <v>8.8700000000000001E-2</v>
      </c>
      <c r="AH9">
        <v>2</v>
      </c>
      <c r="AI9">
        <v>75702863</v>
      </c>
      <c r="AJ9">
        <v>9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</row>
    <row r="10" spans="1:44" x14ac:dyDescent="0.2">
      <c r="A10">
        <f>ROW(Source!A28)</f>
        <v>28</v>
      </c>
      <c r="B10">
        <v>75703103</v>
      </c>
      <c r="C10">
        <v>75702854</v>
      </c>
      <c r="D10">
        <v>75392691</v>
      </c>
      <c r="E10">
        <v>1</v>
      </c>
      <c r="F10">
        <v>1</v>
      </c>
      <c r="G10">
        <v>39</v>
      </c>
      <c r="H10">
        <v>3</v>
      </c>
      <c r="I10" t="s">
        <v>163</v>
      </c>
      <c r="J10" t="s">
        <v>164</v>
      </c>
      <c r="K10" t="s">
        <v>165</v>
      </c>
      <c r="L10">
        <v>1348</v>
      </c>
      <c r="N10">
        <v>1009</v>
      </c>
      <c r="O10" t="s">
        <v>116</v>
      </c>
      <c r="P10" t="s">
        <v>116</v>
      </c>
      <c r="Q10">
        <v>1000</v>
      </c>
      <c r="X10">
        <v>0.15</v>
      </c>
      <c r="Y10">
        <v>151355.1</v>
      </c>
      <c r="Z10">
        <v>0</v>
      </c>
      <c r="AA10">
        <v>0</v>
      </c>
      <c r="AB10">
        <v>0</v>
      </c>
      <c r="AC10">
        <v>0</v>
      </c>
      <c r="AD10">
        <v>1</v>
      </c>
      <c r="AE10">
        <v>0</v>
      </c>
      <c r="AF10" t="s">
        <v>3</v>
      </c>
      <c r="AG10">
        <v>0.15</v>
      </c>
      <c r="AH10">
        <v>2</v>
      </c>
      <c r="AI10">
        <v>75702864</v>
      </c>
      <c r="AJ10">
        <v>10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</row>
    <row r="11" spans="1:44" x14ac:dyDescent="0.2">
      <c r="A11">
        <f>ROW(Source!A28)</f>
        <v>28</v>
      </c>
      <c r="B11">
        <v>75703104</v>
      </c>
      <c r="C11">
        <v>75702854</v>
      </c>
      <c r="D11">
        <v>75393865</v>
      </c>
      <c r="E11">
        <v>1</v>
      </c>
      <c r="F11">
        <v>1</v>
      </c>
      <c r="G11">
        <v>39</v>
      </c>
      <c r="H11">
        <v>3</v>
      </c>
      <c r="I11" t="s">
        <v>166</v>
      </c>
      <c r="J11" t="s">
        <v>167</v>
      </c>
      <c r="K11" t="s">
        <v>168</v>
      </c>
      <c r="L11">
        <v>1327</v>
      </c>
      <c r="N11">
        <v>1005</v>
      </c>
      <c r="O11" t="s">
        <v>169</v>
      </c>
      <c r="P11" t="s">
        <v>169</v>
      </c>
      <c r="Q11">
        <v>1</v>
      </c>
      <c r="X11">
        <v>5.28</v>
      </c>
      <c r="Y11">
        <v>629.53</v>
      </c>
      <c r="Z11">
        <v>0</v>
      </c>
      <c r="AA11">
        <v>0</v>
      </c>
      <c r="AB11">
        <v>0</v>
      </c>
      <c r="AC11">
        <v>0</v>
      </c>
      <c r="AD11">
        <v>1</v>
      </c>
      <c r="AE11">
        <v>0</v>
      </c>
      <c r="AF11" t="s">
        <v>3</v>
      </c>
      <c r="AG11">
        <v>5.28</v>
      </c>
      <c r="AH11">
        <v>2</v>
      </c>
      <c r="AI11">
        <v>75702865</v>
      </c>
      <c r="AJ11">
        <v>11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</row>
    <row r="12" spans="1:44" x14ac:dyDescent="0.2">
      <c r="A12">
        <f>ROW(Source!A29)</f>
        <v>29</v>
      </c>
      <c r="B12">
        <v>75703105</v>
      </c>
      <c r="C12">
        <v>75702877</v>
      </c>
      <c r="D12">
        <v>75386788</v>
      </c>
      <c r="E12">
        <v>39</v>
      </c>
      <c r="F12">
        <v>1</v>
      </c>
      <c r="G12">
        <v>39</v>
      </c>
      <c r="H12">
        <v>1</v>
      </c>
      <c r="I12" t="s">
        <v>134</v>
      </c>
      <c r="J12" t="s">
        <v>3</v>
      </c>
      <c r="K12" t="s">
        <v>135</v>
      </c>
      <c r="L12">
        <v>1191</v>
      </c>
      <c r="N12">
        <v>1013</v>
      </c>
      <c r="O12" t="s">
        <v>136</v>
      </c>
      <c r="P12" t="s">
        <v>136</v>
      </c>
      <c r="Q12">
        <v>1</v>
      </c>
      <c r="X12">
        <v>212</v>
      </c>
      <c r="Y12">
        <v>0</v>
      </c>
      <c r="Z12">
        <v>0</v>
      </c>
      <c r="AA12">
        <v>0</v>
      </c>
      <c r="AB12">
        <v>0</v>
      </c>
      <c r="AC12">
        <v>0</v>
      </c>
      <c r="AD12">
        <v>1</v>
      </c>
      <c r="AE12">
        <v>1</v>
      </c>
      <c r="AF12" t="s">
        <v>3</v>
      </c>
      <c r="AG12">
        <v>212</v>
      </c>
      <c r="AH12">
        <v>2</v>
      </c>
      <c r="AI12">
        <v>75702878</v>
      </c>
      <c r="AJ12">
        <v>12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</row>
    <row r="13" spans="1:44" x14ac:dyDescent="0.2">
      <c r="A13">
        <f>ROW(Source!A29)</f>
        <v>29</v>
      </c>
      <c r="B13">
        <v>75703106</v>
      </c>
      <c r="C13">
        <v>75702877</v>
      </c>
      <c r="D13">
        <v>75391663</v>
      </c>
      <c r="E13">
        <v>1</v>
      </c>
      <c r="F13">
        <v>1</v>
      </c>
      <c r="G13">
        <v>39</v>
      </c>
      <c r="H13">
        <v>3</v>
      </c>
      <c r="I13" t="s">
        <v>170</v>
      </c>
      <c r="J13" t="s">
        <v>171</v>
      </c>
      <c r="K13" t="s">
        <v>172</v>
      </c>
      <c r="L13">
        <v>1339</v>
      </c>
      <c r="N13">
        <v>1007</v>
      </c>
      <c r="O13" t="s">
        <v>18</v>
      </c>
      <c r="P13" t="s">
        <v>18</v>
      </c>
      <c r="Q13">
        <v>1</v>
      </c>
      <c r="X13">
        <v>2.2000000000000002</v>
      </c>
      <c r="Y13">
        <v>5335.62</v>
      </c>
      <c r="Z13">
        <v>0</v>
      </c>
      <c r="AA13">
        <v>0</v>
      </c>
      <c r="AB13">
        <v>0</v>
      </c>
      <c r="AC13">
        <v>0</v>
      </c>
      <c r="AD13">
        <v>1</v>
      </c>
      <c r="AE13">
        <v>0</v>
      </c>
      <c r="AF13" t="s">
        <v>3</v>
      </c>
      <c r="AG13">
        <v>2.2000000000000002</v>
      </c>
      <c r="AH13">
        <v>2</v>
      </c>
      <c r="AI13">
        <v>75702879</v>
      </c>
      <c r="AJ13">
        <v>13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</row>
    <row r="14" spans="1:44" x14ac:dyDescent="0.2">
      <c r="A14">
        <f>ROW(Source!A29)</f>
        <v>29</v>
      </c>
      <c r="B14">
        <v>75703107</v>
      </c>
      <c r="C14">
        <v>75702877</v>
      </c>
      <c r="D14">
        <v>75386789</v>
      </c>
      <c r="E14">
        <v>39</v>
      </c>
      <c r="F14">
        <v>1</v>
      </c>
      <c r="G14">
        <v>39</v>
      </c>
      <c r="H14">
        <v>3</v>
      </c>
      <c r="I14" t="s">
        <v>173</v>
      </c>
      <c r="J14" t="s">
        <v>3</v>
      </c>
      <c r="K14" t="s">
        <v>174</v>
      </c>
      <c r="L14">
        <v>1348</v>
      </c>
      <c r="N14">
        <v>1009</v>
      </c>
      <c r="O14" t="s">
        <v>116</v>
      </c>
      <c r="P14" t="s">
        <v>116</v>
      </c>
      <c r="Q14">
        <v>1000</v>
      </c>
      <c r="X14">
        <v>4.84</v>
      </c>
      <c r="Y14">
        <v>0</v>
      </c>
      <c r="Z14">
        <v>0</v>
      </c>
      <c r="AA14">
        <v>0</v>
      </c>
      <c r="AB14">
        <v>0</v>
      </c>
      <c r="AC14">
        <v>0</v>
      </c>
      <c r="AD14">
        <v>1</v>
      </c>
      <c r="AE14">
        <v>0</v>
      </c>
      <c r="AF14" t="s">
        <v>3</v>
      </c>
      <c r="AG14">
        <v>4.84</v>
      </c>
      <c r="AH14">
        <v>2</v>
      </c>
      <c r="AI14">
        <v>75702880</v>
      </c>
      <c r="AJ14">
        <v>14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</row>
    <row r="15" spans="1:44" x14ac:dyDescent="0.2">
      <c r="A15">
        <f>ROW(Source!A30)</f>
        <v>30</v>
      </c>
      <c r="B15">
        <v>75703108</v>
      </c>
      <c r="C15">
        <v>75702884</v>
      </c>
      <c r="D15">
        <v>75386788</v>
      </c>
      <c r="E15">
        <v>39</v>
      </c>
      <c r="F15">
        <v>1</v>
      </c>
      <c r="G15">
        <v>39</v>
      </c>
      <c r="H15">
        <v>1</v>
      </c>
      <c r="I15" t="s">
        <v>134</v>
      </c>
      <c r="J15" t="s">
        <v>3</v>
      </c>
      <c r="K15" t="s">
        <v>135</v>
      </c>
      <c r="L15">
        <v>1191</v>
      </c>
      <c r="N15">
        <v>1013</v>
      </c>
      <c r="O15" t="s">
        <v>136</v>
      </c>
      <c r="P15" t="s">
        <v>136</v>
      </c>
      <c r="Q15">
        <v>1</v>
      </c>
      <c r="X15">
        <v>15.93</v>
      </c>
      <c r="Y15">
        <v>0</v>
      </c>
      <c r="Z15">
        <v>0</v>
      </c>
      <c r="AA15">
        <v>0</v>
      </c>
      <c r="AB15">
        <v>0</v>
      </c>
      <c r="AC15">
        <v>0</v>
      </c>
      <c r="AD15">
        <v>1</v>
      </c>
      <c r="AE15">
        <v>1</v>
      </c>
      <c r="AF15" t="s">
        <v>3</v>
      </c>
      <c r="AG15">
        <v>15.93</v>
      </c>
      <c r="AH15">
        <v>2</v>
      </c>
      <c r="AI15">
        <v>75702885</v>
      </c>
      <c r="AJ15">
        <v>15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</row>
    <row r="16" spans="1:44" x14ac:dyDescent="0.2">
      <c r="A16">
        <f>ROW(Source!A30)</f>
        <v>30</v>
      </c>
      <c r="B16">
        <v>75703109</v>
      </c>
      <c r="C16">
        <v>75702884</v>
      </c>
      <c r="D16">
        <v>75390955</v>
      </c>
      <c r="E16">
        <v>1</v>
      </c>
      <c r="F16">
        <v>1</v>
      </c>
      <c r="G16">
        <v>39</v>
      </c>
      <c r="H16">
        <v>3</v>
      </c>
      <c r="I16" t="s">
        <v>175</v>
      </c>
      <c r="J16" t="s">
        <v>176</v>
      </c>
      <c r="K16" t="s">
        <v>177</v>
      </c>
      <c r="L16">
        <v>1348</v>
      </c>
      <c r="N16">
        <v>1009</v>
      </c>
      <c r="O16" t="s">
        <v>116</v>
      </c>
      <c r="P16" t="s">
        <v>116</v>
      </c>
      <c r="Q16">
        <v>1000</v>
      </c>
      <c r="X16">
        <v>1E-3</v>
      </c>
      <c r="Y16">
        <v>57401.29</v>
      </c>
      <c r="Z16">
        <v>0</v>
      </c>
      <c r="AA16">
        <v>0</v>
      </c>
      <c r="AB16">
        <v>0</v>
      </c>
      <c r="AC16">
        <v>0</v>
      </c>
      <c r="AD16">
        <v>1</v>
      </c>
      <c r="AE16">
        <v>0</v>
      </c>
      <c r="AF16" t="s">
        <v>3</v>
      </c>
      <c r="AG16">
        <v>1E-3</v>
      </c>
      <c r="AH16">
        <v>2</v>
      </c>
      <c r="AI16">
        <v>75702886</v>
      </c>
      <c r="AJ16">
        <v>16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</row>
    <row r="17" spans="1:44" x14ac:dyDescent="0.2">
      <c r="A17">
        <f>ROW(Source!A30)</f>
        <v>30</v>
      </c>
      <c r="B17">
        <v>75703110</v>
      </c>
      <c r="C17">
        <v>75702884</v>
      </c>
      <c r="D17">
        <v>75389004</v>
      </c>
      <c r="E17">
        <v>1</v>
      </c>
      <c r="F17">
        <v>1</v>
      </c>
      <c r="G17">
        <v>39</v>
      </c>
      <c r="H17">
        <v>3</v>
      </c>
      <c r="I17" t="s">
        <v>178</v>
      </c>
      <c r="J17" t="s">
        <v>179</v>
      </c>
      <c r="K17" t="s">
        <v>180</v>
      </c>
      <c r="L17">
        <v>1348</v>
      </c>
      <c r="N17">
        <v>1009</v>
      </c>
      <c r="O17" t="s">
        <v>116</v>
      </c>
      <c r="P17" t="s">
        <v>116</v>
      </c>
      <c r="Q17">
        <v>1000</v>
      </c>
      <c r="X17">
        <v>1.8799999999999999E-3</v>
      </c>
      <c r="Y17">
        <v>71612.87</v>
      </c>
      <c r="Z17">
        <v>0</v>
      </c>
      <c r="AA17">
        <v>0</v>
      </c>
      <c r="AB17">
        <v>0</v>
      </c>
      <c r="AC17">
        <v>0</v>
      </c>
      <c r="AD17">
        <v>1</v>
      </c>
      <c r="AE17">
        <v>0</v>
      </c>
      <c r="AF17" t="s">
        <v>3</v>
      </c>
      <c r="AG17">
        <v>1.8799999999999999E-3</v>
      </c>
      <c r="AH17">
        <v>2</v>
      </c>
      <c r="AI17">
        <v>75702887</v>
      </c>
      <c r="AJ17">
        <v>17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</row>
    <row r="18" spans="1:44" x14ac:dyDescent="0.2">
      <c r="A18">
        <f>ROW(Source!A30)</f>
        <v>30</v>
      </c>
      <c r="B18">
        <v>75703111</v>
      </c>
      <c r="C18">
        <v>75702884</v>
      </c>
      <c r="D18">
        <v>75389041</v>
      </c>
      <c r="E18">
        <v>1</v>
      </c>
      <c r="F18">
        <v>1</v>
      </c>
      <c r="G18">
        <v>39</v>
      </c>
      <c r="H18">
        <v>3</v>
      </c>
      <c r="I18" t="s">
        <v>181</v>
      </c>
      <c r="J18" t="s">
        <v>182</v>
      </c>
      <c r="K18" t="s">
        <v>183</v>
      </c>
      <c r="L18">
        <v>1348</v>
      </c>
      <c r="N18">
        <v>1009</v>
      </c>
      <c r="O18" t="s">
        <v>116</v>
      </c>
      <c r="P18" t="s">
        <v>116</v>
      </c>
      <c r="Q18">
        <v>1000</v>
      </c>
      <c r="X18">
        <v>5.11E-2</v>
      </c>
      <c r="Y18">
        <v>147321.03</v>
      </c>
      <c r="Z18">
        <v>0</v>
      </c>
      <c r="AA18">
        <v>0</v>
      </c>
      <c r="AB18">
        <v>0</v>
      </c>
      <c r="AC18">
        <v>0</v>
      </c>
      <c r="AD18">
        <v>1</v>
      </c>
      <c r="AE18">
        <v>0</v>
      </c>
      <c r="AF18" t="s">
        <v>3</v>
      </c>
      <c r="AG18">
        <v>5.11E-2</v>
      </c>
      <c r="AH18">
        <v>2</v>
      </c>
      <c r="AI18">
        <v>75702888</v>
      </c>
      <c r="AJ18">
        <v>18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</row>
    <row r="19" spans="1:44" x14ac:dyDescent="0.2">
      <c r="A19">
        <f>ROW(Source!A30)</f>
        <v>30</v>
      </c>
      <c r="B19">
        <v>75703112</v>
      </c>
      <c r="C19">
        <v>75702884</v>
      </c>
      <c r="D19">
        <v>75388991</v>
      </c>
      <c r="E19">
        <v>1</v>
      </c>
      <c r="F19">
        <v>1</v>
      </c>
      <c r="G19">
        <v>39</v>
      </c>
      <c r="H19">
        <v>3</v>
      </c>
      <c r="I19" t="s">
        <v>184</v>
      </c>
      <c r="J19" t="s">
        <v>185</v>
      </c>
      <c r="K19" t="s">
        <v>186</v>
      </c>
      <c r="L19">
        <v>1348</v>
      </c>
      <c r="N19">
        <v>1009</v>
      </c>
      <c r="O19" t="s">
        <v>116</v>
      </c>
      <c r="P19" t="s">
        <v>116</v>
      </c>
      <c r="Q19">
        <v>1000</v>
      </c>
      <c r="X19">
        <v>2.4199999999999999E-2</v>
      </c>
      <c r="Y19">
        <v>196706.48</v>
      </c>
      <c r="Z19">
        <v>0</v>
      </c>
      <c r="AA19">
        <v>0</v>
      </c>
      <c r="AB19">
        <v>0</v>
      </c>
      <c r="AC19">
        <v>0</v>
      </c>
      <c r="AD19">
        <v>1</v>
      </c>
      <c r="AE19">
        <v>0</v>
      </c>
      <c r="AF19" t="s">
        <v>3</v>
      </c>
      <c r="AG19">
        <v>2.4199999999999999E-2</v>
      </c>
      <c r="AH19">
        <v>2</v>
      </c>
      <c r="AI19">
        <v>75702889</v>
      </c>
      <c r="AJ19">
        <v>19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</row>
    <row r="20" spans="1:44" x14ac:dyDescent="0.2">
      <c r="A20">
        <f>ROW(Source!A30)</f>
        <v>30</v>
      </c>
      <c r="B20">
        <v>75703113</v>
      </c>
      <c r="C20">
        <v>75702884</v>
      </c>
      <c r="D20">
        <v>75391746</v>
      </c>
      <c r="E20">
        <v>1</v>
      </c>
      <c r="F20">
        <v>1</v>
      </c>
      <c r="G20">
        <v>39</v>
      </c>
      <c r="H20">
        <v>3</v>
      </c>
      <c r="I20" t="s">
        <v>187</v>
      </c>
      <c r="J20" t="s">
        <v>188</v>
      </c>
      <c r="K20" t="s">
        <v>189</v>
      </c>
      <c r="L20">
        <v>1348</v>
      </c>
      <c r="N20">
        <v>1009</v>
      </c>
      <c r="O20" t="s">
        <v>116</v>
      </c>
      <c r="P20" t="s">
        <v>116</v>
      </c>
      <c r="Q20">
        <v>1000</v>
      </c>
      <c r="X20">
        <v>5.2499999999999998E-2</v>
      </c>
      <c r="Y20">
        <v>6315.46</v>
      </c>
      <c r="Z20">
        <v>0</v>
      </c>
      <c r="AA20">
        <v>0</v>
      </c>
      <c r="AB20">
        <v>0</v>
      </c>
      <c r="AC20">
        <v>0</v>
      </c>
      <c r="AD20">
        <v>1</v>
      </c>
      <c r="AE20">
        <v>0</v>
      </c>
      <c r="AF20" t="s">
        <v>3</v>
      </c>
      <c r="AG20">
        <v>5.2499999999999998E-2</v>
      </c>
      <c r="AH20">
        <v>2</v>
      </c>
      <c r="AI20">
        <v>75702890</v>
      </c>
      <c r="AJ20">
        <v>20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</row>
    <row r="21" spans="1:44" x14ac:dyDescent="0.2">
      <c r="A21">
        <f>ROW(Source!A31)</f>
        <v>31</v>
      </c>
      <c r="B21">
        <v>75703114</v>
      </c>
      <c r="C21">
        <v>75702897</v>
      </c>
      <c r="D21">
        <v>75386788</v>
      </c>
      <c r="E21">
        <v>39</v>
      </c>
      <c r="F21">
        <v>1</v>
      </c>
      <c r="G21">
        <v>39</v>
      </c>
      <c r="H21">
        <v>1</v>
      </c>
      <c r="I21" t="s">
        <v>134</v>
      </c>
      <c r="J21" t="s">
        <v>3</v>
      </c>
      <c r="K21" t="s">
        <v>135</v>
      </c>
      <c r="L21">
        <v>1191</v>
      </c>
      <c r="N21">
        <v>1013</v>
      </c>
      <c r="O21" t="s">
        <v>136</v>
      </c>
      <c r="P21" t="s">
        <v>136</v>
      </c>
      <c r="Q21">
        <v>1</v>
      </c>
      <c r="X21">
        <v>50.27</v>
      </c>
      <c r="Y21">
        <v>0</v>
      </c>
      <c r="Z21">
        <v>0</v>
      </c>
      <c r="AA21">
        <v>0</v>
      </c>
      <c r="AB21">
        <v>0</v>
      </c>
      <c r="AC21">
        <v>0</v>
      </c>
      <c r="AD21">
        <v>1</v>
      </c>
      <c r="AE21">
        <v>1</v>
      </c>
      <c r="AF21" t="s">
        <v>3</v>
      </c>
      <c r="AG21">
        <v>50.27</v>
      </c>
      <c r="AH21">
        <v>2</v>
      </c>
      <c r="AI21">
        <v>75702898</v>
      </c>
      <c r="AJ21">
        <v>21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</row>
    <row r="22" spans="1:44" x14ac:dyDescent="0.2">
      <c r="A22">
        <f>ROW(Source!A31)</f>
        <v>31</v>
      </c>
      <c r="B22">
        <v>75703115</v>
      </c>
      <c r="C22">
        <v>75702897</v>
      </c>
      <c r="D22">
        <v>75388035</v>
      </c>
      <c r="E22">
        <v>1</v>
      </c>
      <c r="F22">
        <v>1</v>
      </c>
      <c r="G22">
        <v>39</v>
      </c>
      <c r="H22">
        <v>2</v>
      </c>
      <c r="I22" t="s">
        <v>190</v>
      </c>
      <c r="J22" t="s">
        <v>191</v>
      </c>
      <c r="K22" t="s">
        <v>192</v>
      </c>
      <c r="L22">
        <v>1368</v>
      </c>
      <c r="N22">
        <v>1011</v>
      </c>
      <c r="O22" t="s">
        <v>140</v>
      </c>
      <c r="P22" t="s">
        <v>140</v>
      </c>
      <c r="Q22">
        <v>1</v>
      </c>
      <c r="X22">
        <v>0.16</v>
      </c>
      <c r="Y22">
        <v>0</v>
      </c>
      <c r="Z22">
        <v>9.1</v>
      </c>
      <c r="AA22">
        <v>0.13</v>
      </c>
      <c r="AB22">
        <v>0</v>
      </c>
      <c r="AC22">
        <v>0</v>
      </c>
      <c r="AD22">
        <v>1</v>
      </c>
      <c r="AE22">
        <v>0</v>
      </c>
      <c r="AF22" t="s">
        <v>3</v>
      </c>
      <c r="AG22">
        <v>0.16</v>
      </c>
      <c r="AH22">
        <v>2</v>
      </c>
      <c r="AI22">
        <v>75702899</v>
      </c>
      <c r="AJ22">
        <v>22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</row>
    <row r="23" spans="1:44" x14ac:dyDescent="0.2">
      <c r="A23">
        <f>ROW(Source!A31)</f>
        <v>31</v>
      </c>
      <c r="B23">
        <v>75703116</v>
      </c>
      <c r="C23">
        <v>75702897</v>
      </c>
      <c r="D23">
        <v>75390376</v>
      </c>
      <c r="E23">
        <v>1</v>
      </c>
      <c r="F23">
        <v>1</v>
      </c>
      <c r="G23">
        <v>39</v>
      </c>
      <c r="H23">
        <v>3</v>
      </c>
      <c r="I23" t="s">
        <v>193</v>
      </c>
      <c r="J23" t="s">
        <v>194</v>
      </c>
      <c r="K23" t="s">
        <v>195</v>
      </c>
      <c r="L23">
        <v>1346</v>
      </c>
      <c r="N23">
        <v>1009</v>
      </c>
      <c r="O23" t="s">
        <v>196</v>
      </c>
      <c r="P23" t="s">
        <v>196</v>
      </c>
      <c r="Q23">
        <v>1</v>
      </c>
      <c r="X23">
        <v>0.41</v>
      </c>
      <c r="Y23">
        <v>26.09</v>
      </c>
      <c r="Z23">
        <v>0</v>
      </c>
      <c r="AA23">
        <v>0</v>
      </c>
      <c r="AB23">
        <v>0</v>
      </c>
      <c r="AC23">
        <v>0</v>
      </c>
      <c r="AD23">
        <v>1</v>
      </c>
      <c r="AE23">
        <v>0</v>
      </c>
      <c r="AF23" t="s">
        <v>3</v>
      </c>
      <c r="AG23">
        <v>0.41</v>
      </c>
      <c r="AH23">
        <v>2</v>
      </c>
      <c r="AI23">
        <v>75702900</v>
      </c>
      <c r="AJ23">
        <v>23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</row>
    <row r="24" spans="1:44" x14ac:dyDescent="0.2">
      <c r="A24">
        <f>ROW(Source!A31)</f>
        <v>31</v>
      </c>
      <c r="B24">
        <v>75703117</v>
      </c>
      <c r="C24">
        <v>75702897</v>
      </c>
      <c r="D24">
        <v>75390588</v>
      </c>
      <c r="E24">
        <v>1</v>
      </c>
      <c r="F24">
        <v>1</v>
      </c>
      <c r="G24">
        <v>39</v>
      </c>
      <c r="H24">
        <v>3</v>
      </c>
      <c r="I24" t="s">
        <v>197</v>
      </c>
      <c r="J24" t="s">
        <v>198</v>
      </c>
      <c r="K24" t="s">
        <v>199</v>
      </c>
      <c r="L24">
        <v>1339</v>
      </c>
      <c r="N24">
        <v>1007</v>
      </c>
      <c r="O24" t="s">
        <v>18</v>
      </c>
      <c r="P24" t="s">
        <v>18</v>
      </c>
      <c r="Q24">
        <v>1</v>
      </c>
      <c r="X24">
        <v>0.02</v>
      </c>
      <c r="Y24">
        <v>49.83</v>
      </c>
      <c r="Z24">
        <v>0</v>
      </c>
      <c r="AA24">
        <v>0</v>
      </c>
      <c r="AB24">
        <v>0</v>
      </c>
      <c r="AC24">
        <v>0</v>
      </c>
      <c r="AD24">
        <v>1</v>
      </c>
      <c r="AE24">
        <v>0</v>
      </c>
      <c r="AF24" t="s">
        <v>3</v>
      </c>
      <c r="AG24">
        <v>0.02</v>
      </c>
      <c r="AH24">
        <v>2</v>
      </c>
      <c r="AI24">
        <v>75702901</v>
      </c>
      <c r="AJ24">
        <v>24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</row>
    <row r="25" spans="1:44" x14ac:dyDescent="0.2">
      <c r="A25">
        <f>ROW(Source!A31)</f>
        <v>31</v>
      </c>
      <c r="B25">
        <v>75703118</v>
      </c>
      <c r="C25">
        <v>75702897</v>
      </c>
      <c r="D25">
        <v>75390936</v>
      </c>
      <c r="E25">
        <v>1</v>
      </c>
      <c r="F25">
        <v>1</v>
      </c>
      <c r="G25">
        <v>39</v>
      </c>
      <c r="H25">
        <v>3</v>
      </c>
      <c r="I25" t="s">
        <v>200</v>
      </c>
      <c r="J25" t="s">
        <v>201</v>
      </c>
      <c r="K25" t="s">
        <v>202</v>
      </c>
      <c r="L25">
        <v>1327</v>
      </c>
      <c r="N25">
        <v>1005</v>
      </c>
      <c r="O25" t="s">
        <v>169</v>
      </c>
      <c r="P25" t="s">
        <v>169</v>
      </c>
      <c r="Q25">
        <v>1</v>
      </c>
      <c r="X25">
        <v>0.8</v>
      </c>
      <c r="Y25">
        <v>338.51</v>
      </c>
      <c r="Z25">
        <v>0</v>
      </c>
      <c r="AA25">
        <v>0</v>
      </c>
      <c r="AB25">
        <v>0</v>
      </c>
      <c r="AC25">
        <v>0</v>
      </c>
      <c r="AD25">
        <v>1</v>
      </c>
      <c r="AE25">
        <v>0</v>
      </c>
      <c r="AF25" t="s">
        <v>3</v>
      </c>
      <c r="AG25">
        <v>0.8</v>
      </c>
      <c r="AH25">
        <v>2</v>
      </c>
      <c r="AI25">
        <v>75702902</v>
      </c>
      <c r="AJ25">
        <v>25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</row>
    <row r="26" spans="1:44" x14ac:dyDescent="0.2">
      <c r="A26">
        <f>ROW(Source!A31)</f>
        <v>31</v>
      </c>
      <c r="B26">
        <v>75703119</v>
      </c>
      <c r="C26">
        <v>75702897</v>
      </c>
      <c r="D26">
        <v>75390952</v>
      </c>
      <c r="E26">
        <v>1</v>
      </c>
      <c r="F26">
        <v>1</v>
      </c>
      <c r="G26">
        <v>39</v>
      </c>
      <c r="H26">
        <v>3</v>
      </c>
      <c r="I26" t="s">
        <v>203</v>
      </c>
      <c r="J26" t="s">
        <v>204</v>
      </c>
      <c r="K26" t="s">
        <v>205</v>
      </c>
      <c r="L26">
        <v>1348</v>
      </c>
      <c r="N26">
        <v>1009</v>
      </c>
      <c r="O26" t="s">
        <v>116</v>
      </c>
      <c r="P26" t="s">
        <v>116</v>
      </c>
      <c r="Q26">
        <v>1000</v>
      </c>
      <c r="X26">
        <v>1.8499999999999999E-2</v>
      </c>
      <c r="Y26">
        <v>76204.789999999994</v>
      </c>
      <c r="Z26">
        <v>0</v>
      </c>
      <c r="AA26">
        <v>0</v>
      </c>
      <c r="AB26">
        <v>0</v>
      </c>
      <c r="AC26">
        <v>0</v>
      </c>
      <c r="AD26">
        <v>1</v>
      </c>
      <c r="AE26">
        <v>0</v>
      </c>
      <c r="AF26" t="s">
        <v>3</v>
      </c>
      <c r="AG26">
        <v>1.8499999999999999E-2</v>
      </c>
      <c r="AH26">
        <v>2</v>
      </c>
      <c r="AI26">
        <v>75702903</v>
      </c>
      <c r="AJ26">
        <v>26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</row>
    <row r="27" spans="1:44" x14ac:dyDescent="0.2">
      <c r="A27">
        <f>ROW(Source!A31)</f>
        <v>31</v>
      </c>
      <c r="B27">
        <v>75703120</v>
      </c>
      <c r="C27">
        <v>75702897</v>
      </c>
      <c r="D27">
        <v>75388993</v>
      </c>
      <c r="E27">
        <v>1</v>
      </c>
      <c r="F27">
        <v>1</v>
      </c>
      <c r="G27">
        <v>39</v>
      </c>
      <c r="H27">
        <v>3</v>
      </c>
      <c r="I27" t="s">
        <v>206</v>
      </c>
      <c r="J27" t="s">
        <v>207</v>
      </c>
      <c r="K27" t="s">
        <v>208</v>
      </c>
      <c r="L27">
        <v>1296</v>
      </c>
      <c r="N27">
        <v>1002</v>
      </c>
      <c r="O27" t="s">
        <v>209</v>
      </c>
      <c r="P27" t="s">
        <v>209</v>
      </c>
      <c r="Q27">
        <v>1</v>
      </c>
      <c r="X27">
        <v>10</v>
      </c>
      <c r="Y27">
        <v>128.71</v>
      </c>
      <c r="Z27">
        <v>0</v>
      </c>
      <c r="AA27">
        <v>0</v>
      </c>
      <c r="AB27">
        <v>0</v>
      </c>
      <c r="AC27">
        <v>0</v>
      </c>
      <c r="AD27">
        <v>1</v>
      </c>
      <c r="AE27">
        <v>0</v>
      </c>
      <c r="AF27" t="s">
        <v>3</v>
      </c>
      <c r="AG27">
        <v>10</v>
      </c>
      <c r="AH27">
        <v>2</v>
      </c>
      <c r="AI27">
        <v>75702904</v>
      </c>
      <c r="AJ27">
        <v>27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</row>
    <row r="28" spans="1:44" x14ac:dyDescent="0.2">
      <c r="A28">
        <f>ROW(Source!A31)</f>
        <v>31</v>
      </c>
      <c r="B28">
        <v>75703121</v>
      </c>
      <c r="C28">
        <v>75702897</v>
      </c>
      <c r="D28">
        <v>75389091</v>
      </c>
      <c r="E28">
        <v>1</v>
      </c>
      <c r="F28">
        <v>1</v>
      </c>
      <c r="G28">
        <v>39</v>
      </c>
      <c r="H28">
        <v>3</v>
      </c>
      <c r="I28" t="s">
        <v>210</v>
      </c>
      <c r="J28" t="s">
        <v>211</v>
      </c>
      <c r="K28" t="s">
        <v>212</v>
      </c>
      <c r="L28">
        <v>1348</v>
      </c>
      <c r="N28">
        <v>1009</v>
      </c>
      <c r="O28" t="s">
        <v>116</v>
      </c>
      <c r="P28" t="s">
        <v>116</v>
      </c>
      <c r="Q28">
        <v>1000</v>
      </c>
      <c r="X28">
        <v>1.6000000000000001E-3</v>
      </c>
      <c r="Y28">
        <v>116802.33</v>
      </c>
      <c r="Z28">
        <v>0</v>
      </c>
      <c r="AA28">
        <v>0</v>
      </c>
      <c r="AB28">
        <v>0</v>
      </c>
      <c r="AC28">
        <v>0</v>
      </c>
      <c r="AD28">
        <v>1</v>
      </c>
      <c r="AE28">
        <v>0</v>
      </c>
      <c r="AF28" t="s">
        <v>3</v>
      </c>
      <c r="AG28">
        <v>1.6000000000000001E-3</v>
      </c>
      <c r="AH28">
        <v>2</v>
      </c>
      <c r="AI28">
        <v>75702905</v>
      </c>
      <c r="AJ28">
        <v>28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</row>
    <row r="29" spans="1:44" x14ac:dyDescent="0.2">
      <c r="A29">
        <f>ROW(Source!A31)</f>
        <v>31</v>
      </c>
      <c r="B29">
        <v>75703122</v>
      </c>
      <c r="C29">
        <v>75702897</v>
      </c>
      <c r="D29">
        <v>75389041</v>
      </c>
      <c r="E29">
        <v>1</v>
      </c>
      <c r="F29">
        <v>1</v>
      </c>
      <c r="G29">
        <v>39</v>
      </c>
      <c r="H29">
        <v>3</v>
      </c>
      <c r="I29" t="s">
        <v>181</v>
      </c>
      <c r="J29" t="s">
        <v>182</v>
      </c>
      <c r="K29" t="s">
        <v>183</v>
      </c>
      <c r="L29">
        <v>1348</v>
      </c>
      <c r="N29">
        <v>1009</v>
      </c>
      <c r="O29" t="s">
        <v>116</v>
      </c>
      <c r="P29" t="s">
        <v>116</v>
      </c>
      <c r="Q29">
        <v>1000</v>
      </c>
      <c r="X29">
        <v>5.11E-2</v>
      </c>
      <c r="Y29">
        <v>147321.03</v>
      </c>
      <c r="Z29">
        <v>0</v>
      </c>
      <c r="AA29">
        <v>0</v>
      </c>
      <c r="AB29">
        <v>0</v>
      </c>
      <c r="AC29">
        <v>0</v>
      </c>
      <c r="AD29">
        <v>1</v>
      </c>
      <c r="AE29">
        <v>0</v>
      </c>
      <c r="AF29" t="s">
        <v>3</v>
      </c>
      <c r="AG29">
        <v>5.11E-2</v>
      </c>
      <c r="AH29">
        <v>2</v>
      </c>
      <c r="AI29">
        <v>75702906</v>
      </c>
      <c r="AJ29">
        <v>29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</row>
    <row r="30" spans="1:44" x14ac:dyDescent="0.2">
      <c r="A30">
        <f>ROW(Source!A31)</f>
        <v>31</v>
      </c>
      <c r="B30">
        <v>75703123</v>
      </c>
      <c r="C30">
        <v>75702897</v>
      </c>
      <c r="D30">
        <v>75388991</v>
      </c>
      <c r="E30">
        <v>1</v>
      </c>
      <c r="F30">
        <v>1</v>
      </c>
      <c r="G30">
        <v>39</v>
      </c>
      <c r="H30">
        <v>3</v>
      </c>
      <c r="I30" t="s">
        <v>184</v>
      </c>
      <c r="J30" t="s">
        <v>185</v>
      </c>
      <c r="K30" t="s">
        <v>186</v>
      </c>
      <c r="L30">
        <v>1348</v>
      </c>
      <c r="N30">
        <v>1009</v>
      </c>
      <c r="O30" t="s">
        <v>116</v>
      </c>
      <c r="P30" t="s">
        <v>116</v>
      </c>
      <c r="Q30">
        <v>1000</v>
      </c>
      <c r="X30">
        <v>3.5000000000000001E-3</v>
      </c>
      <c r="Y30">
        <v>196706.48</v>
      </c>
      <c r="Z30">
        <v>0</v>
      </c>
      <c r="AA30">
        <v>0</v>
      </c>
      <c r="AB30">
        <v>0</v>
      </c>
      <c r="AC30">
        <v>0</v>
      </c>
      <c r="AD30">
        <v>1</v>
      </c>
      <c r="AE30">
        <v>0</v>
      </c>
      <c r="AF30" t="s">
        <v>3</v>
      </c>
      <c r="AG30">
        <v>3.5000000000000001E-3</v>
      </c>
      <c r="AH30">
        <v>2</v>
      </c>
      <c r="AI30">
        <v>75702907</v>
      </c>
      <c r="AJ30">
        <v>30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</row>
    <row r="31" spans="1:44" x14ac:dyDescent="0.2">
      <c r="A31">
        <f>ROW(Source!A31)</f>
        <v>31</v>
      </c>
      <c r="B31">
        <v>75703124</v>
      </c>
      <c r="C31">
        <v>75702897</v>
      </c>
      <c r="D31">
        <v>75391717</v>
      </c>
      <c r="E31">
        <v>1</v>
      </c>
      <c r="F31">
        <v>1</v>
      </c>
      <c r="G31">
        <v>39</v>
      </c>
      <c r="H31">
        <v>3</v>
      </c>
      <c r="I31" t="s">
        <v>213</v>
      </c>
      <c r="J31" t="s">
        <v>214</v>
      </c>
      <c r="K31" t="s">
        <v>215</v>
      </c>
      <c r="L31">
        <v>1348</v>
      </c>
      <c r="N31">
        <v>1009</v>
      </c>
      <c r="O31" t="s">
        <v>116</v>
      </c>
      <c r="P31" t="s">
        <v>116</v>
      </c>
      <c r="Q31">
        <v>1000</v>
      </c>
      <c r="X31">
        <v>5.2499999999999998E-2</v>
      </c>
      <c r="Y31">
        <v>17372.259999999998</v>
      </c>
      <c r="Z31">
        <v>0</v>
      </c>
      <c r="AA31">
        <v>0</v>
      </c>
      <c r="AB31">
        <v>0</v>
      </c>
      <c r="AC31">
        <v>0</v>
      </c>
      <c r="AD31">
        <v>1</v>
      </c>
      <c r="AE31">
        <v>0</v>
      </c>
      <c r="AF31" t="s">
        <v>3</v>
      </c>
      <c r="AG31">
        <v>5.2499999999999998E-2</v>
      </c>
      <c r="AH31">
        <v>2</v>
      </c>
      <c r="AI31">
        <v>75702908</v>
      </c>
      <c r="AJ31">
        <v>31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</row>
    <row r="32" spans="1:44" x14ac:dyDescent="0.2">
      <c r="A32">
        <f>ROW(Source!A67)</f>
        <v>67</v>
      </c>
      <c r="B32">
        <v>75703125</v>
      </c>
      <c r="C32">
        <v>75702976</v>
      </c>
      <c r="D32">
        <v>75386788</v>
      </c>
      <c r="E32">
        <v>39</v>
      </c>
      <c r="F32">
        <v>1</v>
      </c>
      <c r="G32">
        <v>39</v>
      </c>
      <c r="H32">
        <v>1</v>
      </c>
      <c r="I32" t="s">
        <v>134</v>
      </c>
      <c r="J32" t="s">
        <v>3</v>
      </c>
      <c r="K32" t="s">
        <v>135</v>
      </c>
      <c r="L32">
        <v>1191</v>
      </c>
      <c r="N32">
        <v>1013</v>
      </c>
      <c r="O32" t="s">
        <v>136</v>
      </c>
      <c r="P32" t="s">
        <v>136</v>
      </c>
      <c r="Q32">
        <v>1</v>
      </c>
      <c r="X32">
        <v>17.41</v>
      </c>
      <c r="Y32">
        <v>0</v>
      </c>
      <c r="Z32">
        <v>0</v>
      </c>
      <c r="AA32">
        <v>0</v>
      </c>
      <c r="AB32">
        <v>0</v>
      </c>
      <c r="AC32">
        <v>0</v>
      </c>
      <c r="AD32">
        <v>1</v>
      </c>
      <c r="AE32">
        <v>1</v>
      </c>
      <c r="AF32" t="s">
        <v>3</v>
      </c>
      <c r="AG32">
        <v>17.41</v>
      </c>
      <c r="AH32">
        <v>2</v>
      </c>
      <c r="AI32">
        <v>75702977</v>
      </c>
      <c r="AJ32">
        <v>32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</row>
    <row r="33" spans="1:44" x14ac:dyDescent="0.2">
      <c r="A33">
        <f>ROW(Source!A67)</f>
        <v>67</v>
      </c>
      <c r="B33">
        <v>75703126</v>
      </c>
      <c r="C33">
        <v>75702976</v>
      </c>
      <c r="D33">
        <v>75386789</v>
      </c>
      <c r="E33">
        <v>39</v>
      </c>
      <c r="F33">
        <v>1</v>
      </c>
      <c r="G33">
        <v>39</v>
      </c>
      <c r="H33">
        <v>3</v>
      </c>
      <c r="I33" t="s">
        <v>173</v>
      </c>
      <c r="J33" t="s">
        <v>3</v>
      </c>
      <c r="K33" t="s">
        <v>174</v>
      </c>
      <c r="L33">
        <v>1348</v>
      </c>
      <c r="N33">
        <v>1009</v>
      </c>
      <c r="O33" t="s">
        <v>116</v>
      </c>
      <c r="P33" t="s">
        <v>116</v>
      </c>
      <c r="Q33">
        <v>1000</v>
      </c>
      <c r="X33">
        <v>1.02</v>
      </c>
      <c r="Y33">
        <v>0</v>
      </c>
      <c r="Z33">
        <v>0</v>
      </c>
      <c r="AA33">
        <v>0</v>
      </c>
      <c r="AB33">
        <v>0</v>
      </c>
      <c r="AC33">
        <v>0</v>
      </c>
      <c r="AD33">
        <v>1</v>
      </c>
      <c r="AE33">
        <v>0</v>
      </c>
      <c r="AF33" t="s">
        <v>3</v>
      </c>
      <c r="AG33">
        <v>1.02</v>
      </c>
      <c r="AH33">
        <v>2</v>
      </c>
      <c r="AI33">
        <v>75702978</v>
      </c>
      <c r="AJ33">
        <v>33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</row>
    <row r="34" spans="1:44" x14ac:dyDescent="0.2">
      <c r="A34">
        <f>ROW(Source!A68)</f>
        <v>68</v>
      </c>
      <c r="B34">
        <v>75703127</v>
      </c>
      <c r="C34">
        <v>75702981</v>
      </c>
      <c r="D34">
        <v>75386788</v>
      </c>
      <c r="E34">
        <v>39</v>
      </c>
      <c r="F34">
        <v>1</v>
      </c>
      <c r="G34">
        <v>39</v>
      </c>
      <c r="H34">
        <v>1</v>
      </c>
      <c r="I34" t="s">
        <v>134</v>
      </c>
      <c r="J34" t="s">
        <v>3</v>
      </c>
      <c r="K34" t="s">
        <v>135</v>
      </c>
      <c r="L34">
        <v>1191</v>
      </c>
      <c r="N34">
        <v>1013</v>
      </c>
      <c r="O34" t="s">
        <v>136</v>
      </c>
      <c r="P34" t="s">
        <v>136</v>
      </c>
      <c r="Q34">
        <v>1</v>
      </c>
      <c r="X34">
        <v>24.6</v>
      </c>
      <c r="Y34">
        <v>0</v>
      </c>
      <c r="Z34">
        <v>0</v>
      </c>
      <c r="AA34">
        <v>0</v>
      </c>
      <c r="AB34">
        <v>0</v>
      </c>
      <c r="AC34">
        <v>0</v>
      </c>
      <c r="AD34">
        <v>1</v>
      </c>
      <c r="AE34">
        <v>1</v>
      </c>
      <c r="AF34" t="s">
        <v>3</v>
      </c>
      <c r="AG34">
        <v>24.6</v>
      </c>
      <c r="AH34">
        <v>2</v>
      </c>
      <c r="AI34">
        <v>75702982</v>
      </c>
      <c r="AJ34">
        <v>34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</row>
    <row r="35" spans="1:44" x14ac:dyDescent="0.2">
      <c r="A35">
        <f>ROW(Source!A68)</f>
        <v>68</v>
      </c>
      <c r="B35">
        <v>75703128</v>
      </c>
      <c r="C35">
        <v>75702981</v>
      </c>
      <c r="D35">
        <v>75388083</v>
      </c>
      <c r="E35">
        <v>1</v>
      </c>
      <c r="F35">
        <v>1</v>
      </c>
      <c r="G35">
        <v>39</v>
      </c>
      <c r="H35">
        <v>2</v>
      </c>
      <c r="I35" t="s">
        <v>216</v>
      </c>
      <c r="J35" t="s">
        <v>217</v>
      </c>
      <c r="K35" t="s">
        <v>218</v>
      </c>
      <c r="L35">
        <v>1368</v>
      </c>
      <c r="N35">
        <v>1011</v>
      </c>
      <c r="O35" t="s">
        <v>140</v>
      </c>
      <c r="P35" t="s">
        <v>140</v>
      </c>
      <c r="Q35">
        <v>1</v>
      </c>
      <c r="X35">
        <v>10.4</v>
      </c>
      <c r="Y35">
        <v>0</v>
      </c>
      <c r="Z35">
        <v>12.14</v>
      </c>
      <c r="AA35">
        <v>7.0000000000000007E-2</v>
      </c>
      <c r="AB35">
        <v>0</v>
      </c>
      <c r="AC35">
        <v>0</v>
      </c>
      <c r="AD35">
        <v>1</v>
      </c>
      <c r="AE35">
        <v>0</v>
      </c>
      <c r="AF35" t="s">
        <v>3</v>
      </c>
      <c r="AG35">
        <v>10.4</v>
      </c>
      <c r="AH35">
        <v>2</v>
      </c>
      <c r="AI35">
        <v>75702983</v>
      </c>
      <c r="AJ35">
        <v>35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</row>
    <row r="36" spans="1:44" x14ac:dyDescent="0.2">
      <c r="A36">
        <f>ROW(Source!A68)</f>
        <v>68</v>
      </c>
      <c r="B36">
        <v>75703129</v>
      </c>
      <c r="C36">
        <v>75702981</v>
      </c>
      <c r="D36">
        <v>75388548</v>
      </c>
      <c r="E36">
        <v>1</v>
      </c>
      <c r="F36">
        <v>1</v>
      </c>
      <c r="G36">
        <v>39</v>
      </c>
      <c r="H36">
        <v>2</v>
      </c>
      <c r="I36" t="s">
        <v>219</v>
      </c>
      <c r="J36" t="s">
        <v>220</v>
      </c>
      <c r="K36" t="s">
        <v>221</v>
      </c>
      <c r="L36">
        <v>1368</v>
      </c>
      <c r="N36">
        <v>1011</v>
      </c>
      <c r="O36" t="s">
        <v>140</v>
      </c>
      <c r="P36" t="s">
        <v>140</v>
      </c>
      <c r="Q36">
        <v>1</v>
      </c>
      <c r="X36">
        <v>10.4</v>
      </c>
      <c r="Y36">
        <v>0</v>
      </c>
      <c r="Z36">
        <v>6.09</v>
      </c>
      <c r="AA36">
        <v>0.02</v>
      </c>
      <c r="AB36">
        <v>0</v>
      </c>
      <c r="AC36">
        <v>0</v>
      </c>
      <c r="AD36">
        <v>1</v>
      </c>
      <c r="AE36">
        <v>0</v>
      </c>
      <c r="AF36" t="s">
        <v>3</v>
      </c>
      <c r="AG36">
        <v>10.4</v>
      </c>
      <c r="AH36">
        <v>2</v>
      </c>
      <c r="AI36">
        <v>75702984</v>
      </c>
      <c r="AJ36">
        <v>36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</row>
    <row r="37" spans="1:44" x14ac:dyDescent="0.2">
      <c r="A37">
        <f>ROW(Source!A68)</f>
        <v>68</v>
      </c>
      <c r="B37">
        <v>75703130</v>
      </c>
      <c r="C37">
        <v>75702981</v>
      </c>
      <c r="D37">
        <v>75386789</v>
      </c>
      <c r="E37">
        <v>39</v>
      </c>
      <c r="F37">
        <v>1</v>
      </c>
      <c r="G37">
        <v>39</v>
      </c>
      <c r="H37">
        <v>3</v>
      </c>
      <c r="I37" t="s">
        <v>173</v>
      </c>
      <c r="J37" t="s">
        <v>3</v>
      </c>
      <c r="K37" t="s">
        <v>174</v>
      </c>
      <c r="L37">
        <v>1348</v>
      </c>
      <c r="N37">
        <v>1009</v>
      </c>
      <c r="O37" t="s">
        <v>116</v>
      </c>
      <c r="P37" t="s">
        <v>116</v>
      </c>
      <c r="Q37">
        <v>1000</v>
      </c>
      <c r="X37">
        <v>6.6</v>
      </c>
      <c r="Y37">
        <v>0</v>
      </c>
      <c r="Z37">
        <v>0</v>
      </c>
      <c r="AA37">
        <v>0</v>
      </c>
      <c r="AB37">
        <v>0</v>
      </c>
      <c r="AC37">
        <v>0</v>
      </c>
      <c r="AD37">
        <v>1</v>
      </c>
      <c r="AE37">
        <v>0</v>
      </c>
      <c r="AF37" t="s">
        <v>3</v>
      </c>
      <c r="AG37">
        <v>6.6</v>
      </c>
      <c r="AH37">
        <v>2</v>
      </c>
      <c r="AI37">
        <v>75702985</v>
      </c>
      <c r="AJ37">
        <v>37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</row>
    <row r="38" spans="1:44" x14ac:dyDescent="0.2">
      <c r="A38">
        <f>ROW(Source!A69)</f>
        <v>69</v>
      </c>
      <c r="B38">
        <v>75703131</v>
      </c>
      <c r="C38">
        <v>75702990</v>
      </c>
      <c r="D38">
        <v>75386788</v>
      </c>
      <c r="E38">
        <v>39</v>
      </c>
      <c r="F38">
        <v>1</v>
      </c>
      <c r="G38">
        <v>39</v>
      </c>
      <c r="H38">
        <v>1</v>
      </c>
      <c r="I38" t="s">
        <v>134</v>
      </c>
      <c r="J38" t="s">
        <v>3</v>
      </c>
      <c r="K38" t="s">
        <v>135</v>
      </c>
      <c r="L38">
        <v>1191</v>
      </c>
      <c r="N38">
        <v>1013</v>
      </c>
      <c r="O38" t="s">
        <v>136</v>
      </c>
      <c r="P38" t="s">
        <v>136</v>
      </c>
      <c r="Q38">
        <v>1</v>
      </c>
      <c r="X38">
        <v>27.94</v>
      </c>
      <c r="Y38">
        <v>0</v>
      </c>
      <c r="Z38">
        <v>0</v>
      </c>
      <c r="AA38">
        <v>0</v>
      </c>
      <c r="AB38">
        <v>0</v>
      </c>
      <c r="AC38">
        <v>0</v>
      </c>
      <c r="AD38">
        <v>1</v>
      </c>
      <c r="AE38">
        <v>1</v>
      </c>
      <c r="AF38" t="s">
        <v>3</v>
      </c>
      <c r="AG38">
        <v>27.94</v>
      </c>
      <c r="AH38">
        <v>2</v>
      </c>
      <c r="AI38">
        <v>75702991</v>
      </c>
      <c r="AJ38">
        <v>38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</row>
    <row r="39" spans="1:44" x14ac:dyDescent="0.2">
      <c r="A39">
        <f>ROW(Source!A69)</f>
        <v>69</v>
      </c>
      <c r="B39">
        <v>75703132</v>
      </c>
      <c r="C39">
        <v>75702990</v>
      </c>
      <c r="D39">
        <v>75388101</v>
      </c>
      <c r="E39">
        <v>1</v>
      </c>
      <c r="F39">
        <v>1</v>
      </c>
      <c r="G39">
        <v>39</v>
      </c>
      <c r="H39">
        <v>2</v>
      </c>
      <c r="I39" t="s">
        <v>222</v>
      </c>
      <c r="J39" t="s">
        <v>223</v>
      </c>
      <c r="K39" t="s">
        <v>224</v>
      </c>
      <c r="L39">
        <v>1368</v>
      </c>
      <c r="N39">
        <v>1011</v>
      </c>
      <c r="O39" t="s">
        <v>140</v>
      </c>
      <c r="P39" t="s">
        <v>140</v>
      </c>
      <c r="Q39">
        <v>1</v>
      </c>
      <c r="X39">
        <v>2.86</v>
      </c>
      <c r="Y39">
        <v>0</v>
      </c>
      <c r="Z39">
        <v>135.65</v>
      </c>
      <c r="AA39">
        <v>33.54</v>
      </c>
      <c r="AB39">
        <v>0</v>
      </c>
      <c r="AC39">
        <v>0</v>
      </c>
      <c r="AD39">
        <v>1</v>
      </c>
      <c r="AE39">
        <v>0</v>
      </c>
      <c r="AF39" t="s">
        <v>3</v>
      </c>
      <c r="AG39">
        <v>2.86</v>
      </c>
      <c r="AH39">
        <v>2</v>
      </c>
      <c r="AI39">
        <v>75702992</v>
      </c>
      <c r="AJ39">
        <v>39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</row>
    <row r="40" spans="1:44" x14ac:dyDescent="0.2">
      <c r="A40">
        <f>ROW(Source!A69)</f>
        <v>69</v>
      </c>
      <c r="B40">
        <v>75703133</v>
      </c>
      <c r="C40">
        <v>75702990</v>
      </c>
      <c r="D40">
        <v>75390588</v>
      </c>
      <c r="E40">
        <v>1</v>
      </c>
      <c r="F40">
        <v>1</v>
      </c>
      <c r="G40">
        <v>39</v>
      </c>
      <c r="H40">
        <v>3</v>
      </c>
      <c r="I40" t="s">
        <v>197</v>
      </c>
      <c r="J40" t="s">
        <v>198</v>
      </c>
      <c r="K40" t="s">
        <v>199</v>
      </c>
      <c r="L40">
        <v>1339</v>
      </c>
      <c r="N40">
        <v>1007</v>
      </c>
      <c r="O40" t="s">
        <v>18</v>
      </c>
      <c r="P40" t="s">
        <v>18</v>
      </c>
      <c r="Q40">
        <v>1</v>
      </c>
      <c r="X40">
        <v>3.85</v>
      </c>
      <c r="Y40">
        <v>49.83</v>
      </c>
      <c r="Z40">
        <v>0</v>
      </c>
      <c r="AA40">
        <v>0</v>
      </c>
      <c r="AB40">
        <v>0</v>
      </c>
      <c r="AC40">
        <v>0</v>
      </c>
      <c r="AD40">
        <v>1</v>
      </c>
      <c r="AE40">
        <v>0</v>
      </c>
      <c r="AF40" t="s">
        <v>3</v>
      </c>
      <c r="AG40">
        <v>3.85</v>
      </c>
      <c r="AH40">
        <v>2</v>
      </c>
      <c r="AI40">
        <v>75702993</v>
      </c>
      <c r="AJ40">
        <v>40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</row>
    <row r="41" spans="1:44" x14ac:dyDescent="0.2">
      <c r="A41">
        <f>ROW(Source!A69)</f>
        <v>69</v>
      </c>
      <c r="B41">
        <v>75703134</v>
      </c>
      <c r="C41">
        <v>75702990</v>
      </c>
      <c r="D41">
        <v>75391666</v>
      </c>
      <c r="E41">
        <v>1</v>
      </c>
      <c r="F41">
        <v>1</v>
      </c>
      <c r="G41">
        <v>39</v>
      </c>
      <c r="H41">
        <v>3</v>
      </c>
      <c r="I41" t="s">
        <v>225</v>
      </c>
      <c r="J41" t="s">
        <v>226</v>
      </c>
      <c r="K41" t="s">
        <v>227</v>
      </c>
      <c r="L41">
        <v>1339</v>
      </c>
      <c r="N41">
        <v>1007</v>
      </c>
      <c r="O41" t="s">
        <v>18</v>
      </c>
      <c r="P41" t="s">
        <v>18</v>
      </c>
      <c r="Q41">
        <v>1</v>
      </c>
      <c r="X41">
        <v>1.53</v>
      </c>
      <c r="Y41">
        <v>5192.1099999999997</v>
      </c>
      <c r="Z41">
        <v>0</v>
      </c>
      <c r="AA41">
        <v>0</v>
      </c>
      <c r="AB41">
        <v>0</v>
      </c>
      <c r="AC41">
        <v>0</v>
      </c>
      <c r="AD41">
        <v>1</v>
      </c>
      <c r="AE41">
        <v>0</v>
      </c>
      <c r="AF41" t="s">
        <v>3</v>
      </c>
      <c r="AG41">
        <v>1.53</v>
      </c>
      <c r="AH41">
        <v>2</v>
      </c>
      <c r="AI41">
        <v>75702994</v>
      </c>
      <c r="AJ41">
        <v>41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</row>
    <row r="42" spans="1:44" x14ac:dyDescent="0.2">
      <c r="A42">
        <f>ROW(Source!A70)</f>
        <v>70</v>
      </c>
      <c r="B42">
        <v>75703135</v>
      </c>
      <c r="C42">
        <v>75702999</v>
      </c>
      <c r="D42">
        <v>75386788</v>
      </c>
      <c r="E42">
        <v>39</v>
      </c>
      <c r="F42">
        <v>1</v>
      </c>
      <c r="G42">
        <v>39</v>
      </c>
      <c r="H42">
        <v>1</v>
      </c>
      <c r="I42" t="s">
        <v>134</v>
      </c>
      <c r="J42" t="s">
        <v>3</v>
      </c>
      <c r="K42" t="s">
        <v>135</v>
      </c>
      <c r="L42">
        <v>1191</v>
      </c>
      <c r="N42">
        <v>1013</v>
      </c>
      <c r="O42" t="s">
        <v>136</v>
      </c>
      <c r="P42" t="s">
        <v>136</v>
      </c>
      <c r="Q42">
        <v>1</v>
      </c>
      <c r="X42">
        <v>0.1</v>
      </c>
      <c r="Y42">
        <v>0</v>
      </c>
      <c r="Z42">
        <v>0</v>
      </c>
      <c r="AA42">
        <v>0</v>
      </c>
      <c r="AB42">
        <v>0</v>
      </c>
      <c r="AC42">
        <v>0</v>
      </c>
      <c r="AD42">
        <v>1</v>
      </c>
      <c r="AE42">
        <v>1</v>
      </c>
      <c r="AF42" t="s">
        <v>107</v>
      </c>
      <c r="AG42">
        <v>1.5</v>
      </c>
      <c r="AH42">
        <v>2</v>
      </c>
      <c r="AI42">
        <v>75703000</v>
      </c>
      <c r="AJ42">
        <v>42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</row>
    <row r="43" spans="1:44" x14ac:dyDescent="0.2">
      <c r="A43">
        <f>ROW(Source!A70)</f>
        <v>70</v>
      </c>
      <c r="B43">
        <v>75703136</v>
      </c>
      <c r="C43">
        <v>75702999</v>
      </c>
      <c r="D43">
        <v>75391666</v>
      </c>
      <c r="E43">
        <v>1</v>
      </c>
      <c r="F43">
        <v>1</v>
      </c>
      <c r="G43">
        <v>39</v>
      </c>
      <c r="H43">
        <v>3</v>
      </c>
      <c r="I43" t="s">
        <v>225</v>
      </c>
      <c r="J43" t="s">
        <v>226</v>
      </c>
      <c r="K43" t="s">
        <v>227</v>
      </c>
      <c r="L43">
        <v>1339</v>
      </c>
      <c r="N43">
        <v>1007</v>
      </c>
      <c r="O43" t="s">
        <v>18</v>
      </c>
      <c r="P43" t="s">
        <v>18</v>
      </c>
      <c r="Q43">
        <v>1</v>
      </c>
      <c r="X43">
        <v>0.10199999999999999</v>
      </c>
      <c r="Y43">
        <v>5192.1099999999997</v>
      </c>
      <c r="Z43">
        <v>0</v>
      </c>
      <c r="AA43">
        <v>0</v>
      </c>
      <c r="AB43">
        <v>0</v>
      </c>
      <c r="AC43">
        <v>0</v>
      </c>
      <c r="AD43">
        <v>1</v>
      </c>
      <c r="AE43">
        <v>0</v>
      </c>
      <c r="AF43" t="s">
        <v>107</v>
      </c>
      <c r="AG43">
        <v>1.5299999999999998</v>
      </c>
      <c r="AH43">
        <v>2</v>
      </c>
      <c r="AI43">
        <v>75703001</v>
      </c>
      <c r="AJ43">
        <v>43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</row>
    <row r="44" spans="1:44" x14ac:dyDescent="0.2">
      <c r="A44">
        <f>ROW(Source!A71)</f>
        <v>71</v>
      </c>
      <c r="B44">
        <v>75703137</v>
      </c>
      <c r="C44">
        <v>75703004</v>
      </c>
      <c r="D44">
        <v>75386788</v>
      </c>
      <c r="E44">
        <v>39</v>
      </c>
      <c r="F44">
        <v>1</v>
      </c>
      <c r="G44">
        <v>39</v>
      </c>
      <c r="H44">
        <v>1</v>
      </c>
      <c r="I44" t="s">
        <v>134</v>
      </c>
      <c r="J44" t="s">
        <v>3</v>
      </c>
      <c r="K44" t="s">
        <v>135</v>
      </c>
      <c r="L44">
        <v>1191</v>
      </c>
      <c r="N44">
        <v>1013</v>
      </c>
      <c r="O44" t="s">
        <v>136</v>
      </c>
      <c r="P44" t="s">
        <v>136</v>
      </c>
      <c r="Q44">
        <v>1</v>
      </c>
      <c r="X44">
        <v>60.95</v>
      </c>
      <c r="Y44">
        <v>0</v>
      </c>
      <c r="Z44">
        <v>0</v>
      </c>
      <c r="AA44">
        <v>0</v>
      </c>
      <c r="AB44">
        <v>0</v>
      </c>
      <c r="AC44">
        <v>0</v>
      </c>
      <c r="AD44">
        <v>1</v>
      </c>
      <c r="AE44">
        <v>1</v>
      </c>
      <c r="AF44" t="s">
        <v>3</v>
      </c>
      <c r="AG44">
        <v>60.95</v>
      </c>
      <c r="AH44">
        <v>2</v>
      </c>
      <c r="AI44">
        <v>75703005</v>
      </c>
      <c r="AJ44">
        <v>44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</row>
    <row r="45" spans="1:44" x14ac:dyDescent="0.2">
      <c r="A45">
        <f>ROW(Source!A71)</f>
        <v>71</v>
      </c>
      <c r="B45">
        <v>75703138</v>
      </c>
      <c r="C45">
        <v>75703004</v>
      </c>
      <c r="D45">
        <v>75388071</v>
      </c>
      <c r="E45">
        <v>1</v>
      </c>
      <c r="F45">
        <v>1</v>
      </c>
      <c r="G45">
        <v>39</v>
      </c>
      <c r="H45">
        <v>2</v>
      </c>
      <c r="I45" t="s">
        <v>228</v>
      </c>
      <c r="J45" t="s">
        <v>229</v>
      </c>
      <c r="K45" t="s">
        <v>230</v>
      </c>
      <c r="L45">
        <v>1368</v>
      </c>
      <c r="N45">
        <v>1011</v>
      </c>
      <c r="O45" t="s">
        <v>140</v>
      </c>
      <c r="P45" t="s">
        <v>140</v>
      </c>
      <c r="Q45">
        <v>1</v>
      </c>
      <c r="X45">
        <v>4.5199999999999996</v>
      </c>
      <c r="Y45">
        <v>0</v>
      </c>
      <c r="Z45">
        <v>1465.49</v>
      </c>
      <c r="AA45">
        <v>827.04</v>
      </c>
      <c r="AB45">
        <v>0</v>
      </c>
      <c r="AC45">
        <v>0</v>
      </c>
      <c r="AD45">
        <v>1</v>
      </c>
      <c r="AE45">
        <v>0</v>
      </c>
      <c r="AF45" t="s">
        <v>3</v>
      </c>
      <c r="AG45">
        <v>4.5199999999999996</v>
      </c>
      <c r="AH45">
        <v>2</v>
      </c>
      <c r="AI45">
        <v>75703006</v>
      </c>
      <c r="AJ45">
        <v>45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</row>
    <row r="46" spans="1:44" x14ac:dyDescent="0.2">
      <c r="A46">
        <f>ROW(Source!A71)</f>
        <v>71</v>
      </c>
      <c r="B46">
        <v>75703139</v>
      </c>
      <c r="C46">
        <v>75703004</v>
      </c>
      <c r="D46">
        <v>75388182</v>
      </c>
      <c r="E46">
        <v>1</v>
      </c>
      <c r="F46">
        <v>1</v>
      </c>
      <c r="G46">
        <v>39</v>
      </c>
      <c r="H46">
        <v>2</v>
      </c>
      <c r="I46" t="s">
        <v>231</v>
      </c>
      <c r="J46" t="s">
        <v>232</v>
      </c>
      <c r="K46" t="s">
        <v>233</v>
      </c>
      <c r="L46">
        <v>1368</v>
      </c>
      <c r="N46">
        <v>1011</v>
      </c>
      <c r="O46" t="s">
        <v>140</v>
      </c>
      <c r="P46" t="s">
        <v>140</v>
      </c>
      <c r="Q46">
        <v>1</v>
      </c>
      <c r="X46">
        <v>4.5199999999999996</v>
      </c>
      <c r="Y46">
        <v>0</v>
      </c>
      <c r="Z46">
        <v>56.19</v>
      </c>
      <c r="AA46">
        <v>0.31</v>
      </c>
      <c r="AB46">
        <v>0</v>
      </c>
      <c r="AC46">
        <v>0</v>
      </c>
      <c r="AD46">
        <v>1</v>
      </c>
      <c r="AE46">
        <v>0</v>
      </c>
      <c r="AF46" t="s">
        <v>3</v>
      </c>
      <c r="AG46">
        <v>4.5199999999999996</v>
      </c>
      <c r="AH46">
        <v>2</v>
      </c>
      <c r="AI46">
        <v>75703007</v>
      </c>
      <c r="AJ46">
        <v>46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</row>
    <row r="47" spans="1:44" x14ac:dyDescent="0.2">
      <c r="A47">
        <f>ROW(Source!A71)</f>
        <v>71</v>
      </c>
      <c r="B47">
        <v>75703140</v>
      </c>
      <c r="C47">
        <v>75703004</v>
      </c>
      <c r="D47">
        <v>75388258</v>
      </c>
      <c r="E47">
        <v>1</v>
      </c>
      <c r="F47">
        <v>1</v>
      </c>
      <c r="G47">
        <v>39</v>
      </c>
      <c r="H47">
        <v>2</v>
      </c>
      <c r="I47" t="s">
        <v>234</v>
      </c>
      <c r="J47" t="s">
        <v>235</v>
      </c>
      <c r="K47" t="s">
        <v>236</v>
      </c>
      <c r="L47">
        <v>1368</v>
      </c>
      <c r="N47">
        <v>1011</v>
      </c>
      <c r="O47" t="s">
        <v>140</v>
      </c>
      <c r="P47" t="s">
        <v>140</v>
      </c>
      <c r="Q47">
        <v>1</v>
      </c>
      <c r="X47">
        <v>3.62</v>
      </c>
      <c r="Y47">
        <v>0</v>
      </c>
      <c r="Z47">
        <v>76.53</v>
      </c>
      <c r="AA47">
        <v>0.12</v>
      </c>
      <c r="AB47">
        <v>0</v>
      </c>
      <c r="AC47">
        <v>0</v>
      </c>
      <c r="AD47">
        <v>1</v>
      </c>
      <c r="AE47">
        <v>0</v>
      </c>
      <c r="AF47" t="s">
        <v>3</v>
      </c>
      <c r="AG47">
        <v>3.62</v>
      </c>
      <c r="AH47">
        <v>2</v>
      </c>
      <c r="AI47">
        <v>75703008</v>
      </c>
      <c r="AJ47">
        <v>47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</row>
    <row r="48" spans="1:44" x14ac:dyDescent="0.2">
      <c r="A48">
        <f>ROW(Source!A71)</f>
        <v>71</v>
      </c>
      <c r="B48">
        <v>75703141</v>
      </c>
      <c r="C48">
        <v>75703004</v>
      </c>
      <c r="D48">
        <v>75388259</v>
      </c>
      <c r="E48">
        <v>1</v>
      </c>
      <c r="F48">
        <v>1</v>
      </c>
      <c r="G48">
        <v>39</v>
      </c>
      <c r="H48">
        <v>2</v>
      </c>
      <c r="I48" t="s">
        <v>237</v>
      </c>
      <c r="J48" t="s">
        <v>238</v>
      </c>
      <c r="K48" t="s">
        <v>239</v>
      </c>
      <c r="L48">
        <v>1368</v>
      </c>
      <c r="N48">
        <v>1011</v>
      </c>
      <c r="O48" t="s">
        <v>140</v>
      </c>
      <c r="P48" t="s">
        <v>140</v>
      </c>
      <c r="Q48">
        <v>1</v>
      </c>
      <c r="X48">
        <v>14.98</v>
      </c>
      <c r="Y48">
        <v>0</v>
      </c>
      <c r="Z48">
        <v>9.56</v>
      </c>
      <c r="AA48">
        <v>5.82</v>
      </c>
      <c r="AB48">
        <v>0</v>
      </c>
      <c r="AC48">
        <v>0</v>
      </c>
      <c r="AD48">
        <v>1</v>
      </c>
      <c r="AE48">
        <v>0</v>
      </c>
      <c r="AF48" t="s">
        <v>3</v>
      </c>
      <c r="AG48">
        <v>14.98</v>
      </c>
      <c r="AH48">
        <v>2</v>
      </c>
      <c r="AI48">
        <v>75703009</v>
      </c>
      <c r="AJ48">
        <v>48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</row>
    <row r="49" spans="1:44" x14ac:dyDescent="0.2">
      <c r="A49">
        <f>ROW(Source!A71)</f>
        <v>71</v>
      </c>
      <c r="B49">
        <v>75703142</v>
      </c>
      <c r="C49">
        <v>75703004</v>
      </c>
      <c r="D49">
        <v>75388665</v>
      </c>
      <c r="E49">
        <v>1</v>
      </c>
      <c r="F49">
        <v>1</v>
      </c>
      <c r="G49">
        <v>39</v>
      </c>
      <c r="H49">
        <v>3</v>
      </c>
      <c r="I49" t="s">
        <v>240</v>
      </c>
      <c r="J49" t="s">
        <v>241</v>
      </c>
      <c r="K49" t="s">
        <v>242</v>
      </c>
      <c r="L49">
        <v>1348</v>
      </c>
      <c r="N49">
        <v>1009</v>
      </c>
      <c r="O49" t="s">
        <v>116</v>
      </c>
      <c r="P49" t="s">
        <v>116</v>
      </c>
      <c r="Q49">
        <v>1000</v>
      </c>
      <c r="X49">
        <v>3.5000000000000003E-2</v>
      </c>
      <c r="Y49">
        <v>129600.01</v>
      </c>
      <c r="Z49">
        <v>0</v>
      </c>
      <c r="AA49">
        <v>0</v>
      </c>
      <c r="AB49">
        <v>0</v>
      </c>
      <c r="AC49">
        <v>0</v>
      </c>
      <c r="AD49">
        <v>1</v>
      </c>
      <c r="AE49">
        <v>0</v>
      </c>
      <c r="AF49" t="s">
        <v>3</v>
      </c>
      <c r="AG49">
        <v>3.5000000000000003E-2</v>
      </c>
      <c r="AH49">
        <v>2</v>
      </c>
      <c r="AI49">
        <v>75703010</v>
      </c>
      <c r="AJ49">
        <v>49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</row>
    <row r="50" spans="1:44" x14ac:dyDescent="0.2">
      <c r="A50">
        <f>ROW(Source!A71)</f>
        <v>71</v>
      </c>
      <c r="B50">
        <v>75703143</v>
      </c>
      <c r="C50">
        <v>75703004</v>
      </c>
      <c r="D50">
        <v>75388812</v>
      </c>
      <c r="E50">
        <v>1</v>
      </c>
      <c r="F50">
        <v>1</v>
      </c>
      <c r="G50">
        <v>39</v>
      </c>
      <c r="H50">
        <v>3</v>
      </c>
      <c r="I50" t="s">
        <v>243</v>
      </c>
      <c r="J50" t="s">
        <v>244</v>
      </c>
      <c r="K50" t="s">
        <v>245</v>
      </c>
      <c r="L50">
        <v>1327</v>
      </c>
      <c r="N50">
        <v>1005</v>
      </c>
      <c r="O50" t="s">
        <v>169</v>
      </c>
      <c r="P50" t="s">
        <v>169</v>
      </c>
      <c r="Q50">
        <v>1</v>
      </c>
      <c r="X50">
        <v>135</v>
      </c>
      <c r="Y50">
        <v>315.89</v>
      </c>
      <c r="Z50">
        <v>0</v>
      </c>
      <c r="AA50">
        <v>0</v>
      </c>
      <c r="AB50">
        <v>0</v>
      </c>
      <c r="AC50">
        <v>0</v>
      </c>
      <c r="AD50">
        <v>1</v>
      </c>
      <c r="AE50">
        <v>0</v>
      </c>
      <c r="AF50" t="s">
        <v>3</v>
      </c>
      <c r="AG50">
        <v>135</v>
      </c>
      <c r="AH50">
        <v>2</v>
      </c>
      <c r="AI50">
        <v>75703011</v>
      </c>
      <c r="AJ50">
        <v>50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</row>
    <row r="51" spans="1:44" x14ac:dyDescent="0.2">
      <c r="A51">
        <f>ROW(Source!A71)</f>
        <v>71</v>
      </c>
      <c r="B51">
        <v>75703144</v>
      </c>
      <c r="C51">
        <v>75703004</v>
      </c>
      <c r="D51">
        <v>75388813</v>
      </c>
      <c r="E51">
        <v>1</v>
      </c>
      <c r="F51">
        <v>1</v>
      </c>
      <c r="G51">
        <v>39</v>
      </c>
      <c r="H51">
        <v>3</v>
      </c>
      <c r="I51" t="s">
        <v>246</v>
      </c>
      <c r="J51" t="s">
        <v>247</v>
      </c>
      <c r="K51" t="s">
        <v>248</v>
      </c>
      <c r="L51">
        <v>1327</v>
      </c>
      <c r="N51">
        <v>1005</v>
      </c>
      <c r="O51" t="s">
        <v>169</v>
      </c>
      <c r="P51" t="s">
        <v>169</v>
      </c>
      <c r="Q51">
        <v>1</v>
      </c>
      <c r="X51">
        <v>132.30000000000001</v>
      </c>
      <c r="Y51">
        <v>302.27999999999997</v>
      </c>
      <c r="Z51">
        <v>0</v>
      </c>
      <c r="AA51">
        <v>0</v>
      </c>
      <c r="AB51">
        <v>0</v>
      </c>
      <c r="AC51">
        <v>0</v>
      </c>
      <c r="AD51">
        <v>1</v>
      </c>
      <c r="AE51">
        <v>0</v>
      </c>
      <c r="AF51" t="s">
        <v>3</v>
      </c>
      <c r="AG51">
        <v>132.30000000000001</v>
      </c>
      <c r="AH51">
        <v>2</v>
      </c>
      <c r="AI51">
        <v>75703012</v>
      </c>
      <c r="AJ51">
        <v>51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</row>
    <row r="52" spans="1:44" x14ac:dyDescent="0.2">
      <c r="A52">
        <f>ROW(Source!A71)</f>
        <v>71</v>
      </c>
      <c r="B52">
        <v>75703145</v>
      </c>
      <c r="C52">
        <v>75703004</v>
      </c>
      <c r="D52">
        <v>75388872</v>
      </c>
      <c r="E52">
        <v>1</v>
      </c>
      <c r="F52">
        <v>1</v>
      </c>
      <c r="G52">
        <v>39</v>
      </c>
      <c r="H52">
        <v>3</v>
      </c>
      <c r="I52" t="s">
        <v>249</v>
      </c>
      <c r="J52" t="s">
        <v>250</v>
      </c>
      <c r="K52" t="s">
        <v>251</v>
      </c>
      <c r="L52">
        <v>1346</v>
      </c>
      <c r="N52">
        <v>1009</v>
      </c>
      <c r="O52" t="s">
        <v>196</v>
      </c>
      <c r="P52" t="s">
        <v>196</v>
      </c>
      <c r="Q52">
        <v>1</v>
      </c>
      <c r="X52">
        <v>6.9</v>
      </c>
      <c r="Y52">
        <v>68.540000000000006</v>
      </c>
      <c r="Z52">
        <v>0</v>
      </c>
      <c r="AA52">
        <v>0</v>
      </c>
      <c r="AB52">
        <v>0</v>
      </c>
      <c r="AC52">
        <v>0</v>
      </c>
      <c r="AD52">
        <v>1</v>
      </c>
      <c r="AE52">
        <v>0</v>
      </c>
      <c r="AF52" t="s">
        <v>3</v>
      </c>
      <c r="AG52">
        <v>6.9</v>
      </c>
      <c r="AH52">
        <v>2</v>
      </c>
      <c r="AI52">
        <v>75703013</v>
      </c>
      <c r="AJ52">
        <v>52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</row>
    <row r="53" spans="1:44" x14ac:dyDescent="0.2">
      <c r="A53">
        <f>ROW(Source!A107)</f>
        <v>107</v>
      </c>
      <c r="B53">
        <v>75703146</v>
      </c>
      <c r="C53">
        <v>75703079</v>
      </c>
      <c r="D53">
        <v>75387788</v>
      </c>
      <c r="E53">
        <v>1</v>
      </c>
      <c r="F53">
        <v>1</v>
      </c>
      <c r="G53">
        <v>39</v>
      </c>
      <c r="H53">
        <v>2</v>
      </c>
      <c r="I53" t="s">
        <v>252</v>
      </c>
      <c r="J53" t="s">
        <v>253</v>
      </c>
      <c r="K53" t="s">
        <v>254</v>
      </c>
      <c r="L53">
        <v>1368</v>
      </c>
      <c r="N53">
        <v>1011</v>
      </c>
      <c r="O53" t="s">
        <v>140</v>
      </c>
      <c r="P53" t="s">
        <v>140</v>
      </c>
      <c r="Q53">
        <v>1</v>
      </c>
      <c r="X53">
        <v>5.3699999999999998E-2</v>
      </c>
      <c r="Y53">
        <v>0</v>
      </c>
      <c r="Z53">
        <v>2195.02</v>
      </c>
      <c r="AA53">
        <v>940.44</v>
      </c>
      <c r="AB53">
        <v>0</v>
      </c>
      <c r="AC53">
        <v>0</v>
      </c>
      <c r="AD53">
        <v>1</v>
      </c>
      <c r="AE53">
        <v>0</v>
      </c>
      <c r="AF53" t="s">
        <v>3</v>
      </c>
      <c r="AG53">
        <v>5.3699999999999998E-2</v>
      </c>
      <c r="AH53">
        <v>2</v>
      </c>
      <c r="AI53">
        <v>75703080</v>
      </c>
      <c r="AJ53">
        <v>53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</row>
    <row r="54" spans="1:44" x14ac:dyDescent="0.2">
      <c r="A54">
        <f>ROW(Source!A108)</f>
        <v>108</v>
      </c>
      <c r="B54">
        <v>75703147</v>
      </c>
      <c r="C54">
        <v>75703082</v>
      </c>
      <c r="D54">
        <v>75388479</v>
      </c>
      <c r="E54">
        <v>1</v>
      </c>
      <c r="F54">
        <v>1</v>
      </c>
      <c r="G54">
        <v>39</v>
      </c>
      <c r="H54">
        <v>2</v>
      </c>
      <c r="I54" t="s">
        <v>255</v>
      </c>
      <c r="J54" t="s">
        <v>256</v>
      </c>
      <c r="K54" t="s">
        <v>257</v>
      </c>
      <c r="L54">
        <v>1368</v>
      </c>
      <c r="N54">
        <v>1011</v>
      </c>
      <c r="O54" t="s">
        <v>140</v>
      </c>
      <c r="P54" t="s">
        <v>140</v>
      </c>
      <c r="Q54">
        <v>1</v>
      </c>
      <c r="X54">
        <v>0.02</v>
      </c>
      <c r="Y54">
        <v>0</v>
      </c>
      <c r="Z54">
        <v>1552.57</v>
      </c>
      <c r="AA54">
        <v>619.16</v>
      </c>
      <c r="AB54">
        <v>0</v>
      </c>
      <c r="AC54">
        <v>0</v>
      </c>
      <c r="AD54">
        <v>1</v>
      </c>
      <c r="AE54">
        <v>0</v>
      </c>
      <c r="AF54" t="s">
        <v>3</v>
      </c>
      <c r="AG54">
        <v>0.02</v>
      </c>
      <c r="AH54">
        <v>2</v>
      </c>
      <c r="AI54">
        <v>75703083</v>
      </c>
      <c r="AJ54">
        <v>54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</row>
    <row r="55" spans="1:44" x14ac:dyDescent="0.2">
      <c r="A55">
        <f>ROW(Source!A108)</f>
        <v>108</v>
      </c>
      <c r="B55">
        <v>75703148</v>
      </c>
      <c r="C55">
        <v>75703082</v>
      </c>
      <c r="D55">
        <v>75388480</v>
      </c>
      <c r="E55">
        <v>1</v>
      </c>
      <c r="F55">
        <v>1</v>
      </c>
      <c r="G55">
        <v>39</v>
      </c>
      <c r="H55">
        <v>2</v>
      </c>
      <c r="I55" t="s">
        <v>258</v>
      </c>
      <c r="J55" t="s">
        <v>259</v>
      </c>
      <c r="K55" t="s">
        <v>260</v>
      </c>
      <c r="L55">
        <v>1368</v>
      </c>
      <c r="N55">
        <v>1011</v>
      </c>
      <c r="O55" t="s">
        <v>140</v>
      </c>
      <c r="P55" t="s">
        <v>140</v>
      </c>
      <c r="Q55">
        <v>1</v>
      </c>
      <c r="X55">
        <v>1.7999999999999999E-2</v>
      </c>
      <c r="Y55">
        <v>0</v>
      </c>
      <c r="Z55">
        <v>1566.41</v>
      </c>
      <c r="AA55">
        <v>619.79</v>
      </c>
      <c r="AB55">
        <v>0</v>
      </c>
      <c r="AC55">
        <v>0</v>
      </c>
      <c r="AD55">
        <v>1</v>
      </c>
      <c r="AE55">
        <v>0</v>
      </c>
      <c r="AF55" t="s">
        <v>3</v>
      </c>
      <c r="AG55">
        <v>1.7999999999999999E-2</v>
      </c>
      <c r="AH55">
        <v>2</v>
      </c>
      <c r="AI55">
        <v>75703084</v>
      </c>
      <c r="AJ55">
        <v>55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</row>
    <row r="56" spans="1:44" x14ac:dyDescent="0.2">
      <c r="A56">
        <f>ROW(Source!A109)</f>
        <v>109</v>
      </c>
      <c r="B56">
        <v>75703149</v>
      </c>
      <c r="C56">
        <v>75703087</v>
      </c>
      <c r="D56">
        <v>75388479</v>
      </c>
      <c r="E56">
        <v>1</v>
      </c>
      <c r="F56">
        <v>1</v>
      </c>
      <c r="G56">
        <v>39</v>
      </c>
      <c r="H56">
        <v>2</v>
      </c>
      <c r="I56" t="s">
        <v>255</v>
      </c>
      <c r="J56" t="s">
        <v>256</v>
      </c>
      <c r="K56" t="s">
        <v>257</v>
      </c>
      <c r="L56">
        <v>1368</v>
      </c>
      <c r="N56">
        <v>1011</v>
      </c>
      <c r="O56" t="s">
        <v>140</v>
      </c>
      <c r="P56" t="s">
        <v>140</v>
      </c>
      <c r="Q56">
        <v>1</v>
      </c>
      <c r="X56">
        <v>0.01</v>
      </c>
      <c r="Y56">
        <v>0</v>
      </c>
      <c r="Z56">
        <v>1552.57</v>
      </c>
      <c r="AA56">
        <v>619.16</v>
      </c>
      <c r="AB56">
        <v>0</v>
      </c>
      <c r="AC56">
        <v>0</v>
      </c>
      <c r="AD56">
        <v>1</v>
      </c>
      <c r="AE56">
        <v>0</v>
      </c>
      <c r="AF56" t="s">
        <v>127</v>
      </c>
      <c r="AG56">
        <v>0.48</v>
      </c>
      <c r="AH56">
        <v>2</v>
      </c>
      <c r="AI56">
        <v>75703088</v>
      </c>
      <c r="AJ56">
        <v>56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</row>
    <row r="57" spans="1:44" x14ac:dyDescent="0.2">
      <c r="A57">
        <f>ROW(Source!A109)</f>
        <v>109</v>
      </c>
      <c r="B57">
        <v>75703150</v>
      </c>
      <c r="C57">
        <v>75703087</v>
      </c>
      <c r="D57">
        <v>75388480</v>
      </c>
      <c r="E57">
        <v>1</v>
      </c>
      <c r="F57">
        <v>1</v>
      </c>
      <c r="G57">
        <v>39</v>
      </c>
      <c r="H57">
        <v>2</v>
      </c>
      <c r="I57" t="s">
        <v>258</v>
      </c>
      <c r="J57" t="s">
        <v>259</v>
      </c>
      <c r="K57" t="s">
        <v>260</v>
      </c>
      <c r="L57">
        <v>1368</v>
      </c>
      <c r="N57">
        <v>1011</v>
      </c>
      <c r="O57" t="s">
        <v>140</v>
      </c>
      <c r="P57" t="s">
        <v>140</v>
      </c>
      <c r="Q57">
        <v>1</v>
      </c>
      <c r="X57">
        <v>8.0000000000000002E-3</v>
      </c>
      <c r="Y57">
        <v>0</v>
      </c>
      <c r="Z57">
        <v>1566.41</v>
      </c>
      <c r="AA57">
        <v>619.79</v>
      </c>
      <c r="AB57">
        <v>0</v>
      </c>
      <c r="AC57">
        <v>0</v>
      </c>
      <c r="AD57">
        <v>1</v>
      </c>
      <c r="AE57">
        <v>0</v>
      </c>
      <c r="AF57" t="s">
        <v>127</v>
      </c>
      <c r="AG57">
        <v>0.38400000000000001</v>
      </c>
      <c r="AH57">
        <v>2</v>
      </c>
      <c r="AI57">
        <v>75703089</v>
      </c>
      <c r="AJ57">
        <v>57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40625" defaultRowHeight="12.75" x14ac:dyDescent="0.2"/>
  <cols>
    <col min="1" max="256" width="9.140625" customWidth="1"/>
  </cols>
  <sheetData/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6</vt:i4>
      </vt:variant>
    </vt:vector>
  </HeadingPairs>
  <TitlesOfParts>
    <vt:vector size="16" baseType="lpstr">
      <vt:lpstr>Смета СН-2012 по гл. 1-5</vt:lpstr>
      <vt:lpstr>Дефектная ведомость</vt:lpstr>
      <vt:lpstr>RV_DATA</vt:lpstr>
      <vt:lpstr>Расчет стоимости ресурсов</vt:lpstr>
      <vt:lpstr>Source</vt:lpstr>
      <vt:lpstr>SourceObSm</vt:lpstr>
      <vt:lpstr>SmtRes</vt:lpstr>
      <vt:lpstr>EtalonRes</vt:lpstr>
      <vt:lpstr>SrcPoprs</vt:lpstr>
      <vt:lpstr>SrcKA</vt:lpstr>
      <vt:lpstr>'Дефектная ведомость'!Заголовки_для_печати</vt:lpstr>
      <vt:lpstr>'Расчет стоимости ресурсов'!Заголовки_для_печати</vt:lpstr>
      <vt:lpstr>'Смета СН-2012 по гл. 1-5'!Заголовки_для_печати</vt:lpstr>
      <vt:lpstr>'Дефектная ведомость'!Область_печати</vt:lpstr>
      <vt:lpstr>'Расчет стоимости ресурсов'!Область_печати</vt:lpstr>
      <vt:lpstr>'Смета СН-2012 по гл. 1-5'!Область_печати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Windows</cp:lastModifiedBy>
  <cp:lastPrinted>2025-04-09T09:20:19Z</cp:lastPrinted>
  <dcterms:created xsi:type="dcterms:W3CDTF">2025-04-08T10:07:37Z</dcterms:created>
  <dcterms:modified xsi:type="dcterms:W3CDTF">2025-04-09T09:20:30Z</dcterms:modified>
</cp:coreProperties>
</file>