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ведомость'!$A$1:$E$121</definedName>
    <definedName name="_xlnm.Print_Area" localSheetId="3">'Расчет стоимости ресурсов'!$A$1:$F$183</definedName>
    <definedName name="_xlnm.Print_Area" localSheetId="0">'Смета СН-2012 по гл. 1-5'!$A$1:$K$537</definedName>
  </definedNames>
  <calcPr calcId="152511"/>
</workbook>
</file>

<file path=xl/calcChain.xml><?xml version="1.0" encoding="utf-8"?>
<calcChain xmlns="http://schemas.openxmlformats.org/spreadsheetml/2006/main">
  <c r="A177" i="9" l="1"/>
  <c r="D174" i="9"/>
  <c r="F173" i="9"/>
  <c r="E167" i="9"/>
  <c r="D169" i="9"/>
  <c r="A165" i="9"/>
  <c r="D163" i="9"/>
  <c r="A160" i="9"/>
  <c r="D157" i="9"/>
  <c r="A155" i="9"/>
  <c r="D145" i="9"/>
  <c r="E152" i="9"/>
  <c r="E139" i="9"/>
  <c r="D143" i="9"/>
  <c r="F146" i="9"/>
  <c r="E148" i="9"/>
  <c r="E141" i="9"/>
  <c r="E135" i="9"/>
  <c r="A133" i="9"/>
  <c r="E130" i="9"/>
  <c r="A127" i="9"/>
  <c r="E120" i="9"/>
  <c r="F123" i="9"/>
  <c r="E123" i="9"/>
  <c r="D125" i="9"/>
  <c r="A118" i="9"/>
  <c r="E113" i="9"/>
  <c r="A108" i="9"/>
  <c r="E100" i="9"/>
  <c r="E103" i="9"/>
  <c r="D95" i="9"/>
  <c r="A82" i="9"/>
  <c r="A81" i="9"/>
  <c r="A76" i="9"/>
  <c r="A71" i="9"/>
  <c r="E60" i="9"/>
  <c r="D64" i="9"/>
  <c r="A49" i="9"/>
  <c r="D41" i="9"/>
  <c r="D43" i="9"/>
  <c r="A36" i="9"/>
  <c r="F22" i="9"/>
  <c r="D22" i="9"/>
  <c r="E27" i="9"/>
  <c r="F29" i="9"/>
  <c r="D14" i="9"/>
  <c r="A10" i="9"/>
  <c r="A9" i="9"/>
  <c r="A8" i="9"/>
  <c r="A3" i="9"/>
  <c r="Z164" i="10"/>
  <c r="T164" i="10"/>
  <c r="R164" i="10"/>
  <c r="Q164" i="10"/>
  <c r="S164" i="10"/>
  <c r="P164" i="10"/>
  <c r="O164" i="10"/>
  <c r="M164" i="10"/>
  <c r="L164" i="10"/>
  <c r="N164" i="10"/>
  <c r="K164" i="10"/>
  <c r="J164" i="10"/>
  <c r="I164" i="10"/>
  <c r="H164" i="10"/>
  <c r="G164" i="10"/>
  <c r="F164" i="10"/>
  <c r="E164" i="10"/>
  <c r="Z163" i="10"/>
  <c r="Q163" i="10"/>
  <c r="S163" i="10"/>
  <c r="P163" i="10"/>
  <c r="O163" i="10"/>
  <c r="L163" i="10"/>
  <c r="M163" i="10" s="1"/>
  <c r="N163" i="10"/>
  <c r="K163" i="10"/>
  <c r="J163" i="10"/>
  <c r="I163" i="10"/>
  <c r="H163" i="10"/>
  <c r="G163" i="10"/>
  <c r="F163" i="10"/>
  <c r="E163" i="10"/>
  <c r="Z162" i="10"/>
  <c r="R162" i="10"/>
  <c r="Q162" i="10"/>
  <c r="T162" i="10" s="1"/>
  <c r="S162" i="10"/>
  <c r="P162" i="10"/>
  <c r="L162" i="10"/>
  <c r="O162" i="10" s="1"/>
  <c r="N162" i="10"/>
  <c r="K162" i="10"/>
  <c r="E180" i="9" s="1"/>
  <c r="J162" i="10"/>
  <c r="I162" i="10"/>
  <c r="H162" i="10"/>
  <c r="G162" i="10"/>
  <c r="F162" i="10"/>
  <c r="E162" i="10"/>
  <c r="Z161" i="10"/>
  <c r="T161" i="10"/>
  <c r="Q161" i="10"/>
  <c r="R161" i="10" s="1"/>
  <c r="S161" i="10"/>
  <c r="P161" i="10"/>
  <c r="O161" i="10"/>
  <c r="M161" i="10"/>
  <c r="F181" i="9" s="1"/>
  <c r="L161" i="10"/>
  <c r="N161" i="10"/>
  <c r="K161" i="10"/>
  <c r="E181" i="9" s="1"/>
  <c r="J161" i="10"/>
  <c r="I161" i="10"/>
  <c r="D181" i="9" s="1"/>
  <c r="H161" i="10"/>
  <c r="G161" i="10"/>
  <c r="F161" i="10"/>
  <c r="E161" i="10"/>
  <c r="Z160" i="10"/>
  <c r="R160" i="10"/>
  <c r="Q160" i="10"/>
  <c r="T160" i="10" s="1"/>
  <c r="S160" i="10"/>
  <c r="P160" i="10"/>
  <c r="L160" i="10"/>
  <c r="N160" i="10"/>
  <c r="K160" i="10"/>
  <c r="E179" i="9" s="1"/>
  <c r="J160" i="10"/>
  <c r="I160" i="10"/>
  <c r="D179" i="9" s="1"/>
  <c r="H160" i="10"/>
  <c r="G160" i="10"/>
  <c r="F160" i="10"/>
  <c r="E160" i="10"/>
  <c r="G159" i="10"/>
  <c r="A159" i="10"/>
  <c r="Z158" i="10"/>
  <c r="S158" i="10"/>
  <c r="T158" i="10" s="1"/>
  <c r="R158" i="10"/>
  <c r="P158" i="10"/>
  <c r="O158" i="10"/>
  <c r="N158" i="10"/>
  <c r="K158" i="10"/>
  <c r="E174" i="9" s="1"/>
  <c r="I158" i="10"/>
  <c r="H158" i="10"/>
  <c r="G158" i="10"/>
  <c r="F158" i="10"/>
  <c r="E158" i="10"/>
  <c r="D158" i="10"/>
  <c r="A158" i="10"/>
  <c r="Z157" i="10"/>
  <c r="Q157" i="10"/>
  <c r="T157" i="10" s="1"/>
  <c r="S157" i="10"/>
  <c r="P157" i="10"/>
  <c r="L157" i="10"/>
  <c r="O157" i="10" s="1"/>
  <c r="N157" i="10"/>
  <c r="K157" i="10"/>
  <c r="J157" i="10"/>
  <c r="I157" i="10"/>
  <c r="D167" i="9" s="1"/>
  <c r="H157" i="10"/>
  <c r="G157" i="10"/>
  <c r="F157" i="10"/>
  <c r="E157" i="10"/>
  <c r="Z156" i="10"/>
  <c r="T156" i="10"/>
  <c r="R156" i="10"/>
  <c r="Q156" i="10"/>
  <c r="S156" i="10"/>
  <c r="P156" i="10"/>
  <c r="O156" i="10"/>
  <c r="M156" i="10"/>
  <c r="F168" i="9" s="1"/>
  <c r="L156" i="10"/>
  <c r="N156" i="10"/>
  <c r="K156" i="10"/>
  <c r="E168" i="9" s="1"/>
  <c r="J156" i="10"/>
  <c r="I156" i="10"/>
  <c r="D168" i="9" s="1"/>
  <c r="H156" i="10"/>
  <c r="G156" i="10"/>
  <c r="F156" i="10"/>
  <c r="E156" i="10"/>
  <c r="Z155" i="10"/>
  <c r="Q155" i="10"/>
  <c r="S155" i="10"/>
  <c r="P155" i="10"/>
  <c r="O155" i="10"/>
  <c r="L155" i="10"/>
  <c r="M155" i="10" s="1"/>
  <c r="F169" i="9" s="1"/>
  <c r="N155" i="10"/>
  <c r="K155" i="10"/>
  <c r="E169" i="9" s="1"/>
  <c r="J155" i="10"/>
  <c r="I155" i="10"/>
  <c r="H155" i="10"/>
  <c r="G155" i="10"/>
  <c r="F155" i="10"/>
  <c r="E155" i="10"/>
  <c r="Z154" i="10"/>
  <c r="R154" i="10"/>
  <c r="Q154" i="10"/>
  <c r="T154" i="10" s="1"/>
  <c r="S154" i="10"/>
  <c r="P154" i="10"/>
  <c r="L154" i="10"/>
  <c r="O154" i="10" s="1"/>
  <c r="N154" i="10"/>
  <c r="K154" i="10"/>
  <c r="E170" i="9" s="1"/>
  <c r="J154" i="10"/>
  <c r="I154" i="10"/>
  <c r="D170" i="9" s="1"/>
  <c r="H154" i="10"/>
  <c r="G154" i="10"/>
  <c r="F154" i="10"/>
  <c r="E154" i="10"/>
  <c r="Z153" i="10"/>
  <c r="Q153" i="10"/>
  <c r="R153" i="10" s="1"/>
  <c r="S153" i="10"/>
  <c r="P153" i="10"/>
  <c r="O153" i="10"/>
  <c r="M153" i="10"/>
  <c r="L153" i="10"/>
  <c r="N153" i="10"/>
  <c r="K153" i="10"/>
  <c r="E173" i="9" s="1"/>
  <c r="J153" i="10"/>
  <c r="I153" i="10"/>
  <c r="D173" i="9" s="1"/>
  <c r="H153" i="10"/>
  <c r="G153" i="10"/>
  <c r="F153" i="10"/>
  <c r="E153" i="10"/>
  <c r="Z152" i="10"/>
  <c r="Q152" i="10"/>
  <c r="T152" i="10" s="1"/>
  <c r="S152" i="10"/>
  <c r="P152" i="10"/>
  <c r="L152" i="10"/>
  <c r="N152" i="10"/>
  <c r="K152" i="10"/>
  <c r="E175" i="9" s="1"/>
  <c r="J152" i="10"/>
  <c r="I152" i="10"/>
  <c r="D175" i="9" s="1"/>
  <c r="H152" i="10"/>
  <c r="G152" i="10"/>
  <c r="F152" i="10"/>
  <c r="E152" i="10"/>
  <c r="G151" i="10"/>
  <c r="A151" i="10"/>
  <c r="Z150" i="10"/>
  <c r="S150" i="10"/>
  <c r="T150" i="10" s="1"/>
  <c r="R150" i="10"/>
  <c r="P150" i="10"/>
  <c r="O150" i="10"/>
  <c r="N150" i="10"/>
  <c r="M150" i="10"/>
  <c r="F163" i="9" s="1"/>
  <c r="K150" i="10"/>
  <c r="E163" i="9" s="1"/>
  <c r="I150" i="10"/>
  <c r="H150" i="10"/>
  <c r="G150" i="10"/>
  <c r="F150" i="10"/>
  <c r="E150" i="10"/>
  <c r="D150" i="10"/>
  <c r="A150" i="10"/>
  <c r="Z149" i="10"/>
  <c r="Q149" i="10"/>
  <c r="T149" i="10" s="1"/>
  <c r="S149" i="10"/>
  <c r="P149" i="10"/>
  <c r="L149" i="10"/>
  <c r="O149" i="10" s="1"/>
  <c r="N149" i="10"/>
  <c r="K149" i="10"/>
  <c r="E162" i="9" s="1"/>
  <c r="J149" i="10"/>
  <c r="I149" i="10"/>
  <c r="D162" i="9" s="1"/>
  <c r="H149" i="10"/>
  <c r="G149" i="10"/>
  <c r="F149" i="10"/>
  <c r="E149" i="10"/>
  <c r="G148" i="10"/>
  <c r="A148" i="10"/>
  <c r="Z147" i="10"/>
  <c r="S147" i="10"/>
  <c r="T147" i="10" s="1"/>
  <c r="P147" i="10"/>
  <c r="R147" i="10" s="1"/>
  <c r="O147" i="10"/>
  <c r="N147" i="10"/>
  <c r="K147" i="10"/>
  <c r="M147" i="10" s="1"/>
  <c r="F157" i="9" s="1"/>
  <c r="I147" i="10"/>
  <c r="H147" i="10"/>
  <c r="G147" i="10"/>
  <c r="F147" i="10"/>
  <c r="E147" i="10"/>
  <c r="D147" i="10"/>
  <c r="A147" i="10"/>
  <c r="Z146" i="10"/>
  <c r="S146" i="10"/>
  <c r="T146" i="10" s="1"/>
  <c r="P146" i="10"/>
  <c r="R146" i="10" s="1"/>
  <c r="O146" i="10"/>
  <c r="N146" i="10"/>
  <c r="K146" i="10"/>
  <c r="E158" i="9" s="1"/>
  <c r="I146" i="10"/>
  <c r="D158" i="9" s="1"/>
  <c r="H146" i="10"/>
  <c r="G146" i="10"/>
  <c r="F146" i="10"/>
  <c r="E146" i="10"/>
  <c r="D146" i="10"/>
  <c r="A146" i="10"/>
  <c r="G145" i="10"/>
  <c r="A145" i="10"/>
  <c r="Z144" i="10"/>
  <c r="S144" i="10"/>
  <c r="T144" i="10" s="1"/>
  <c r="R144" i="10"/>
  <c r="P144" i="10"/>
  <c r="N144" i="10"/>
  <c r="O144" i="10" s="1"/>
  <c r="K144" i="10"/>
  <c r="I144" i="10"/>
  <c r="H144" i="10"/>
  <c r="G144" i="10"/>
  <c r="F144" i="10"/>
  <c r="E144" i="10"/>
  <c r="D144" i="10"/>
  <c r="A144" i="10"/>
  <c r="Z143" i="10"/>
  <c r="Q143" i="10"/>
  <c r="T143" i="10" s="1"/>
  <c r="S143" i="10"/>
  <c r="P143" i="10"/>
  <c r="L143" i="10"/>
  <c r="N143" i="10"/>
  <c r="K143" i="10"/>
  <c r="J143" i="10"/>
  <c r="I143" i="10"/>
  <c r="H143" i="10"/>
  <c r="G143" i="10"/>
  <c r="F143" i="10"/>
  <c r="E143" i="10"/>
  <c r="Z142" i="10"/>
  <c r="T142" i="10"/>
  <c r="R142" i="10"/>
  <c r="Q142" i="10"/>
  <c r="S142" i="10"/>
  <c r="P142" i="10"/>
  <c r="M142" i="10"/>
  <c r="L142" i="10"/>
  <c r="O142" i="10" s="1"/>
  <c r="N142" i="10"/>
  <c r="K142" i="10"/>
  <c r="J142" i="10"/>
  <c r="I142" i="10"/>
  <c r="H142" i="10"/>
  <c r="G142" i="10"/>
  <c r="F142" i="10"/>
  <c r="E142" i="10"/>
  <c r="Z141" i="10"/>
  <c r="T141" i="10"/>
  <c r="Q141" i="10"/>
  <c r="R141" i="10" s="1"/>
  <c r="S141" i="10"/>
  <c r="P141" i="10"/>
  <c r="L141" i="10"/>
  <c r="M141" i="10" s="1"/>
  <c r="N141" i="10"/>
  <c r="K141" i="10"/>
  <c r="J141" i="10"/>
  <c r="I141" i="10"/>
  <c r="H141" i="10"/>
  <c r="G141" i="10"/>
  <c r="F141" i="10"/>
  <c r="E141" i="10"/>
  <c r="Z140" i="10"/>
  <c r="Q140" i="10"/>
  <c r="T140" i="10" s="1"/>
  <c r="S140" i="10"/>
  <c r="P140" i="10"/>
  <c r="L140" i="10"/>
  <c r="O140" i="10" s="1"/>
  <c r="N140" i="10"/>
  <c r="K140" i="10"/>
  <c r="E144" i="9" s="1"/>
  <c r="J140" i="10"/>
  <c r="I140" i="10"/>
  <c r="D144" i="9" s="1"/>
  <c r="H140" i="10"/>
  <c r="G140" i="10"/>
  <c r="F140" i="10"/>
  <c r="E140" i="10"/>
  <c r="Z139" i="10"/>
  <c r="S139" i="10"/>
  <c r="T139" i="10" s="1"/>
  <c r="P139" i="10"/>
  <c r="R139" i="10" s="1"/>
  <c r="N139" i="10"/>
  <c r="O139" i="10" s="1"/>
  <c r="M139" i="10"/>
  <c r="F153" i="9" s="1"/>
  <c r="K139" i="10"/>
  <c r="E153" i="9" s="1"/>
  <c r="I139" i="10"/>
  <c r="D153" i="9" s="1"/>
  <c r="H139" i="10"/>
  <c r="G139" i="10"/>
  <c r="F139" i="10"/>
  <c r="E139" i="10"/>
  <c r="D139" i="10"/>
  <c r="A139" i="10"/>
  <c r="Z138" i="10"/>
  <c r="T138" i="10"/>
  <c r="R138" i="10"/>
  <c r="Q138" i="10"/>
  <c r="S138" i="10"/>
  <c r="P138" i="10"/>
  <c r="O138" i="10"/>
  <c r="M138" i="10"/>
  <c r="L138" i="10"/>
  <c r="N138" i="10"/>
  <c r="K138" i="10"/>
  <c r="J138" i="10"/>
  <c r="I138" i="10"/>
  <c r="H138" i="10"/>
  <c r="G138" i="10"/>
  <c r="F138" i="10"/>
  <c r="E138" i="10"/>
  <c r="Z137" i="10"/>
  <c r="Q137" i="10"/>
  <c r="S137" i="10"/>
  <c r="P137" i="10"/>
  <c r="O137" i="10"/>
  <c r="L137" i="10"/>
  <c r="M137" i="10" s="1"/>
  <c r="N137" i="10"/>
  <c r="K137" i="10"/>
  <c r="J137" i="10"/>
  <c r="I137" i="10"/>
  <c r="H137" i="10"/>
  <c r="G137" i="10"/>
  <c r="F137" i="10"/>
  <c r="E137" i="10"/>
  <c r="Z136" i="10"/>
  <c r="R136" i="10"/>
  <c r="Q136" i="10"/>
  <c r="T136" i="10" s="1"/>
  <c r="S136" i="10"/>
  <c r="P136" i="10"/>
  <c r="L136" i="10"/>
  <c r="O136" i="10" s="1"/>
  <c r="N136" i="10"/>
  <c r="K136" i="10"/>
  <c r="J136" i="10"/>
  <c r="I136" i="10"/>
  <c r="H136" i="10"/>
  <c r="G136" i="10"/>
  <c r="F136" i="10"/>
  <c r="E136" i="10"/>
  <c r="Z135" i="10"/>
  <c r="T135" i="10"/>
  <c r="S135" i="10"/>
  <c r="P135" i="10"/>
  <c r="R135" i="10" s="1"/>
  <c r="N135" i="10"/>
  <c r="K135" i="10"/>
  <c r="I135" i="10"/>
  <c r="M135" i="10" s="1"/>
  <c r="F152" i="9" s="1"/>
  <c r="H135" i="10"/>
  <c r="G135" i="10"/>
  <c r="F135" i="10"/>
  <c r="E135" i="10"/>
  <c r="D135" i="10"/>
  <c r="A135" i="10"/>
  <c r="Z134" i="10"/>
  <c r="T134" i="10"/>
  <c r="S134" i="10"/>
  <c r="R134" i="10"/>
  <c r="P134" i="10"/>
  <c r="N134" i="10"/>
  <c r="K134" i="10"/>
  <c r="E150" i="9" s="1"/>
  <c r="I134" i="10"/>
  <c r="H134" i="10"/>
  <c r="G134" i="10"/>
  <c r="F134" i="10"/>
  <c r="E134" i="10"/>
  <c r="D134" i="10"/>
  <c r="A134" i="10"/>
  <c r="Z133" i="10"/>
  <c r="T133" i="10"/>
  <c r="Q133" i="10"/>
  <c r="R133" i="10" s="1"/>
  <c r="S133" i="10"/>
  <c r="P133" i="10"/>
  <c r="O133" i="10"/>
  <c r="M133" i="10"/>
  <c r="F135" i="9" s="1"/>
  <c r="E136" i="9" s="1"/>
  <c r="L133" i="10"/>
  <c r="N133" i="10"/>
  <c r="K133" i="10"/>
  <c r="J133" i="10"/>
  <c r="I133" i="10"/>
  <c r="D135" i="9" s="1"/>
  <c r="H133" i="10"/>
  <c r="G133" i="10"/>
  <c r="F133" i="10"/>
  <c r="E133" i="10"/>
  <c r="Z132" i="10"/>
  <c r="R132" i="10"/>
  <c r="Q132" i="10"/>
  <c r="T132" i="10" s="1"/>
  <c r="S132" i="10"/>
  <c r="P132" i="10"/>
  <c r="L132" i="10"/>
  <c r="N132" i="10"/>
  <c r="K132" i="10"/>
  <c r="E138" i="9" s="1"/>
  <c r="J132" i="10"/>
  <c r="I132" i="10"/>
  <c r="D138" i="9" s="1"/>
  <c r="H132" i="10"/>
  <c r="G132" i="10"/>
  <c r="F132" i="10"/>
  <c r="E132" i="10"/>
  <c r="Z131" i="10"/>
  <c r="T131" i="10"/>
  <c r="R131" i="10"/>
  <c r="Q131" i="10"/>
  <c r="S131" i="10"/>
  <c r="P131" i="10"/>
  <c r="M131" i="10"/>
  <c r="F139" i="9" s="1"/>
  <c r="L131" i="10"/>
  <c r="O131" i="10" s="1"/>
  <c r="N131" i="10"/>
  <c r="K131" i="10"/>
  <c r="J131" i="10"/>
  <c r="I131" i="10"/>
  <c r="D139" i="9" s="1"/>
  <c r="H131" i="10"/>
  <c r="G131" i="10"/>
  <c r="F131" i="10"/>
  <c r="E131" i="10"/>
  <c r="Z130" i="10"/>
  <c r="T130" i="10"/>
  <c r="Q130" i="10"/>
  <c r="R130" i="10" s="1"/>
  <c r="S130" i="10"/>
  <c r="P130" i="10"/>
  <c r="L130" i="10"/>
  <c r="M130" i="10" s="1"/>
  <c r="N130" i="10"/>
  <c r="K130" i="10"/>
  <c r="J130" i="10"/>
  <c r="I130" i="10"/>
  <c r="H130" i="10"/>
  <c r="G130" i="10"/>
  <c r="F130" i="10"/>
  <c r="E130" i="10"/>
  <c r="Z129" i="10"/>
  <c r="Q129" i="10"/>
  <c r="T129" i="10" s="1"/>
  <c r="S129" i="10"/>
  <c r="P129" i="10"/>
  <c r="M129" i="10"/>
  <c r="L129" i="10"/>
  <c r="O129" i="10" s="1"/>
  <c r="N129" i="10"/>
  <c r="K129" i="10"/>
  <c r="E142" i="9" s="1"/>
  <c r="J129" i="10"/>
  <c r="I129" i="10"/>
  <c r="D142" i="9" s="1"/>
  <c r="H129" i="10"/>
  <c r="G129" i="10"/>
  <c r="F129" i="10"/>
  <c r="E129" i="10"/>
  <c r="Z128" i="10"/>
  <c r="T128" i="10"/>
  <c r="R128" i="10"/>
  <c r="Q128" i="10"/>
  <c r="S128" i="10"/>
  <c r="P128" i="10"/>
  <c r="O128" i="10"/>
  <c r="M128" i="10"/>
  <c r="F143" i="9" s="1"/>
  <c r="L128" i="10"/>
  <c r="N128" i="10"/>
  <c r="K128" i="10"/>
  <c r="E143" i="9" s="1"/>
  <c r="J128" i="10"/>
  <c r="I128" i="10"/>
  <c r="H128" i="10"/>
  <c r="G128" i="10"/>
  <c r="F128" i="10"/>
  <c r="E128" i="10"/>
  <c r="Z127" i="10"/>
  <c r="Q127" i="10"/>
  <c r="S127" i="10"/>
  <c r="P127" i="10"/>
  <c r="O127" i="10"/>
  <c r="L127" i="10"/>
  <c r="M127" i="10" s="1"/>
  <c r="N127" i="10"/>
  <c r="K127" i="10"/>
  <c r="E146" i="9" s="1"/>
  <c r="J127" i="10"/>
  <c r="I127" i="10"/>
  <c r="D146" i="9" s="1"/>
  <c r="H127" i="10"/>
  <c r="G127" i="10"/>
  <c r="F127" i="10"/>
  <c r="E127" i="10"/>
  <c r="Z126" i="10"/>
  <c r="R126" i="10"/>
  <c r="Q126" i="10"/>
  <c r="T126" i="10" s="1"/>
  <c r="S126" i="10"/>
  <c r="P126" i="10"/>
  <c r="L126" i="10"/>
  <c r="O126" i="10" s="1"/>
  <c r="N126" i="10"/>
  <c r="K126" i="10"/>
  <c r="E147" i="9" s="1"/>
  <c r="J126" i="10"/>
  <c r="I126" i="10"/>
  <c r="D147" i="9" s="1"/>
  <c r="H126" i="10"/>
  <c r="G126" i="10"/>
  <c r="F126" i="10"/>
  <c r="E126" i="10"/>
  <c r="Z125" i="10"/>
  <c r="T125" i="10"/>
  <c r="Q125" i="10"/>
  <c r="R125" i="10" s="1"/>
  <c r="S125" i="10"/>
  <c r="P125" i="10"/>
  <c r="O125" i="10"/>
  <c r="M125" i="10"/>
  <c r="F148" i="9" s="1"/>
  <c r="L125" i="10"/>
  <c r="N125" i="10"/>
  <c r="K125" i="10"/>
  <c r="J125" i="10"/>
  <c r="I125" i="10"/>
  <c r="D148" i="9" s="1"/>
  <c r="H125" i="10"/>
  <c r="G125" i="10"/>
  <c r="F125" i="10"/>
  <c r="E125" i="10"/>
  <c r="Z124" i="10"/>
  <c r="R124" i="10"/>
  <c r="Q124" i="10"/>
  <c r="T124" i="10" s="1"/>
  <c r="S124" i="10"/>
  <c r="P124" i="10"/>
  <c r="L124" i="10"/>
  <c r="N124" i="10"/>
  <c r="K124" i="10"/>
  <c r="E149" i="9" s="1"/>
  <c r="J124" i="10"/>
  <c r="I124" i="10"/>
  <c r="D149" i="9" s="1"/>
  <c r="H124" i="10"/>
  <c r="G124" i="10"/>
  <c r="F124" i="10"/>
  <c r="E124" i="10"/>
  <c r="Z123" i="10"/>
  <c r="T123" i="10"/>
  <c r="R123" i="10"/>
  <c r="Q123" i="10"/>
  <c r="S123" i="10"/>
  <c r="P123" i="10"/>
  <c r="M123" i="10"/>
  <c r="F140" i="9" s="1"/>
  <c r="L123" i="10"/>
  <c r="O123" i="10" s="1"/>
  <c r="N123" i="10"/>
  <c r="K123" i="10"/>
  <c r="E140" i="9" s="1"/>
  <c r="J123" i="10"/>
  <c r="I123" i="10"/>
  <c r="H123" i="10"/>
  <c r="G123" i="10"/>
  <c r="F123" i="10"/>
  <c r="E123" i="10"/>
  <c r="Z122" i="10"/>
  <c r="T122" i="10"/>
  <c r="Q122" i="10"/>
  <c r="R122" i="10" s="1"/>
  <c r="S122" i="10"/>
  <c r="P122" i="10"/>
  <c r="L122" i="10"/>
  <c r="M122" i="10" s="1"/>
  <c r="F141" i="9" s="1"/>
  <c r="N122" i="10"/>
  <c r="K122" i="10"/>
  <c r="J122" i="10"/>
  <c r="I122" i="10"/>
  <c r="D141" i="9" s="1"/>
  <c r="H122" i="10"/>
  <c r="G122" i="10"/>
  <c r="F122" i="10"/>
  <c r="E122" i="10"/>
  <c r="Z121" i="10"/>
  <c r="Q121" i="10"/>
  <c r="T121" i="10" s="1"/>
  <c r="S121" i="10"/>
  <c r="P121" i="10"/>
  <c r="M121" i="10"/>
  <c r="L121" i="10"/>
  <c r="O121" i="10" s="1"/>
  <c r="N121" i="10"/>
  <c r="K121" i="10"/>
  <c r="E151" i="9" s="1"/>
  <c r="J121" i="10"/>
  <c r="I121" i="10"/>
  <c r="D151" i="9" s="1"/>
  <c r="H121" i="10"/>
  <c r="G121" i="10"/>
  <c r="F121" i="10"/>
  <c r="E121" i="10"/>
  <c r="G120" i="10"/>
  <c r="A120" i="10"/>
  <c r="Z119" i="10"/>
  <c r="S119" i="10"/>
  <c r="T119" i="10" s="1"/>
  <c r="P119" i="10"/>
  <c r="R119" i="10" s="1"/>
  <c r="O119" i="10"/>
  <c r="N119" i="10"/>
  <c r="K119" i="10"/>
  <c r="M119" i="10" s="1"/>
  <c r="I119" i="10"/>
  <c r="H119" i="10"/>
  <c r="G119" i="10"/>
  <c r="F119" i="10"/>
  <c r="E119" i="10"/>
  <c r="D119" i="10"/>
  <c r="A119" i="10"/>
  <c r="Z118" i="10"/>
  <c r="R118" i="10"/>
  <c r="Q118" i="10"/>
  <c r="T118" i="10" s="1"/>
  <c r="S118" i="10"/>
  <c r="P118" i="10"/>
  <c r="L118" i="10"/>
  <c r="O118" i="10" s="1"/>
  <c r="N118" i="10"/>
  <c r="K118" i="10"/>
  <c r="J118" i="10"/>
  <c r="I118" i="10"/>
  <c r="D130" i="9" s="1"/>
  <c r="H118" i="10"/>
  <c r="G118" i="10"/>
  <c r="F118" i="10"/>
  <c r="E118" i="10"/>
  <c r="Z117" i="10"/>
  <c r="T117" i="10"/>
  <c r="Q117" i="10"/>
  <c r="R117" i="10" s="1"/>
  <c r="S117" i="10"/>
  <c r="P117" i="10"/>
  <c r="O117" i="10"/>
  <c r="M117" i="10"/>
  <c r="L117" i="10"/>
  <c r="N117" i="10"/>
  <c r="K117" i="10"/>
  <c r="J117" i="10"/>
  <c r="I117" i="10"/>
  <c r="H117" i="10"/>
  <c r="G117" i="10"/>
  <c r="F117" i="10"/>
  <c r="E117" i="10"/>
  <c r="Z116" i="10"/>
  <c r="S116" i="10"/>
  <c r="T116" i="10" s="1"/>
  <c r="R116" i="10"/>
  <c r="P116" i="10"/>
  <c r="N116" i="10"/>
  <c r="O116" i="10" s="1"/>
  <c r="K116" i="10"/>
  <c r="I116" i="10"/>
  <c r="D129" i="9" s="1"/>
  <c r="H116" i="10"/>
  <c r="G116" i="10"/>
  <c r="F116" i="10"/>
  <c r="E116" i="10"/>
  <c r="D116" i="10"/>
  <c r="A116" i="10"/>
  <c r="Z115" i="10"/>
  <c r="R115" i="10"/>
  <c r="Q115" i="10"/>
  <c r="T115" i="10" s="1"/>
  <c r="S115" i="10"/>
  <c r="P115" i="10"/>
  <c r="L115" i="10"/>
  <c r="N115" i="10"/>
  <c r="K115" i="10"/>
  <c r="J115" i="10"/>
  <c r="I115" i="10"/>
  <c r="H115" i="10"/>
  <c r="G115" i="10"/>
  <c r="F115" i="10"/>
  <c r="E115" i="10"/>
  <c r="Z114" i="10"/>
  <c r="T114" i="10"/>
  <c r="R114" i="10"/>
  <c r="Q114" i="10"/>
  <c r="S114" i="10"/>
  <c r="P114" i="10"/>
  <c r="M114" i="10"/>
  <c r="F131" i="9" s="1"/>
  <c r="L114" i="10"/>
  <c r="O114" i="10" s="1"/>
  <c r="N114" i="10"/>
  <c r="K114" i="10"/>
  <c r="E131" i="9" s="1"/>
  <c r="J114" i="10"/>
  <c r="I114" i="10"/>
  <c r="H114" i="10"/>
  <c r="G114" i="10"/>
  <c r="F114" i="10"/>
  <c r="E114" i="10"/>
  <c r="G113" i="10"/>
  <c r="A113" i="10"/>
  <c r="Z112" i="10"/>
  <c r="T112" i="10"/>
  <c r="R112" i="10"/>
  <c r="Q112" i="10"/>
  <c r="S112" i="10"/>
  <c r="P112" i="10"/>
  <c r="O112" i="10"/>
  <c r="M112" i="10"/>
  <c r="F120" i="9" s="1"/>
  <c r="L112" i="10"/>
  <c r="N112" i="10"/>
  <c r="K112" i="10"/>
  <c r="J112" i="10"/>
  <c r="I112" i="10"/>
  <c r="D120" i="9" s="1"/>
  <c r="H112" i="10"/>
  <c r="G112" i="10"/>
  <c r="F112" i="10"/>
  <c r="E112" i="10"/>
  <c r="Z111" i="10"/>
  <c r="Q111" i="10"/>
  <c r="S111" i="10"/>
  <c r="P111" i="10"/>
  <c r="O111" i="10"/>
  <c r="L111" i="10"/>
  <c r="M111" i="10" s="1"/>
  <c r="F121" i="9" s="1"/>
  <c r="N111" i="10"/>
  <c r="K111" i="10"/>
  <c r="E121" i="9" s="1"/>
  <c r="J111" i="10"/>
  <c r="I111" i="10"/>
  <c r="D121" i="9" s="1"/>
  <c r="H111" i="10"/>
  <c r="G111" i="10"/>
  <c r="F111" i="10"/>
  <c r="E111" i="10"/>
  <c r="Z110" i="10"/>
  <c r="R110" i="10"/>
  <c r="Q110" i="10"/>
  <c r="T110" i="10" s="1"/>
  <c r="S110" i="10"/>
  <c r="P110" i="10"/>
  <c r="L110" i="10"/>
  <c r="O110" i="10" s="1"/>
  <c r="N110" i="10"/>
  <c r="K110" i="10"/>
  <c r="E122" i="9" s="1"/>
  <c r="J110" i="10"/>
  <c r="I110" i="10"/>
  <c r="D122" i="9" s="1"/>
  <c r="H110" i="10"/>
  <c r="G110" i="10"/>
  <c r="F110" i="10"/>
  <c r="E110" i="10"/>
  <c r="Z109" i="10"/>
  <c r="Q109" i="10"/>
  <c r="R109" i="10" s="1"/>
  <c r="S109" i="10"/>
  <c r="P109" i="10"/>
  <c r="O109" i="10"/>
  <c r="M109" i="10"/>
  <c r="L109" i="10"/>
  <c r="N109" i="10"/>
  <c r="K109" i="10"/>
  <c r="J109" i="10"/>
  <c r="I109" i="10"/>
  <c r="D123" i="9" s="1"/>
  <c r="H109" i="10"/>
  <c r="G109" i="10"/>
  <c r="F109" i="10"/>
  <c r="E109" i="10"/>
  <c r="Z108" i="10"/>
  <c r="Q108" i="10"/>
  <c r="T108" i="10" s="1"/>
  <c r="S108" i="10"/>
  <c r="P108" i="10"/>
  <c r="L108" i="10"/>
  <c r="N108" i="10"/>
  <c r="K108" i="10"/>
  <c r="E124" i="9" s="1"/>
  <c r="J108" i="10"/>
  <c r="I108" i="10"/>
  <c r="D124" i="9" s="1"/>
  <c r="H108" i="10"/>
  <c r="G108" i="10"/>
  <c r="F108" i="10"/>
  <c r="E108" i="10"/>
  <c r="Z107" i="10"/>
  <c r="T107" i="10"/>
  <c r="R107" i="10"/>
  <c r="Q107" i="10"/>
  <c r="S107" i="10"/>
  <c r="P107" i="10"/>
  <c r="M107" i="10"/>
  <c r="F125" i="9" s="1"/>
  <c r="L107" i="10"/>
  <c r="O107" i="10" s="1"/>
  <c r="N107" i="10"/>
  <c r="K107" i="10"/>
  <c r="E125" i="9" s="1"/>
  <c r="J107" i="10"/>
  <c r="I107" i="10"/>
  <c r="H107" i="10"/>
  <c r="G107" i="10"/>
  <c r="F107" i="10"/>
  <c r="E107" i="10"/>
  <c r="G106" i="10"/>
  <c r="A106" i="10"/>
  <c r="Z105" i="10"/>
  <c r="S105" i="10"/>
  <c r="T105" i="10" s="1"/>
  <c r="P105" i="10"/>
  <c r="R105" i="10" s="1"/>
  <c r="N105" i="10"/>
  <c r="O105" i="10" s="1"/>
  <c r="M105" i="10"/>
  <c r="F114" i="9" s="1"/>
  <c r="K105" i="10"/>
  <c r="E114" i="9" s="1"/>
  <c r="I105" i="10"/>
  <c r="D114" i="9" s="1"/>
  <c r="H105" i="10"/>
  <c r="G105" i="10"/>
  <c r="F105" i="10"/>
  <c r="E105" i="10"/>
  <c r="D105" i="10"/>
  <c r="A105" i="10"/>
  <c r="Z104" i="10"/>
  <c r="T104" i="10"/>
  <c r="R104" i="10"/>
  <c r="Q104" i="10"/>
  <c r="S104" i="10"/>
  <c r="P104" i="10"/>
  <c r="O104" i="10"/>
  <c r="M104" i="10"/>
  <c r="F110" i="9" s="1"/>
  <c r="L104" i="10"/>
  <c r="N104" i="10"/>
  <c r="K104" i="10"/>
  <c r="E110" i="9" s="1"/>
  <c r="J104" i="10"/>
  <c r="I104" i="10"/>
  <c r="D110" i="9" s="1"/>
  <c r="H104" i="10"/>
  <c r="G104" i="10"/>
  <c r="F104" i="10"/>
  <c r="E104" i="10"/>
  <c r="Z103" i="10"/>
  <c r="T103" i="10"/>
  <c r="Q103" i="10"/>
  <c r="R103" i="10" s="1"/>
  <c r="S103" i="10"/>
  <c r="P103" i="10"/>
  <c r="O103" i="10"/>
  <c r="L103" i="10"/>
  <c r="M103" i="10" s="1"/>
  <c r="F111" i="9" s="1"/>
  <c r="N103" i="10"/>
  <c r="K103" i="10"/>
  <c r="E111" i="9" s="1"/>
  <c r="J103" i="10"/>
  <c r="I103" i="10"/>
  <c r="D111" i="9" s="1"/>
  <c r="H103" i="10"/>
  <c r="G103" i="10"/>
  <c r="F103" i="10"/>
  <c r="E103" i="10"/>
  <c r="Z102" i="10"/>
  <c r="R102" i="10"/>
  <c r="Q102" i="10"/>
  <c r="T102" i="10" s="1"/>
  <c r="S102" i="10"/>
  <c r="P102" i="10"/>
  <c r="L102" i="10"/>
  <c r="N102" i="10"/>
  <c r="K102" i="10"/>
  <c r="E112" i="9" s="1"/>
  <c r="J102" i="10"/>
  <c r="I102" i="10"/>
  <c r="D112" i="9" s="1"/>
  <c r="H102" i="10"/>
  <c r="G102" i="10"/>
  <c r="F102" i="10"/>
  <c r="E102" i="10"/>
  <c r="Z101" i="10"/>
  <c r="T101" i="10"/>
  <c r="Q101" i="10"/>
  <c r="R101" i="10" s="1"/>
  <c r="S101" i="10"/>
  <c r="P101" i="10"/>
  <c r="O101" i="10"/>
  <c r="M101" i="10"/>
  <c r="F113" i="9" s="1"/>
  <c r="L101" i="10"/>
  <c r="N101" i="10"/>
  <c r="K101" i="10"/>
  <c r="J101" i="10"/>
  <c r="I101" i="10"/>
  <c r="D113" i="9" s="1"/>
  <c r="H101" i="10"/>
  <c r="G101" i="10"/>
  <c r="F101" i="10"/>
  <c r="E101" i="10"/>
  <c r="Z100" i="10"/>
  <c r="R100" i="10"/>
  <c r="Q100" i="10"/>
  <c r="T100" i="10" s="1"/>
  <c r="S100" i="10"/>
  <c r="P100" i="10"/>
  <c r="L100" i="10"/>
  <c r="M100" i="10" s="1"/>
  <c r="F115" i="9" s="1"/>
  <c r="N100" i="10"/>
  <c r="K100" i="10"/>
  <c r="E115" i="9" s="1"/>
  <c r="J100" i="10"/>
  <c r="I100" i="10"/>
  <c r="D115" i="9" s="1"/>
  <c r="H100" i="10"/>
  <c r="G100" i="10"/>
  <c r="F100" i="10"/>
  <c r="E100" i="10"/>
  <c r="Z99" i="10"/>
  <c r="T99" i="10"/>
  <c r="R99" i="10"/>
  <c r="Q99" i="10"/>
  <c r="S99" i="10"/>
  <c r="P99" i="10"/>
  <c r="M99" i="10"/>
  <c r="F116" i="9" s="1"/>
  <c r="L99" i="10"/>
  <c r="O99" i="10" s="1"/>
  <c r="N99" i="10"/>
  <c r="K99" i="10"/>
  <c r="E116" i="9" s="1"/>
  <c r="J99" i="10"/>
  <c r="I99" i="10"/>
  <c r="D116" i="9" s="1"/>
  <c r="H99" i="10"/>
  <c r="G99" i="10"/>
  <c r="F99" i="10"/>
  <c r="E99" i="10"/>
  <c r="G98" i="10"/>
  <c r="A98" i="10"/>
  <c r="Z97" i="10"/>
  <c r="T97" i="10"/>
  <c r="R97" i="10"/>
  <c r="Q97" i="10"/>
  <c r="S97" i="10"/>
  <c r="P97" i="10"/>
  <c r="O97" i="10"/>
  <c r="M97" i="10"/>
  <c r="L97" i="10"/>
  <c r="N97" i="10"/>
  <c r="K97" i="10"/>
  <c r="J97" i="10"/>
  <c r="I97" i="10"/>
  <c r="H97" i="10"/>
  <c r="G97" i="10"/>
  <c r="F97" i="10"/>
  <c r="E97" i="10"/>
  <c r="Z96" i="10"/>
  <c r="Q96" i="10"/>
  <c r="R96" i="10" s="1"/>
  <c r="S96" i="10"/>
  <c r="P96" i="10"/>
  <c r="L96" i="10"/>
  <c r="M96" i="10" s="1"/>
  <c r="F85" i="9" s="1"/>
  <c r="N96" i="10"/>
  <c r="K96" i="10"/>
  <c r="E85" i="9" s="1"/>
  <c r="J96" i="10"/>
  <c r="I96" i="10"/>
  <c r="D85" i="9" s="1"/>
  <c r="H96" i="10"/>
  <c r="G96" i="10"/>
  <c r="F96" i="10"/>
  <c r="E96" i="10"/>
  <c r="Z95" i="10"/>
  <c r="R95" i="10"/>
  <c r="Q95" i="10"/>
  <c r="T95" i="10" s="1"/>
  <c r="S95" i="10"/>
  <c r="P95" i="10"/>
  <c r="L95" i="10"/>
  <c r="O95" i="10" s="1"/>
  <c r="N95" i="10"/>
  <c r="K95" i="10"/>
  <c r="E88" i="9" s="1"/>
  <c r="J95" i="10"/>
  <c r="I95" i="10"/>
  <c r="D88" i="9" s="1"/>
  <c r="H95" i="10"/>
  <c r="G95" i="10"/>
  <c r="F95" i="10"/>
  <c r="E95" i="10"/>
  <c r="Z94" i="10"/>
  <c r="T94" i="10"/>
  <c r="Q94" i="10"/>
  <c r="R94" i="10" s="1"/>
  <c r="S94" i="10"/>
  <c r="P94" i="10"/>
  <c r="O94" i="10"/>
  <c r="M94" i="10"/>
  <c r="F96" i="9" s="1"/>
  <c r="L94" i="10"/>
  <c r="N94" i="10"/>
  <c r="K94" i="10"/>
  <c r="E96" i="9" s="1"/>
  <c r="J94" i="10"/>
  <c r="I94" i="10"/>
  <c r="D96" i="9" s="1"/>
  <c r="H94" i="10"/>
  <c r="G94" i="10"/>
  <c r="F94" i="10"/>
  <c r="E94" i="10"/>
  <c r="Z93" i="10"/>
  <c r="R93" i="10"/>
  <c r="Q93" i="10"/>
  <c r="T93" i="10" s="1"/>
  <c r="S93" i="10"/>
  <c r="P93" i="10"/>
  <c r="L93" i="10"/>
  <c r="M93" i="10" s="1"/>
  <c r="F99" i="9" s="1"/>
  <c r="N93" i="10"/>
  <c r="K93" i="10"/>
  <c r="E99" i="9" s="1"/>
  <c r="J93" i="10"/>
  <c r="I93" i="10"/>
  <c r="D99" i="9" s="1"/>
  <c r="H93" i="10"/>
  <c r="G93" i="10"/>
  <c r="F93" i="10"/>
  <c r="E93" i="10"/>
  <c r="Z92" i="10"/>
  <c r="T92" i="10"/>
  <c r="R92" i="10"/>
  <c r="Q92" i="10"/>
  <c r="S92" i="10"/>
  <c r="P92" i="10"/>
  <c r="L92" i="10"/>
  <c r="O92" i="10" s="1"/>
  <c r="N92" i="10"/>
  <c r="K92" i="10"/>
  <c r="J92" i="10"/>
  <c r="I92" i="10"/>
  <c r="D100" i="9" s="1"/>
  <c r="H92" i="10"/>
  <c r="G92" i="10"/>
  <c r="F92" i="10"/>
  <c r="E92" i="10"/>
  <c r="Z91" i="10"/>
  <c r="T91" i="10"/>
  <c r="Q91" i="10"/>
  <c r="R91" i="10" s="1"/>
  <c r="S91" i="10"/>
  <c r="P91" i="10"/>
  <c r="L91" i="10"/>
  <c r="M91" i="10" s="1"/>
  <c r="F101" i="9" s="1"/>
  <c r="N91" i="10"/>
  <c r="K91" i="10"/>
  <c r="E101" i="9" s="1"/>
  <c r="J91" i="10"/>
  <c r="I91" i="10"/>
  <c r="D101" i="9" s="1"/>
  <c r="H91" i="10"/>
  <c r="G91" i="10"/>
  <c r="F91" i="10"/>
  <c r="E91" i="10"/>
  <c r="Z90" i="10"/>
  <c r="Q90" i="10"/>
  <c r="T90" i="10" s="1"/>
  <c r="S90" i="10"/>
  <c r="P90" i="10"/>
  <c r="O90" i="10"/>
  <c r="M90" i="10"/>
  <c r="F84" i="9" s="1"/>
  <c r="L90" i="10"/>
  <c r="N90" i="10"/>
  <c r="K90" i="10"/>
  <c r="E84" i="9" s="1"/>
  <c r="J90" i="10"/>
  <c r="I90" i="10"/>
  <c r="D84" i="9" s="1"/>
  <c r="H90" i="10"/>
  <c r="G90" i="10"/>
  <c r="F90" i="10"/>
  <c r="E90" i="10"/>
  <c r="Z89" i="10"/>
  <c r="T89" i="10"/>
  <c r="R89" i="10"/>
  <c r="Q89" i="10"/>
  <c r="S89" i="10"/>
  <c r="P89" i="10"/>
  <c r="O89" i="10"/>
  <c r="M89" i="10"/>
  <c r="F87" i="9" s="1"/>
  <c r="L89" i="10"/>
  <c r="N89" i="10"/>
  <c r="K89" i="10"/>
  <c r="E87" i="9" s="1"/>
  <c r="J89" i="10"/>
  <c r="I89" i="10"/>
  <c r="D87" i="9" s="1"/>
  <c r="H89" i="10"/>
  <c r="G89" i="10"/>
  <c r="F89" i="10"/>
  <c r="E89" i="10"/>
  <c r="Z88" i="10"/>
  <c r="Q88" i="10"/>
  <c r="T88" i="10" s="1"/>
  <c r="S88" i="10"/>
  <c r="P88" i="10"/>
  <c r="O88" i="10"/>
  <c r="L88" i="10"/>
  <c r="M88" i="10" s="1"/>
  <c r="F91" i="9" s="1"/>
  <c r="N88" i="10"/>
  <c r="K88" i="10"/>
  <c r="E91" i="9" s="1"/>
  <c r="J88" i="10"/>
  <c r="I88" i="10"/>
  <c r="D91" i="9" s="1"/>
  <c r="H88" i="10"/>
  <c r="G88" i="10"/>
  <c r="F88" i="10"/>
  <c r="E88" i="10"/>
  <c r="Z87" i="10"/>
  <c r="Q87" i="10"/>
  <c r="T87" i="10" s="1"/>
  <c r="S87" i="10"/>
  <c r="P87" i="10"/>
  <c r="L87" i="10"/>
  <c r="O87" i="10" s="1"/>
  <c r="N87" i="10"/>
  <c r="K87" i="10"/>
  <c r="E97" i="9" s="1"/>
  <c r="J87" i="10"/>
  <c r="I87" i="10"/>
  <c r="D97" i="9" s="1"/>
  <c r="H87" i="10"/>
  <c r="G87" i="10"/>
  <c r="F87" i="10"/>
  <c r="E87" i="10"/>
  <c r="Z86" i="10"/>
  <c r="Q86" i="10"/>
  <c r="R86" i="10" s="1"/>
  <c r="S86" i="10"/>
  <c r="P86" i="10"/>
  <c r="O86" i="10"/>
  <c r="M86" i="10"/>
  <c r="F98" i="9" s="1"/>
  <c r="L86" i="10"/>
  <c r="N86" i="10"/>
  <c r="K86" i="10"/>
  <c r="E98" i="9" s="1"/>
  <c r="J86" i="10"/>
  <c r="I86" i="10"/>
  <c r="D98" i="9" s="1"/>
  <c r="H86" i="10"/>
  <c r="G86" i="10"/>
  <c r="F86" i="10"/>
  <c r="E86" i="10"/>
  <c r="Z85" i="10"/>
  <c r="T85" i="10"/>
  <c r="R85" i="10"/>
  <c r="Q85" i="10"/>
  <c r="S85" i="10"/>
  <c r="P85" i="10"/>
  <c r="L85" i="10"/>
  <c r="O85" i="10" s="1"/>
  <c r="N85" i="10"/>
  <c r="K85" i="10"/>
  <c r="E102" i="9" s="1"/>
  <c r="J85" i="10"/>
  <c r="I85" i="10"/>
  <c r="D102" i="9" s="1"/>
  <c r="H85" i="10"/>
  <c r="G85" i="10"/>
  <c r="F85" i="10"/>
  <c r="E85" i="10"/>
  <c r="Z84" i="10"/>
  <c r="T84" i="10"/>
  <c r="R84" i="10"/>
  <c r="Q84" i="10"/>
  <c r="S84" i="10"/>
  <c r="P84" i="10"/>
  <c r="L84" i="10"/>
  <c r="O84" i="10" s="1"/>
  <c r="N84" i="10"/>
  <c r="K84" i="10"/>
  <c r="E104" i="9" s="1"/>
  <c r="J84" i="10"/>
  <c r="I84" i="10"/>
  <c r="D104" i="9" s="1"/>
  <c r="H84" i="10"/>
  <c r="G84" i="10"/>
  <c r="F84" i="10"/>
  <c r="E84" i="10"/>
  <c r="Z83" i="10"/>
  <c r="T83" i="10"/>
  <c r="Q83" i="10"/>
  <c r="R83" i="10" s="1"/>
  <c r="S83" i="10"/>
  <c r="P83" i="10"/>
  <c r="L83" i="10"/>
  <c r="M83" i="10" s="1"/>
  <c r="F86" i="9" s="1"/>
  <c r="N83" i="10"/>
  <c r="K83" i="10"/>
  <c r="E86" i="9" s="1"/>
  <c r="J83" i="10"/>
  <c r="I83" i="10"/>
  <c r="D86" i="9" s="1"/>
  <c r="H83" i="10"/>
  <c r="G83" i="10"/>
  <c r="F83" i="10"/>
  <c r="E83" i="10"/>
  <c r="Z82" i="10"/>
  <c r="Q82" i="10"/>
  <c r="T82" i="10" s="1"/>
  <c r="S82" i="10"/>
  <c r="P82" i="10"/>
  <c r="O82" i="10"/>
  <c r="M82" i="10"/>
  <c r="F89" i="9" s="1"/>
  <c r="L82" i="10"/>
  <c r="N82" i="10"/>
  <c r="K82" i="10"/>
  <c r="E89" i="9" s="1"/>
  <c r="J82" i="10"/>
  <c r="I82" i="10"/>
  <c r="D89" i="9" s="1"/>
  <c r="H82" i="10"/>
  <c r="G82" i="10"/>
  <c r="F82" i="10"/>
  <c r="E82" i="10"/>
  <c r="Z81" i="10"/>
  <c r="T81" i="10"/>
  <c r="R81" i="10"/>
  <c r="Q81" i="10"/>
  <c r="S81" i="10"/>
  <c r="P81" i="10"/>
  <c r="O81" i="10"/>
  <c r="M81" i="10"/>
  <c r="L81" i="10"/>
  <c r="N81" i="10"/>
  <c r="K81" i="10"/>
  <c r="J81" i="10"/>
  <c r="I81" i="10"/>
  <c r="D90" i="9" s="1"/>
  <c r="H81" i="10"/>
  <c r="G81" i="10"/>
  <c r="F81" i="10"/>
  <c r="E81" i="10"/>
  <c r="Z80" i="10"/>
  <c r="Q80" i="10"/>
  <c r="T80" i="10" s="1"/>
  <c r="S80" i="10"/>
  <c r="P80" i="10"/>
  <c r="O80" i="10"/>
  <c r="L80" i="10"/>
  <c r="M80" i="10" s="1"/>
  <c r="F94" i="9" s="1"/>
  <c r="N80" i="10"/>
  <c r="K80" i="10"/>
  <c r="E94" i="9" s="1"/>
  <c r="J80" i="10"/>
  <c r="I80" i="10"/>
  <c r="D94" i="9" s="1"/>
  <c r="H80" i="10"/>
  <c r="G80" i="10"/>
  <c r="F80" i="10"/>
  <c r="E80" i="10"/>
  <c r="Z79" i="10"/>
  <c r="Q79" i="10"/>
  <c r="T79" i="10" s="1"/>
  <c r="S79" i="10"/>
  <c r="P79" i="10"/>
  <c r="L79" i="10"/>
  <c r="O79" i="10" s="1"/>
  <c r="N79" i="10"/>
  <c r="K79" i="10"/>
  <c r="E105" i="9" s="1"/>
  <c r="J79" i="10"/>
  <c r="I79" i="10"/>
  <c r="D105" i="9" s="1"/>
  <c r="H79" i="10"/>
  <c r="G79" i="10"/>
  <c r="F79" i="10"/>
  <c r="E79" i="10"/>
  <c r="Z78" i="10"/>
  <c r="S78" i="10"/>
  <c r="T78" i="10" s="1"/>
  <c r="R78" i="10"/>
  <c r="P78" i="10"/>
  <c r="N78" i="10"/>
  <c r="O78" i="10" s="1"/>
  <c r="K78" i="10"/>
  <c r="I78" i="10"/>
  <c r="D103" i="9" s="1"/>
  <c r="H78" i="10"/>
  <c r="G78" i="10"/>
  <c r="F78" i="10"/>
  <c r="E78" i="10"/>
  <c r="D78" i="10"/>
  <c r="A78" i="10"/>
  <c r="Z77" i="10"/>
  <c r="S77" i="10"/>
  <c r="T77" i="10" s="1"/>
  <c r="R77" i="10"/>
  <c r="P77" i="10"/>
  <c r="N77" i="10"/>
  <c r="O77" i="10" s="1"/>
  <c r="K77" i="10"/>
  <c r="E106" i="9" s="1"/>
  <c r="I77" i="10"/>
  <c r="D106" i="9" s="1"/>
  <c r="H77" i="10"/>
  <c r="G77" i="10"/>
  <c r="F77" i="10"/>
  <c r="E77" i="10"/>
  <c r="D77" i="10"/>
  <c r="A77" i="10"/>
  <c r="Z76" i="10"/>
  <c r="Q76" i="10"/>
  <c r="R76" i="10" s="1"/>
  <c r="S76" i="10"/>
  <c r="P76" i="10"/>
  <c r="O76" i="10"/>
  <c r="M76" i="10"/>
  <c r="F95" i="9" s="1"/>
  <c r="L76" i="10"/>
  <c r="N76" i="10"/>
  <c r="K76" i="10"/>
  <c r="E95" i="9" s="1"/>
  <c r="J76" i="10"/>
  <c r="I76" i="10"/>
  <c r="H76" i="10"/>
  <c r="G76" i="10"/>
  <c r="F76" i="10"/>
  <c r="E76" i="10"/>
  <c r="Z75" i="10"/>
  <c r="T75" i="10"/>
  <c r="R75" i="10"/>
  <c r="Q75" i="10"/>
  <c r="S75" i="10"/>
  <c r="P75" i="10"/>
  <c r="L75" i="10"/>
  <c r="O75" i="10" s="1"/>
  <c r="N75" i="10"/>
  <c r="K75" i="10"/>
  <c r="E90" i="9" s="1"/>
  <c r="J75" i="10"/>
  <c r="I75" i="10"/>
  <c r="H75" i="10"/>
  <c r="G75" i="10"/>
  <c r="F75" i="10"/>
  <c r="E75" i="10"/>
  <c r="G74" i="10"/>
  <c r="A74" i="10"/>
  <c r="G73" i="10"/>
  <c r="A73" i="10"/>
  <c r="Z72" i="10"/>
  <c r="S72" i="10"/>
  <c r="P72" i="10"/>
  <c r="R72" i="10" s="1"/>
  <c r="O72" i="10"/>
  <c r="N72" i="10"/>
  <c r="K72" i="10"/>
  <c r="E79" i="9" s="1"/>
  <c r="I72" i="10"/>
  <c r="D79" i="9" s="1"/>
  <c r="H72" i="10"/>
  <c r="G72" i="10"/>
  <c r="F72" i="10"/>
  <c r="E72" i="10"/>
  <c r="D72" i="10"/>
  <c r="A72" i="10"/>
  <c r="Z71" i="10"/>
  <c r="Q71" i="10"/>
  <c r="T71" i="10" s="1"/>
  <c r="S71" i="10"/>
  <c r="P71" i="10"/>
  <c r="O71" i="10"/>
  <c r="L71" i="10"/>
  <c r="M71" i="10" s="1"/>
  <c r="F78" i="9" s="1"/>
  <c r="N71" i="10"/>
  <c r="K71" i="10"/>
  <c r="E78" i="9" s="1"/>
  <c r="J71" i="10"/>
  <c r="I71" i="10"/>
  <c r="D78" i="9" s="1"/>
  <c r="H71" i="10"/>
  <c r="G71" i="10"/>
  <c r="F71" i="10"/>
  <c r="E71" i="10"/>
  <c r="G70" i="10"/>
  <c r="A70" i="10"/>
  <c r="Z69" i="10"/>
  <c r="S69" i="10"/>
  <c r="T69" i="10" s="1"/>
  <c r="P69" i="10"/>
  <c r="N69" i="10"/>
  <c r="O69" i="10" s="1"/>
  <c r="K69" i="10"/>
  <c r="E73" i="9" s="1"/>
  <c r="I69" i="10"/>
  <c r="D73" i="9" s="1"/>
  <c r="H69" i="10"/>
  <c r="G69" i="10"/>
  <c r="F69" i="10"/>
  <c r="E69" i="10"/>
  <c r="D69" i="10"/>
  <c r="A69" i="10"/>
  <c r="Z68" i="10"/>
  <c r="S68" i="10"/>
  <c r="T68" i="10" s="1"/>
  <c r="P68" i="10"/>
  <c r="N68" i="10"/>
  <c r="O68" i="10" s="1"/>
  <c r="K68" i="10"/>
  <c r="E74" i="9" s="1"/>
  <c r="I68" i="10"/>
  <c r="D74" i="9" s="1"/>
  <c r="H68" i="10"/>
  <c r="G68" i="10"/>
  <c r="F68" i="10"/>
  <c r="E68" i="10"/>
  <c r="D68" i="10"/>
  <c r="A68" i="10"/>
  <c r="G67" i="10"/>
  <c r="A67" i="10"/>
  <c r="Z66" i="10"/>
  <c r="S66" i="10"/>
  <c r="P66" i="10"/>
  <c r="R66" i="10" s="1"/>
  <c r="N66" i="10"/>
  <c r="O66" i="10" s="1"/>
  <c r="K66" i="10"/>
  <c r="E61" i="9" s="1"/>
  <c r="I66" i="10"/>
  <c r="D61" i="9" s="1"/>
  <c r="H66" i="10"/>
  <c r="G66" i="10"/>
  <c r="F66" i="10"/>
  <c r="E66" i="10"/>
  <c r="D66" i="10"/>
  <c r="A66" i="10"/>
  <c r="Z65" i="10"/>
  <c r="T65" i="10"/>
  <c r="Q65" i="10"/>
  <c r="R65" i="10" s="1"/>
  <c r="S65" i="10"/>
  <c r="P65" i="10"/>
  <c r="L65" i="10"/>
  <c r="M65" i="10" s="1"/>
  <c r="N65" i="10"/>
  <c r="K65" i="10"/>
  <c r="J65" i="10"/>
  <c r="I65" i="10"/>
  <c r="H65" i="10"/>
  <c r="G65" i="10"/>
  <c r="F65" i="10"/>
  <c r="E65" i="10"/>
  <c r="Z64" i="10"/>
  <c r="Q64" i="10"/>
  <c r="T64" i="10" s="1"/>
  <c r="S64" i="10"/>
  <c r="P64" i="10"/>
  <c r="O64" i="10"/>
  <c r="M64" i="10"/>
  <c r="L64" i="10"/>
  <c r="N64" i="10"/>
  <c r="K64" i="10"/>
  <c r="J64" i="10"/>
  <c r="I64" i="10"/>
  <c r="H64" i="10"/>
  <c r="G64" i="10"/>
  <c r="F64" i="10"/>
  <c r="E64" i="10"/>
  <c r="Z63" i="10"/>
  <c r="T63" i="10"/>
  <c r="R63" i="10"/>
  <c r="Q63" i="10"/>
  <c r="S63" i="10"/>
  <c r="P63" i="10"/>
  <c r="O63" i="10"/>
  <c r="M63" i="10"/>
  <c r="L63" i="10"/>
  <c r="N63" i="10"/>
  <c r="K63" i="10"/>
  <c r="J63" i="10"/>
  <c r="I63" i="10"/>
  <c r="H63" i="10"/>
  <c r="G63" i="10"/>
  <c r="F63" i="10"/>
  <c r="E63" i="10"/>
  <c r="Z62" i="10"/>
  <c r="Q62" i="10"/>
  <c r="T62" i="10" s="1"/>
  <c r="S62" i="10"/>
  <c r="P62" i="10"/>
  <c r="O62" i="10"/>
  <c r="L62" i="10"/>
  <c r="M62" i="10" s="1"/>
  <c r="F60" i="9" s="1"/>
  <c r="N62" i="10"/>
  <c r="K62" i="10"/>
  <c r="J62" i="10"/>
  <c r="I62" i="10"/>
  <c r="D60" i="9" s="1"/>
  <c r="H62" i="10"/>
  <c r="G62" i="10"/>
  <c r="F62" i="10"/>
  <c r="E62" i="10"/>
  <c r="Z61" i="10"/>
  <c r="S61" i="10"/>
  <c r="T61" i="10" s="1"/>
  <c r="P61" i="10"/>
  <c r="R61" i="10" s="1"/>
  <c r="O61" i="10"/>
  <c r="N61" i="10"/>
  <c r="K61" i="10"/>
  <c r="E69" i="9" s="1"/>
  <c r="I61" i="10"/>
  <c r="D69" i="9" s="1"/>
  <c r="H61" i="10"/>
  <c r="G61" i="10"/>
  <c r="F61" i="10"/>
  <c r="E61" i="10"/>
  <c r="D61" i="10"/>
  <c r="A61" i="10"/>
  <c r="Z60" i="10"/>
  <c r="Q60" i="10"/>
  <c r="T60" i="10" s="1"/>
  <c r="S60" i="10"/>
  <c r="P60" i="10"/>
  <c r="L60" i="10"/>
  <c r="O60" i="10" s="1"/>
  <c r="N60" i="10"/>
  <c r="K60" i="10"/>
  <c r="J60" i="10"/>
  <c r="I60" i="10"/>
  <c r="H60" i="10"/>
  <c r="G60" i="10"/>
  <c r="F60" i="10"/>
  <c r="E60" i="10"/>
  <c r="Z59" i="10"/>
  <c r="Q59" i="10"/>
  <c r="R59" i="10" s="1"/>
  <c r="S59" i="10"/>
  <c r="P59" i="10"/>
  <c r="M59" i="10"/>
  <c r="L59" i="10"/>
  <c r="O59" i="10" s="1"/>
  <c r="N59" i="10"/>
  <c r="K59" i="10"/>
  <c r="J59" i="10"/>
  <c r="I59" i="10"/>
  <c r="H59" i="10"/>
  <c r="G59" i="10"/>
  <c r="F59" i="10"/>
  <c r="E59" i="10"/>
  <c r="Z58" i="10"/>
  <c r="T58" i="10"/>
  <c r="R58" i="10"/>
  <c r="Q58" i="10"/>
  <c r="S58" i="10"/>
  <c r="P58" i="10"/>
  <c r="L58" i="10"/>
  <c r="O58" i="10" s="1"/>
  <c r="N58" i="10"/>
  <c r="K58" i="10"/>
  <c r="J58" i="10"/>
  <c r="I58" i="10"/>
  <c r="H58" i="10"/>
  <c r="G58" i="10"/>
  <c r="F58" i="10"/>
  <c r="E58" i="10"/>
  <c r="Z57" i="10"/>
  <c r="S57" i="10"/>
  <c r="P57" i="10"/>
  <c r="R57" i="10" s="1"/>
  <c r="N57" i="10"/>
  <c r="K57" i="10"/>
  <c r="E68" i="9" s="1"/>
  <c r="I57" i="10"/>
  <c r="D68" i="9" s="1"/>
  <c r="H57" i="10"/>
  <c r="G57" i="10"/>
  <c r="F57" i="10"/>
  <c r="E57" i="10"/>
  <c r="D57" i="10"/>
  <c r="A57" i="10"/>
  <c r="Z56" i="10"/>
  <c r="S56" i="10"/>
  <c r="P56" i="10"/>
  <c r="N56" i="10"/>
  <c r="K56" i="10"/>
  <c r="E66" i="9" s="1"/>
  <c r="I56" i="10"/>
  <c r="D66" i="9" s="1"/>
  <c r="H56" i="10"/>
  <c r="G56" i="10"/>
  <c r="F56" i="10"/>
  <c r="E56" i="10"/>
  <c r="D56" i="10"/>
  <c r="A56" i="10"/>
  <c r="Z55" i="10"/>
  <c r="T55" i="10"/>
  <c r="R55" i="10"/>
  <c r="Q55" i="10"/>
  <c r="S55" i="10"/>
  <c r="P55" i="10"/>
  <c r="L55" i="10"/>
  <c r="O55" i="10" s="1"/>
  <c r="N55" i="10"/>
  <c r="K55" i="10"/>
  <c r="E51" i="9" s="1"/>
  <c r="J55" i="10"/>
  <c r="I55" i="10"/>
  <c r="D51" i="9" s="1"/>
  <c r="H55" i="10"/>
  <c r="G55" i="10"/>
  <c r="F55" i="10"/>
  <c r="E55" i="10"/>
  <c r="Z54" i="10"/>
  <c r="T54" i="10"/>
  <c r="R54" i="10"/>
  <c r="Q54" i="10"/>
  <c r="S54" i="10"/>
  <c r="P54" i="10"/>
  <c r="L54" i="10"/>
  <c r="M54" i="10" s="1"/>
  <c r="F54" i="9" s="1"/>
  <c r="N54" i="10"/>
  <c r="K54" i="10"/>
  <c r="E54" i="9" s="1"/>
  <c r="J54" i="10"/>
  <c r="I54" i="10"/>
  <c r="D54" i="9" s="1"/>
  <c r="H54" i="10"/>
  <c r="G54" i="10"/>
  <c r="F54" i="10"/>
  <c r="E54" i="10"/>
  <c r="Z53" i="10"/>
  <c r="Q53" i="10"/>
  <c r="T53" i="10" s="1"/>
  <c r="S53" i="10"/>
  <c r="P53" i="10"/>
  <c r="O53" i="10"/>
  <c r="M53" i="10"/>
  <c r="F55" i="9" s="1"/>
  <c r="L53" i="10"/>
  <c r="N53" i="10"/>
  <c r="K53" i="10"/>
  <c r="E55" i="9" s="1"/>
  <c r="J53" i="10"/>
  <c r="I53" i="10"/>
  <c r="D55" i="9" s="1"/>
  <c r="H53" i="10"/>
  <c r="G53" i="10"/>
  <c r="F53" i="10"/>
  <c r="E53" i="10"/>
  <c r="Z52" i="10"/>
  <c r="R52" i="10"/>
  <c r="Q52" i="10"/>
  <c r="T52" i="10" s="1"/>
  <c r="S52" i="10"/>
  <c r="P52" i="10"/>
  <c r="O52" i="10"/>
  <c r="M52" i="10"/>
  <c r="L52" i="10"/>
  <c r="N52" i="10"/>
  <c r="K52" i="10"/>
  <c r="J52" i="10"/>
  <c r="I52" i="10"/>
  <c r="H52" i="10"/>
  <c r="G52" i="10"/>
  <c r="F52" i="10"/>
  <c r="E52" i="10"/>
  <c r="Z51" i="10"/>
  <c r="Q51" i="10"/>
  <c r="T51" i="10" s="1"/>
  <c r="S51" i="10"/>
  <c r="P51" i="10"/>
  <c r="O51" i="10"/>
  <c r="M51" i="10"/>
  <c r="L51" i="10"/>
  <c r="N51" i="10"/>
  <c r="K51" i="10"/>
  <c r="E58" i="9" s="1"/>
  <c r="J51" i="10"/>
  <c r="I51" i="10"/>
  <c r="D58" i="9" s="1"/>
  <c r="H51" i="10"/>
  <c r="G51" i="10"/>
  <c r="F51" i="10"/>
  <c r="E51" i="10"/>
  <c r="Z50" i="10"/>
  <c r="Q50" i="10"/>
  <c r="T50" i="10" s="1"/>
  <c r="S50" i="10"/>
  <c r="P50" i="10"/>
  <c r="L50" i="10"/>
  <c r="O50" i="10" s="1"/>
  <c r="N50" i="10"/>
  <c r="K50" i="10"/>
  <c r="E59" i="9" s="1"/>
  <c r="J50" i="10"/>
  <c r="I50" i="10"/>
  <c r="D59" i="9" s="1"/>
  <c r="H50" i="10"/>
  <c r="G50" i="10"/>
  <c r="F50" i="10"/>
  <c r="E50" i="10"/>
  <c r="Z49" i="10"/>
  <c r="Q49" i="10"/>
  <c r="R49" i="10" s="1"/>
  <c r="S49" i="10"/>
  <c r="P49" i="10"/>
  <c r="M49" i="10"/>
  <c r="F62" i="9" s="1"/>
  <c r="L49" i="10"/>
  <c r="O49" i="10" s="1"/>
  <c r="N49" i="10"/>
  <c r="K49" i="10"/>
  <c r="E62" i="9" s="1"/>
  <c r="J49" i="10"/>
  <c r="I49" i="10"/>
  <c r="D62" i="9" s="1"/>
  <c r="H49" i="10"/>
  <c r="G49" i="10"/>
  <c r="F49" i="10"/>
  <c r="E49" i="10"/>
  <c r="Z48" i="10"/>
  <c r="T48" i="10"/>
  <c r="R48" i="10"/>
  <c r="Q48" i="10"/>
  <c r="S48" i="10"/>
  <c r="P48" i="10"/>
  <c r="L48" i="10"/>
  <c r="O48" i="10" s="1"/>
  <c r="N48" i="10"/>
  <c r="K48" i="10"/>
  <c r="E63" i="9" s="1"/>
  <c r="J48" i="10"/>
  <c r="I48" i="10"/>
  <c r="H48" i="10"/>
  <c r="G48" i="10"/>
  <c r="F48" i="10"/>
  <c r="E48" i="10"/>
  <c r="Z47" i="10"/>
  <c r="T47" i="10"/>
  <c r="R47" i="10"/>
  <c r="Q47" i="10"/>
  <c r="S47" i="10"/>
  <c r="P47" i="10"/>
  <c r="L47" i="10"/>
  <c r="O47" i="10" s="1"/>
  <c r="N47" i="10"/>
  <c r="K47" i="10"/>
  <c r="E64" i="9" s="1"/>
  <c r="J47" i="10"/>
  <c r="I47" i="10"/>
  <c r="H47" i="10"/>
  <c r="G47" i="10"/>
  <c r="F47" i="10"/>
  <c r="E47" i="10"/>
  <c r="Z46" i="10"/>
  <c r="T46" i="10"/>
  <c r="R46" i="10"/>
  <c r="Q46" i="10"/>
  <c r="S46" i="10"/>
  <c r="P46" i="10"/>
  <c r="L46" i="10"/>
  <c r="M46" i="10" s="1"/>
  <c r="F65" i="9" s="1"/>
  <c r="N46" i="10"/>
  <c r="K46" i="10"/>
  <c r="E65" i="9" s="1"/>
  <c r="J46" i="10"/>
  <c r="I46" i="10"/>
  <c r="D65" i="9" s="1"/>
  <c r="H46" i="10"/>
  <c r="G46" i="10"/>
  <c r="F46" i="10"/>
  <c r="E46" i="10"/>
  <c r="Z45" i="10"/>
  <c r="Q45" i="10"/>
  <c r="T45" i="10" s="1"/>
  <c r="S45" i="10"/>
  <c r="P45" i="10"/>
  <c r="O45" i="10"/>
  <c r="M45" i="10"/>
  <c r="L45" i="10"/>
  <c r="N45" i="10"/>
  <c r="K45" i="10"/>
  <c r="E56" i="9" s="1"/>
  <c r="J45" i="10"/>
  <c r="I45" i="10"/>
  <c r="H45" i="10"/>
  <c r="G45" i="10"/>
  <c r="F45" i="10"/>
  <c r="E45" i="10"/>
  <c r="Z44" i="10"/>
  <c r="R44" i="10"/>
  <c r="Q44" i="10"/>
  <c r="T44" i="10" s="1"/>
  <c r="S44" i="10"/>
  <c r="P44" i="10"/>
  <c r="O44" i="10"/>
  <c r="M44" i="10"/>
  <c r="F57" i="9" s="1"/>
  <c r="L44" i="10"/>
  <c r="N44" i="10"/>
  <c r="K44" i="10"/>
  <c r="E57" i="9" s="1"/>
  <c r="J44" i="10"/>
  <c r="I44" i="10"/>
  <c r="D57" i="9" s="1"/>
  <c r="H44" i="10"/>
  <c r="G44" i="10"/>
  <c r="F44" i="10"/>
  <c r="E44" i="10"/>
  <c r="Z43" i="10"/>
  <c r="Q43" i="10"/>
  <c r="T43" i="10" s="1"/>
  <c r="S43" i="10"/>
  <c r="P43" i="10"/>
  <c r="O43" i="10"/>
  <c r="M43" i="10"/>
  <c r="L43" i="10"/>
  <c r="N43" i="10"/>
  <c r="K43" i="10"/>
  <c r="E67" i="9" s="1"/>
  <c r="J43" i="10"/>
  <c r="I43" i="10"/>
  <c r="D67" i="9" s="1"/>
  <c r="H43" i="10"/>
  <c r="G43" i="10"/>
  <c r="F43" i="10"/>
  <c r="E43" i="10"/>
  <c r="G42" i="10"/>
  <c r="A42" i="10"/>
  <c r="Z41" i="10"/>
  <c r="S41" i="10"/>
  <c r="T41" i="10" s="1"/>
  <c r="P41" i="10"/>
  <c r="N41" i="10"/>
  <c r="O41" i="10" s="1"/>
  <c r="K41" i="10"/>
  <c r="E45" i="9" s="1"/>
  <c r="I41" i="10"/>
  <c r="D45" i="9" s="1"/>
  <c r="H41" i="10"/>
  <c r="G41" i="10"/>
  <c r="F41" i="10"/>
  <c r="E41" i="10"/>
  <c r="D41" i="10"/>
  <c r="A41" i="10"/>
  <c r="Z40" i="10"/>
  <c r="T40" i="10"/>
  <c r="R40" i="10"/>
  <c r="Q40" i="10"/>
  <c r="S40" i="10"/>
  <c r="P40" i="10"/>
  <c r="L40" i="10"/>
  <c r="O40" i="10" s="1"/>
  <c r="N40" i="10"/>
  <c r="K40" i="10"/>
  <c r="E41" i="9" s="1"/>
  <c r="J40" i="10"/>
  <c r="I40" i="10"/>
  <c r="H40" i="10"/>
  <c r="G40" i="10"/>
  <c r="F40" i="10"/>
  <c r="E40" i="10"/>
  <c r="Z39" i="10"/>
  <c r="T39" i="10"/>
  <c r="R39" i="10"/>
  <c r="Q39" i="10"/>
  <c r="S39" i="10"/>
  <c r="P39" i="10"/>
  <c r="L39" i="10"/>
  <c r="M39" i="10" s="1"/>
  <c r="F42" i="9" s="1"/>
  <c r="N39" i="10"/>
  <c r="K39" i="10"/>
  <c r="E42" i="9" s="1"/>
  <c r="J39" i="10"/>
  <c r="I39" i="10"/>
  <c r="D42" i="9" s="1"/>
  <c r="H39" i="10"/>
  <c r="G39" i="10"/>
  <c r="F39" i="10"/>
  <c r="E39" i="10"/>
  <c r="Z38" i="10"/>
  <c r="T38" i="10"/>
  <c r="R38" i="10"/>
  <c r="Q38" i="10"/>
  <c r="S38" i="10"/>
  <c r="P38" i="10"/>
  <c r="L38" i="10"/>
  <c r="M38" i="10" s="1"/>
  <c r="F43" i="9" s="1"/>
  <c r="N38" i="10"/>
  <c r="K38" i="10"/>
  <c r="E43" i="9" s="1"/>
  <c r="J38" i="10"/>
  <c r="I38" i="10"/>
  <c r="H38" i="10"/>
  <c r="G38" i="10"/>
  <c r="F38" i="10"/>
  <c r="E38" i="10"/>
  <c r="Z37" i="10"/>
  <c r="Q37" i="10"/>
  <c r="T37" i="10" s="1"/>
  <c r="S37" i="10"/>
  <c r="P37" i="10"/>
  <c r="O37" i="10"/>
  <c r="M37" i="10"/>
  <c r="F44" i="9" s="1"/>
  <c r="L37" i="10"/>
  <c r="N37" i="10"/>
  <c r="K37" i="10"/>
  <c r="E44" i="9" s="1"/>
  <c r="J37" i="10"/>
  <c r="I37" i="10"/>
  <c r="D44" i="9" s="1"/>
  <c r="H37" i="10"/>
  <c r="G37" i="10"/>
  <c r="F37" i="10"/>
  <c r="E37" i="10"/>
  <c r="Z36" i="10"/>
  <c r="R36" i="10"/>
  <c r="Q36" i="10"/>
  <c r="T36" i="10" s="1"/>
  <c r="S36" i="10"/>
  <c r="P36" i="10"/>
  <c r="O36" i="10"/>
  <c r="M36" i="10"/>
  <c r="F46" i="9" s="1"/>
  <c r="L36" i="10"/>
  <c r="N36" i="10"/>
  <c r="K36" i="10"/>
  <c r="E46" i="9" s="1"/>
  <c r="J36" i="10"/>
  <c r="I36" i="10"/>
  <c r="D46" i="9" s="1"/>
  <c r="H36" i="10"/>
  <c r="G36" i="10"/>
  <c r="F36" i="10"/>
  <c r="E36" i="10"/>
  <c r="Z35" i="10"/>
  <c r="Q35" i="10"/>
  <c r="T35" i="10" s="1"/>
  <c r="S35" i="10"/>
  <c r="P35" i="10"/>
  <c r="O35" i="10"/>
  <c r="M35" i="10"/>
  <c r="F47" i="9" s="1"/>
  <c r="L35" i="10"/>
  <c r="N35" i="10"/>
  <c r="K35" i="10"/>
  <c r="E47" i="9" s="1"/>
  <c r="J35" i="10"/>
  <c r="I35" i="10"/>
  <c r="D47" i="9" s="1"/>
  <c r="H35" i="10"/>
  <c r="G35" i="10"/>
  <c r="F35" i="10"/>
  <c r="E35" i="10"/>
  <c r="Z34" i="10"/>
  <c r="Q34" i="10"/>
  <c r="T34" i="10" s="1"/>
  <c r="S34" i="10"/>
  <c r="P34" i="10"/>
  <c r="L34" i="10"/>
  <c r="O34" i="10" s="1"/>
  <c r="N34" i="10"/>
  <c r="K34" i="10"/>
  <c r="E38" i="9" s="1"/>
  <c r="J34" i="10"/>
  <c r="I34" i="10"/>
  <c r="D38" i="9" s="1"/>
  <c r="H34" i="10"/>
  <c r="G34" i="10"/>
  <c r="F34" i="10"/>
  <c r="E34" i="10"/>
  <c r="G33" i="10"/>
  <c r="A33" i="10"/>
  <c r="Z32" i="10"/>
  <c r="T32" i="10"/>
  <c r="R32" i="10"/>
  <c r="Q32" i="10"/>
  <c r="S32" i="10"/>
  <c r="P32" i="10"/>
  <c r="L32" i="10"/>
  <c r="O32" i="10" s="1"/>
  <c r="N32" i="10"/>
  <c r="K32" i="10"/>
  <c r="E14" i="9" s="1"/>
  <c r="J32" i="10"/>
  <c r="I32" i="10"/>
  <c r="H32" i="10"/>
  <c r="G32" i="10"/>
  <c r="F32" i="10"/>
  <c r="E32" i="10"/>
  <c r="Z31" i="10"/>
  <c r="T31" i="10"/>
  <c r="R31" i="10"/>
  <c r="Q31" i="10"/>
  <c r="S31" i="10"/>
  <c r="P31" i="10"/>
  <c r="L31" i="10"/>
  <c r="O31" i="10" s="1"/>
  <c r="N31" i="10"/>
  <c r="K31" i="10"/>
  <c r="E17" i="9" s="1"/>
  <c r="J31" i="10"/>
  <c r="I31" i="10"/>
  <c r="D17" i="9" s="1"/>
  <c r="H31" i="10"/>
  <c r="G31" i="10"/>
  <c r="F31" i="10"/>
  <c r="E31" i="10"/>
  <c r="Z30" i="10"/>
  <c r="Q30" i="10"/>
  <c r="T30" i="10" s="1"/>
  <c r="S30" i="10"/>
  <c r="P30" i="10"/>
  <c r="O30" i="10"/>
  <c r="M30" i="10"/>
  <c r="L30" i="10"/>
  <c r="N30" i="10"/>
  <c r="K30" i="10"/>
  <c r="J30" i="10"/>
  <c r="I30" i="10"/>
  <c r="H30" i="10"/>
  <c r="G30" i="10"/>
  <c r="F30" i="10"/>
  <c r="E30" i="10"/>
  <c r="Z29" i="10"/>
  <c r="R29" i="10"/>
  <c r="Q29" i="10"/>
  <c r="T29" i="10" s="1"/>
  <c r="S29" i="10"/>
  <c r="P29" i="10"/>
  <c r="O29" i="10"/>
  <c r="M29" i="10"/>
  <c r="L29" i="10"/>
  <c r="N29" i="10"/>
  <c r="K29" i="10"/>
  <c r="E22" i="9" s="1"/>
  <c r="J29" i="10"/>
  <c r="I29" i="10"/>
  <c r="H29" i="10"/>
  <c r="G29" i="10"/>
  <c r="F29" i="10"/>
  <c r="E29" i="10"/>
  <c r="Z28" i="10"/>
  <c r="Q28" i="10"/>
  <c r="T28" i="10" s="1"/>
  <c r="S28" i="10"/>
  <c r="P28" i="10"/>
  <c r="O28" i="10"/>
  <c r="M28" i="10"/>
  <c r="F33" i="9" s="1"/>
  <c r="L28" i="10"/>
  <c r="N28" i="10"/>
  <c r="K28" i="10"/>
  <c r="E33" i="9" s="1"/>
  <c r="J28" i="10"/>
  <c r="I28" i="10"/>
  <c r="D33" i="9" s="1"/>
  <c r="H28" i="10"/>
  <c r="G28" i="10"/>
  <c r="F28" i="10"/>
  <c r="E28" i="10"/>
  <c r="Z27" i="10"/>
  <c r="S27" i="10"/>
  <c r="T27" i="10" s="1"/>
  <c r="P27" i="10"/>
  <c r="R27" i="10" s="1"/>
  <c r="O27" i="10"/>
  <c r="N27" i="10"/>
  <c r="K27" i="10"/>
  <c r="E31" i="9" s="1"/>
  <c r="I27" i="10"/>
  <c r="D31" i="9" s="1"/>
  <c r="H27" i="10"/>
  <c r="G27" i="10"/>
  <c r="F27" i="10"/>
  <c r="E27" i="10"/>
  <c r="D27" i="10"/>
  <c r="A27" i="10"/>
  <c r="Z26" i="10"/>
  <c r="S26" i="10"/>
  <c r="T26" i="10" s="1"/>
  <c r="P26" i="10"/>
  <c r="R26" i="10" s="1"/>
  <c r="O26" i="10"/>
  <c r="N26" i="10"/>
  <c r="K26" i="10"/>
  <c r="E34" i="9" s="1"/>
  <c r="I26" i="10"/>
  <c r="D34" i="9" s="1"/>
  <c r="H26" i="10"/>
  <c r="G26" i="10"/>
  <c r="F26" i="10"/>
  <c r="E26" i="10"/>
  <c r="D26" i="10"/>
  <c r="A26" i="10"/>
  <c r="Z25" i="10"/>
  <c r="Q25" i="10"/>
  <c r="T25" i="10" s="1"/>
  <c r="S25" i="10"/>
  <c r="P25" i="10"/>
  <c r="L25" i="10"/>
  <c r="O25" i="10" s="1"/>
  <c r="N25" i="10"/>
  <c r="K25" i="10"/>
  <c r="E23" i="9" s="1"/>
  <c r="J25" i="10"/>
  <c r="I25" i="10"/>
  <c r="D23" i="9" s="1"/>
  <c r="H25" i="10"/>
  <c r="G25" i="10"/>
  <c r="F25" i="10"/>
  <c r="E25" i="10"/>
  <c r="Z24" i="10"/>
  <c r="Q24" i="10"/>
  <c r="T24" i="10" s="1"/>
  <c r="S24" i="10"/>
  <c r="P24" i="10"/>
  <c r="M24" i="10"/>
  <c r="L24" i="10"/>
  <c r="O24" i="10" s="1"/>
  <c r="N24" i="10"/>
  <c r="K24" i="10"/>
  <c r="J24" i="10"/>
  <c r="I24" i="10"/>
  <c r="H24" i="10"/>
  <c r="G24" i="10"/>
  <c r="F24" i="10"/>
  <c r="E24" i="10"/>
  <c r="Z23" i="10"/>
  <c r="T23" i="10"/>
  <c r="R23" i="10"/>
  <c r="Q23" i="10"/>
  <c r="S23" i="10"/>
  <c r="P23" i="10"/>
  <c r="L23" i="10"/>
  <c r="O23" i="10" s="1"/>
  <c r="N23" i="10"/>
  <c r="K23" i="10"/>
  <c r="E13" i="9" s="1"/>
  <c r="J23" i="10"/>
  <c r="I23" i="10"/>
  <c r="D13" i="9" s="1"/>
  <c r="H23" i="10"/>
  <c r="G23" i="10"/>
  <c r="F23" i="10"/>
  <c r="E23" i="10"/>
  <c r="Z22" i="10"/>
  <c r="T22" i="10"/>
  <c r="R22" i="10"/>
  <c r="Q22" i="10"/>
  <c r="S22" i="10"/>
  <c r="P22" i="10"/>
  <c r="L22" i="10"/>
  <c r="O22" i="10" s="1"/>
  <c r="N22" i="10"/>
  <c r="K22" i="10"/>
  <c r="E16" i="9" s="1"/>
  <c r="J22" i="10"/>
  <c r="I22" i="10"/>
  <c r="D16" i="9" s="1"/>
  <c r="H22" i="10"/>
  <c r="G22" i="10"/>
  <c r="F22" i="10"/>
  <c r="E22" i="10"/>
  <c r="Z21" i="10"/>
  <c r="T21" i="10"/>
  <c r="R21" i="10"/>
  <c r="Q21" i="10"/>
  <c r="S21" i="10"/>
  <c r="P21" i="10"/>
  <c r="L21" i="10"/>
  <c r="M21" i="10" s="1"/>
  <c r="F24" i="9" s="1"/>
  <c r="N21" i="10"/>
  <c r="K21" i="10"/>
  <c r="E24" i="9" s="1"/>
  <c r="J21" i="10"/>
  <c r="I21" i="10"/>
  <c r="D24" i="9" s="1"/>
  <c r="H21" i="10"/>
  <c r="G21" i="10"/>
  <c r="F21" i="10"/>
  <c r="E21" i="10"/>
  <c r="Z20" i="10"/>
  <c r="Q20" i="10"/>
  <c r="T20" i="10" s="1"/>
  <c r="S20" i="10"/>
  <c r="P20" i="10"/>
  <c r="O20" i="10"/>
  <c r="M20" i="10"/>
  <c r="F27" i="9" s="1"/>
  <c r="L20" i="10"/>
  <c r="N20" i="10"/>
  <c r="K20" i="10"/>
  <c r="J20" i="10"/>
  <c r="I20" i="10"/>
  <c r="D27" i="9" s="1"/>
  <c r="H20" i="10"/>
  <c r="G20" i="10"/>
  <c r="F20" i="10"/>
  <c r="E20" i="10"/>
  <c r="Z19" i="10"/>
  <c r="R19" i="10"/>
  <c r="Q19" i="10"/>
  <c r="T19" i="10" s="1"/>
  <c r="S19" i="10"/>
  <c r="P19" i="10"/>
  <c r="O19" i="10"/>
  <c r="M19" i="10"/>
  <c r="F28" i="9" s="1"/>
  <c r="L19" i="10"/>
  <c r="N19" i="10"/>
  <c r="K19" i="10"/>
  <c r="E28" i="9" s="1"/>
  <c r="J19" i="10"/>
  <c r="I19" i="10"/>
  <c r="D28" i="9" s="1"/>
  <c r="H19" i="10"/>
  <c r="G19" i="10"/>
  <c r="F19" i="10"/>
  <c r="E19" i="10"/>
  <c r="Z18" i="10"/>
  <c r="Q18" i="10"/>
  <c r="T18" i="10" s="1"/>
  <c r="S18" i="10"/>
  <c r="P18" i="10"/>
  <c r="O18" i="10"/>
  <c r="M18" i="10"/>
  <c r="L18" i="10"/>
  <c r="N18" i="10"/>
  <c r="K18" i="10"/>
  <c r="E29" i="9" s="1"/>
  <c r="J18" i="10"/>
  <c r="I18" i="10"/>
  <c r="D29" i="9" s="1"/>
  <c r="H18" i="10"/>
  <c r="G18" i="10"/>
  <c r="F18" i="10"/>
  <c r="E18" i="10"/>
  <c r="Z17" i="10"/>
  <c r="Q17" i="10"/>
  <c r="T17" i="10" s="1"/>
  <c r="S17" i="10"/>
  <c r="P17" i="10"/>
  <c r="L17" i="10"/>
  <c r="O17" i="10" s="1"/>
  <c r="N17" i="10"/>
  <c r="K17" i="10"/>
  <c r="E12" i="9" s="1"/>
  <c r="J17" i="10"/>
  <c r="I17" i="10"/>
  <c r="D12" i="9" s="1"/>
  <c r="H17" i="10"/>
  <c r="G17" i="10"/>
  <c r="F17" i="10"/>
  <c r="E17" i="10"/>
  <c r="Z16" i="10"/>
  <c r="Q16" i="10"/>
  <c r="R16" i="10" s="1"/>
  <c r="S16" i="10"/>
  <c r="P16" i="10"/>
  <c r="M16" i="10"/>
  <c r="F15" i="9" s="1"/>
  <c r="L16" i="10"/>
  <c r="O16" i="10" s="1"/>
  <c r="N16" i="10"/>
  <c r="K16" i="10"/>
  <c r="E15" i="9" s="1"/>
  <c r="J16" i="10"/>
  <c r="I16" i="10"/>
  <c r="D15" i="9" s="1"/>
  <c r="H16" i="10"/>
  <c r="G16" i="10"/>
  <c r="F16" i="10"/>
  <c r="E16" i="10"/>
  <c r="Z15" i="10"/>
  <c r="T15" i="10"/>
  <c r="R15" i="10"/>
  <c r="Q15" i="10"/>
  <c r="S15" i="10"/>
  <c r="P15" i="10"/>
  <c r="L15" i="10"/>
  <c r="O15" i="10" s="1"/>
  <c r="N15" i="10"/>
  <c r="K15" i="10"/>
  <c r="E19" i="9" s="1"/>
  <c r="J15" i="10"/>
  <c r="I15" i="10"/>
  <c r="D19" i="9" s="1"/>
  <c r="H15" i="10"/>
  <c r="G15" i="10"/>
  <c r="F15" i="10"/>
  <c r="E15" i="10"/>
  <c r="Z14" i="10"/>
  <c r="T14" i="10"/>
  <c r="R14" i="10"/>
  <c r="Q14" i="10"/>
  <c r="S14" i="10"/>
  <c r="P14" i="10"/>
  <c r="L14" i="10"/>
  <c r="O14" i="10" s="1"/>
  <c r="N14" i="10"/>
  <c r="K14" i="10"/>
  <c r="E25" i="9" s="1"/>
  <c r="J14" i="10"/>
  <c r="I14" i="10"/>
  <c r="D25" i="9" s="1"/>
  <c r="H14" i="10"/>
  <c r="G14" i="10"/>
  <c r="F14" i="10"/>
  <c r="E14" i="10"/>
  <c r="Z13" i="10"/>
  <c r="T13" i="10"/>
  <c r="R13" i="10"/>
  <c r="Q13" i="10"/>
  <c r="S13" i="10"/>
  <c r="P13" i="10"/>
  <c r="L13" i="10"/>
  <c r="M13" i="10" s="1"/>
  <c r="F26" i="9" s="1"/>
  <c r="N13" i="10"/>
  <c r="K13" i="10"/>
  <c r="E26" i="9" s="1"/>
  <c r="J13" i="10"/>
  <c r="I13" i="10"/>
  <c r="D26" i="9" s="1"/>
  <c r="H13" i="10"/>
  <c r="G13" i="10"/>
  <c r="F13" i="10"/>
  <c r="E13" i="10"/>
  <c r="Z12" i="10"/>
  <c r="Q12" i="10"/>
  <c r="T12" i="10" s="1"/>
  <c r="S12" i="10"/>
  <c r="P12" i="10"/>
  <c r="O12" i="10"/>
  <c r="M12" i="10"/>
  <c r="F30" i="9" s="1"/>
  <c r="L12" i="10"/>
  <c r="N12" i="10"/>
  <c r="K12" i="10"/>
  <c r="E30" i="9" s="1"/>
  <c r="J12" i="10"/>
  <c r="I12" i="10"/>
  <c r="D30" i="9" s="1"/>
  <c r="H12" i="10"/>
  <c r="G12" i="10"/>
  <c r="F12" i="10"/>
  <c r="E12" i="10"/>
  <c r="Z11" i="10"/>
  <c r="T11" i="10"/>
  <c r="R11" i="10"/>
  <c r="Q11" i="10"/>
  <c r="S11" i="10"/>
  <c r="P11" i="10"/>
  <c r="O11" i="10"/>
  <c r="M11" i="10"/>
  <c r="F32" i="9" s="1"/>
  <c r="L11" i="10"/>
  <c r="N11" i="10"/>
  <c r="K11" i="10"/>
  <c r="E32" i="9" s="1"/>
  <c r="J11" i="10"/>
  <c r="I11" i="10"/>
  <c r="D32" i="9" s="1"/>
  <c r="H11" i="10"/>
  <c r="G11" i="10"/>
  <c r="F11" i="10"/>
  <c r="E11" i="10"/>
  <c r="Z10" i="10"/>
  <c r="Q10" i="10"/>
  <c r="T10" i="10" s="1"/>
  <c r="S10" i="10"/>
  <c r="P10" i="10"/>
  <c r="O10" i="10"/>
  <c r="M10" i="10"/>
  <c r="L10" i="10"/>
  <c r="N10" i="10"/>
  <c r="K10" i="10"/>
  <c r="J10" i="10"/>
  <c r="I10" i="10"/>
  <c r="H10" i="10"/>
  <c r="G10" i="10"/>
  <c r="F10" i="10"/>
  <c r="E10" i="10"/>
  <c r="Z9" i="10"/>
  <c r="Q9" i="10"/>
  <c r="T9" i="10" s="1"/>
  <c r="S9" i="10"/>
  <c r="P9" i="10"/>
  <c r="L9" i="10"/>
  <c r="O9" i="10" s="1"/>
  <c r="N9" i="10"/>
  <c r="K9" i="10"/>
  <c r="E18" i="9" s="1"/>
  <c r="J9" i="10"/>
  <c r="I9" i="10"/>
  <c r="D18" i="9" s="1"/>
  <c r="H9" i="10"/>
  <c r="G9" i="10"/>
  <c r="F9" i="10"/>
  <c r="E9" i="10"/>
  <c r="G8" i="10"/>
  <c r="A8" i="10"/>
  <c r="G7" i="10"/>
  <c r="A7" i="10"/>
  <c r="G6" i="10"/>
  <c r="A6" i="10"/>
  <c r="D116" i="8"/>
  <c r="C116" i="8"/>
  <c r="B116" i="8"/>
  <c r="D115" i="8"/>
  <c r="C115" i="8"/>
  <c r="B115" i="8"/>
  <c r="D114" i="8"/>
  <c r="C114" i="8"/>
  <c r="B114" i="8"/>
  <c r="A113" i="8"/>
  <c r="D112" i="8"/>
  <c r="C112" i="8"/>
  <c r="B112" i="8"/>
  <c r="D111" i="8"/>
  <c r="C111" i="8"/>
  <c r="B111" i="8"/>
  <c r="D110" i="8"/>
  <c r="C110" i="8"/>
  <c r="B110" i="8"/>
  <c r="A109" i="8"/>
  <c r="D108" i="8"/>
  <c r="C108" i="8"/>
  <c r="B108" i="8"/>
  <c r="D107" i="8"/>
  <c r="C107" i="8"/>
  <c r="B107" i="8"/>
  <c r="D106" i="8"/>
  <c r="C106" i="8"/>
  <c r="B106" i="8"/>
  <c r="A105" i="8"/>
  <c r="D104" i="8"/>
  <c r="C104" i="8"/>
  <c r="B104" i="8"/>
  <c r="D103" i="8"/>
  <c r="C103" i="8"/>
  <c r="B103" i="8"/>
  <c r="D102" i="8"/>
  <c r="C102" i="8"/>
  <c r="B102" i="8"/>
  <c r="A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A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A80" i="8"/>
  <c r="D79" i="8"/>
  <c r="C79" i="8"/>
  <c r="B79" i="8"/>
  <c r="A78" i="8"/>
  <c r="D77" i="8"/>
  <c r="C77" i="8"/>
  <c r="B77" i="8"/>
  <c r="D76" i="8"/>
  <c r="C76" i="8"/>
  <c r="B76" i="8"/>
  <c r="A75" i="8"/>
  <c r="D74" i="8"/>
  <c r="C74" i="8"/>
  <c r="B74" i="8"/>
  <c r="D73" i="8"/>
  <c r="C73" i="8"/>
  <c r="B73" i="8"/>
  <c r="D72" i="8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A62" i="8"/>
  <c r="A61" i="8"/>
  <c r="D60" i="8"/>
  <c r="C60" i="8"/>
  <c r="B60" i="8"/>
  <c r="D59" i="8"/>
  <c r="C59" i="8"/>
  <c r="B59" i="8"/>
  <c r="D58" i="8"/>
  <c r="C58" i="8"/>
  <c r="B58" i="8"/>
  <c r="A57" i="8"/>
  <c r="D56" i="8"/>
  <c r="C56" i="8"/>
  <c r="B56" i="8"/>
  <c r="D55" i="8"/>
  <c r="C55" i="8"/>
  <c r="B55" i="8"/>
  <c r="D54" i="8"/>
  <c r="C54" i="8"/>
  <c r="B54" i="8"/>
  <c r="A53" i="8"/>
  <c r="D52" i="8"/>
  <c r="C52" i="8"/>
  <c r="B52" i="8"/>
  <c r="D51" i="8"/>
  <c r="C51" i="8"/>
  <c r="B51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A39" i="8"/>
  <c r="D38" i="8"/>
  <c r="C38" i="8"/>
  <c r="B38" i="8"/>
  <c r="D37" i="8"/>
  <c r="C37" i="8"/>
  <c r="B37" i="8"/>
  <c r="D36" i="8"/>
  <c r="C36" i="8"/>
  <c r="B36" i="8"/>
  <c r="D35" i="8"/>
  <c r="C35" i="8"/>
  <c r="B35" i="8"/>
  <c r="A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A21" i="8"/>
  <c r="A20" i="8"/>
  <c r="A19" i="8"/>
  <c r="AD12" i="8"/>
  <c r="A12" i="8"/>
  <c r="A11" i="8"/>
  <c r="A1" i="8"/>
  <c r="H535" i="7"/>
  <c r="H532" i="7"/>
  <c r="C535" i="7"/>
  <c r="C532" i="7"/>
  <c r="I529" i="7"/>
  <c r="C529" i="7"/>
  <c r="I528" i="7"/>
  <c r="C528" i="7"/>
  <c r="I527" i="7"/>
  <c r="C527" i="7"/>
  <c r="I25" i="7"/>
  <c r="I24" i="7"/>
  <c r="I23" i="7"/>
  <c r="I22" i="7"/>
  <c r="I21" i="7"/>
  <c r="I20" i="7"/>
  <c r="AF526" i="7"/>
  <c r="A526" i="7"/>
  <c r="A523" i="7"/>
  <c r="A520" i="7"/>
  <c r="J517" i="7"/>
  <c r="I517" i="7"/>
  <c r="H517" i="7"/>
  <c r="G517" i="7"/>
  <c r="F517" i="7"/>
  <c r="J516" i="7"/>
  <c r="I518" i="7" s="1"/>
  <c r="I516" i="7"/>
  <c r="H516" i="7"/>
  <c r="G516" i="7"/>
  <c r="F516" i="7"/>
  <c r="V515" i="7"/>
  <c r="T515" i="7"/>
  <c r="R515" i="7"/>
  <c r="U515" i="7"/>
  <c r="S515" i="7"/>
  <c r="Q515" i="7"/>
  <c r="E515" i="7"/>
  <c r="D515" i="7"/>
  <c r="C515" i="7"/>
  <c r="B515" i="7"/>
  <c r="P514" i="7"/>
  <c r="I514" i="7"/>
  <c r="K514" i="7" s="1"/>
  <c r="J513" i="7"/>
  <c r="I513" i="7"/>
  <c r="H513" i="7"/>
  <c r="G513" i="7"/>
  <c r="F513" i="7"/>
  <c r="J512" i="7"/>
  <c r="I512" i="7"/>
  <c r="H512" i="7"/>
  <c r="G512" i="7"/>
  <c r="F512" i="7"/>
  <c r="V511" i="7"/>
  <c r="T511" i="7"/>
  <c r="R511" i="7"/>
  <c r="U511" i="7"/>
  <c r="S511" i="7"/>
  <c r="Q511" i="7"/>
  <c r="E511" i="7"/>
  <c r="D511" i="7"/>
  <c r="C511" i="7"/>
  <c r="B511" i="7"/>
  <c r="E509" i="7"/>
  <c r="J508" i="7"/>
  <c r="I508" i="7"/>
  <c r="H508" i="7"/>
  <c r="G508" i="7"/>
  <c r="F508" i="7"/>
  <c r="J507" i="7"/>
  <c r="I510" i="7" s="1"/>
  <c r="I507" i="7"/>
  <c r="H507" i="7"/>
  <c r="G507" i="7"/>
  <c r="F507" i="7"/>
  <c r="V506" i="7"/>
  <c r="J509" i="7" s="1"/>
  <c r="T506" i="7"/>
  <c r="R506" i="7"/>
  <c r="U506" i="7"/>
  <c r="S506" i="7"/>
  <c r="Q506" i="7"/>
  <c r="E506" i="7"/>
  <c r="D506" i="7"/>
  <c r="C506" i="7"/>
  <c r="B506" i="7"/>
  <c r="A505" i="7"/>
  <c r="A502" i="7"/>
  <c r="K499" i="7"/>
  <c r="H499" i="7"/>
  <c r="G499" i="7"/>
  <c r="E499" i="7"/>
  <c r="E498" i="7"/>
  <c r="E497" i="7"/>
  <c r="E496" i="7"/>
  <c r="J495" i="7"/>
  <c r="I495" i="7"/>
  <c r="H495" i="7"/>
  <c r="F495" i="7"/>
  <c r="V495" i="7"/>
  <c r="T495" i="7"/>
  <c r="R495" i="7"/>
  <c r="U495" i="7"/>
  <c r="S495" i="7"/>
  <c r="Q495" i="7"/>
  <c r="E495" i="7"/>
  <c r="D495" i="7"/>
  <c r="B495" i="7"/>
  <c r="J494" i="7"/>
  <c r="I494" i="7"/>
  <c r="H494" i="7"/>
  <c r="F494" i="7"/>
  <c r="V494" i="7"/>
  <c r="T494" i="7"/>
  <c r="R494" i="7"/>
  <c r="U494" i="7"/>
  <c r="S494" i="7"/>
  <c r="Q494" i="7"/>
  <c r="E494" i="7"/>
  <c r="D494" i="7"/>
  <c r="C494" i="7"/>
  <c r="B494" i="7"/>
  <c r="J493" i="7"/>
  <c r="I493" i="7"/>
  <c r="H493" i="7"/>
  <c r="G493" i="7"/>
  <c r="F493" i="7"/>
  <c r="J492" i="7"/>
  <c r="I492" i="7"/>
  <c r="H492" i="7"/>
  <c r="G492" i="7"/>
  <c r="F492" i="7"/>
  <c r="J491" i="7"/>
  <c r="I491" i="7"/>
  <c r="H491" i="7"/>
  <c r="G491" i="7"/>
  <c r="F491" i="7"/>
  <c r="J490" i="7"/>
  <c r="I490" i="7"/>
  <c r="H490" i="7"/>
  <c r="G490" i="7"/>
  <c r="F490" i="7"/>
  <c r="C489" i="7"/>
  <c r="V488" i="7"/>
  <c r="J498" i="7" s="1"/>
  <c r="T488" i="7"/>
  <c r="J497" i="7" s="1"/>
  <c r="R488" i="7"/>
  <c r="J496" i="7" s="1"/>
  <c r="U488" i="7"/>
  <c r="S488" i="7"/>
  <c r="Q488" i="7"/>
  <c r="E488" i="7"/>
  <c r="D488" i="7"/>
  <c r="C488" i="7"/>
  <c r="B488" i="7"/>
  <c r="A487" i="7"/>
  <c r="A484" i="7"/>
  <c r="A481" i="7"/>
  <c r="K478" i="7"/>
  <c r="H478" i="7"/>
  <c r="G478" i="7"/>
  <c r="E478" i="7"/>
  <c r="E477" i="7"/>
  <c r="E476" i="7"/>
  <c r="J475" i="7"/>
  <c r="I475" i="7"/>
  <c r="H475" i="7"/>
  <c r="F475" i="7"/>
  <c r="V475" i="7"/>
  <c r="T475" i="7"/>
  <c r="R475" i="7"/>
  <c r="U475" i="7"/>
  <c r="S475" i="7"/>
  <c r="Q475" i="7"/>
  <c r="E475" i="7"/>
  <c r="D475" i="7"/>
  <c r="B475" i="7"/>
  <c r="J474" i="7"/>
  <c r="I474" i="7"/>
  <c r="H474" i="7"/>
  <c r="F474" i="7"/>
  <c r="V474" i="7"/>
  <c r="T474" i="7"/>
  <c r="R474" i="7"/>
  <c r="U474" i="7"/>
  <c r="S474" i="7"/>
  <c r="Q474" i="7"/>
  <c r="E474" i="7"/>
  <c r="D474" i="7"/>
  <c r="C474" i="7"/>
  <c r="B474" i="7"/>
  <c r="J473" i="7"/>
  <c r="I473" i="7"/>
  <c r="H473" i="7"/>
  <c r="G473" i="7"/>
  <c r="F473" i="7"/>
  <c r="J472" i="7"/>
  <c r="I472" i="7"/>
  <c r="H472" i="7"/>
  <c r="G472" i="7"/>
  <c r="F472" i="7"/>
  <c r="C471" i="7"/>
  <c r="V470" i="7"/>
  <c r="T470" i="7"/>
  <c r="J477" i="7" s="1"/>
  <c r="R470" i="7"/>
  <c r="J476" i="7" s="1"/>
  <c r="U470" i="7"/>
  <c r="S470" i="7"/>
  <c r="Q470" i="7"/>
  <c r="E470" i="7"/>
  <c r="D470" i="7"/>
  <c r="C470" i="7"/>
  <c r="B470" i="7"/>
  <c r="A469" i="7"/>
  <c r="A466" i="7"/>
  <c r="K463" i="7"/>
  <c r="H463" i="7"/>
  <c r="G463" i="7"/>
  <c r="E463" i="7"/>
  <c r="E462" i="7"/>
  <c r="E461" i="7"/>
  <c r="J460" i="7"/>
  <c r="I460" i="7"/>
  <c r="H460" i="7"/>
  <c r="F460" i="7"/>
  <c r="V460" i="7"/>
  <c r="T460" i="7"/>
  <c r="R460" i="7"/>
  <c r="U460" i="7"/>
  <c r="S460" i="7"/>
  <c r="Q460" i="7"/>
  <c r="E460" i="7"/>
  <c r="D460" i="7"/>
  <c r="C460" i="7"/>
  <c r="B460" i="7"/>
  <c r="J459" i="7"/>
  <c r="I459" i="7"/>
  <c r="H459" i="7"/>
  <c r="F459" i="7"/>
  <c r="V459" i="7"/>
  <c r="T459" i="7"/>
  <c r="R459" i="7"/>
  <c r="J461" i="7" s="1"/>
  <c r="U459" i="7"/>
  <c r="S459" i="7"/>
  <c r="Q459" i="7"/>
  <c r="E459" i="7"/>
  <c r="D459" i="7"/>
  <c r="B459" i="7"/>
  <c r="J458" i="7"/>
  <c r="I458" i="7"/>
  <c r="H458" i="7"/>
  <c r="G458" i="7"/>
  <c r="F458" i="7"/>
  <c r="C457" i="7"/>
  <c r="V456" i="7"/>
  <c r="T456" i="7"/>
  <c r="J462" i="7" s="1"/>
  <c r="R456" i="7"/>
  <c r="U456" i="7"/>
  <c r="S456" i="7"/>
  <c r="Q456" i="7"/>
  <c r="E456" i="7"/>
  <c r="D456" i="7"/>
  <c r="C456" i="7"/>
  <c r="B456" i="7"/>
  <c r="A455" i="7"/>
  <c r="A452" i="7"/>
  <c r="K449" i="7"/>
  <c r="H449" i="7"/>
  <c r="G449" i="7"/>
  <c r="E449" i="7"/>
  <c r="J448" i="7"/>
  <c r="E448" i="7"/>
  <c r="E447" i="7"/>
  <c r="J446" i="7"/>
  <c r="I446" i="7"/>
  <c r="H446" i="7"/>
  <c r="F446" i="7"/>
  <c r="V446" i="7"/>
  <c r="T446" i="7"/>
  <c r="R446" i="7"/>
  <c r="U446" i="7"/>
  <c r="S446" i="7"/>
  <c r="Q446" i="7"/>
  <c r="E446" i="7"/>
  <c r="D446" i="7"/>
  <c r="C446" i="7"/>
  <c r="B446" i="7"/>
  <c r="J445" i="7"/>
  <c r="I445" i="7"/>
  <c r="H445" i="7"/>
  <c r="G445" i="7"/>
  <c r="F445" i="7"/>
  <c r="J444" i="7"/>
  <c r="I444" i="7"/>
  <c r="H444" i="7"/>
  <c r="G444" i="7"/>
  <c r="F444" i="7"/>
  <c r="C443" i="7"/>
  <c r="V442" i="7"/>
  <c r="T442" i="7"/>
  <c r="R442" i="7"/>
  <c r="J447" i="7" s="1"/>
  <c r="U442" i="7"/>
  <c r="S442" i="7"/>
  <c r="Q442" i="7"/>
  <c r="E442" i="7"/>
  <c r="D442" i="7"/>
  <c r="C442" i="7"/>
  <c r="B442" i="7"/>
  <c r="K440" i="7"/>
  <c r="H440" i="7"/>
  <c r="G440" i="7"/>
  <c r="E440" i="7"/>
  <c r="E439" i="7"/>
  <c r="J438" i="7"/>
  <c r="E438" i="7"/>
  <c r="J437" i="7"/>
  <c r="I437" i="7"/>
  <c r="H437" i="7"/>
  <c r="G437" i="7"/>
  <c r="F437" i="7"/>
  <c r="C436" i="7"/>
  <c r="V435" i="7"/>
  <c r="T435" i="7"/>
  <c r="J439" i="7" s="1"/>
  <c r="R435" i="7"/>
  <c r="U435" i="7"/>
  <c r="S435" i="7"/>
  <c r="Q435" i="7"/>
  <c r="E435" i="7"/>
  <c r="D435" i="7"/>
  <c r="C435" i="7"/>
  <c r="B435" i="7"/>
  <c r="K433" i="7"/>
  <c r="H433" i="7"/>
  <c r="G433" i="7"/>
  <c r="E433" i="7"/>
  <c r="E432" i="7"/>
  <c r="E431" i="7"/>
  <c r="J430" i="7"/>
  <c r="I430" i="7"/>
  <c r="H430" i="7"/>
  <c r="G430" i="7"/>
  <c r="F430" i="7"/>
  <c r="J429" i="7"/>
  <c r="I429" i="7"/>
  <c r="H429" i="7"/>
  <c r="G429" i="7"/>
  <c r="F429" i="7"/>
  <c r="C428" i="7"/>
  <c r="V427" i="7"/>
  <c r="T427" i="7"/>
  <c r="J432" i="7" s="1"/>
  <c r="R427" i="7"/>
  <c r="J431" i="7" s="1"/>
  <c r="U427" i="7"/>
  <c r="S427" i="7"/>
  <c r="Q427" i="7"/>
  <c r="E427" i="7"/>
  <c r="D427" i="7"/>
  <c r="C427" i="7"/>
  <c r="B427" i="7"/>
  <c r="K425" i="7"/>
  <c r="H425" i="7"/>
  <c r="G425" i="7"/>
  <c r="E425" i="7"/>
  <c r="E424" i="7"/>
  <c r="E423" i="7"/>
  <c r="J422" i="7"/>
  <c r="I422" i="7"/>
  <c r="H422" i="7"/>
  <c r="F422" i="7"/>
  <c r="V422" i="7"/>
  <c r="T422" i="7"/>
  <c r="R422" i="7"/>
  <c r="U422" i="7"/>
  <c r="S422" i="7"/>
  <c r="Q422" i="7"/>
  <c r="E422" i="7"/>
  <c r="D422" i="7"/>
  <c r="B422" i="7"/>
  <c r="J421" i="7"/>
  <c r="I421" i="7"/>
  <c r="H421" i="7"/>
  <c r="G421" i="7"/>
  <c r="F421" i="7"/>
  <c r="J420" i="7"/>
  <c r="I420" i="7"/>
  <c r="H420" i="7"/>
  <c r="G420" i="7"/>
  <c r="F420" i="7"/>
  <c r="C419" i="7"/>
  <c r="V418" i="7"/>
  <c r="T418" i="7"/>
  <c r="J424" i="7" s="1"/>
  <c r="R418" i="7"/>
  <c r="J423" i="7" s="1"/>
  <c r="U418" i="7"/>
  <c r="S418" i="7"/>
  <c r="Q418" i="7"/>
  <c r="E418" i="7"/>
  <c r="D418" i="7"/>
  <c r="C418" i="7"/>
  <c r="B418" i="7"/>
  <c r="K416" i="7"/>
  <c r="H416" i="7"/>
  <c r="G416" i="7"/>
  <c r="E416" i="7"/>
  <c r="E415" i="7"/>
  <c r="E414" i="7"/>
  <c r="E413" i="7"/>
  <c r="J412" i="7"/>
  <c r="I412" i="7"/>
  <c r="H412" i="7"/>
  <c r="F412" i="7"/>
  <c r="V412" i="7"/>
  <c r="T412" i="7"/>
  <c r="R412" i="7"/>
  <c r="U412" i="7"/>
  <c r="S412" i="7"/>
  <c r="Q412" i="7"/>
  <c r="E412" i="7"/>
  <c r="D412" i="7"/>
  <c r="B412" i="7"/>
  <c r="J411" i="7"/>
  <c r="I411" i="7"/>
  <c r="H411" i="7"/>
  <c r="F411" i="7"/>
  <c r="V411" i="7"/>
  <c r="T411" i="7"/>
  <c r="R411" i="7"/>
  <c r="U411" i="7"/>
  <c r="S411" i="7"/>
  <c r="Q411" i="7"/>
  <c r="E411" i="7"/>
  <c r="D411" i="7"/>
  <c r="B411" i="7"/>
  <c r="J410" i="7"/>
  <c r="I410" i="7"/>
  <c r="H410" i="7"/>
  <c r="F410" i="7"/>
  <c r="V410" i="7"/>
  <c r="T410" i="7"/>
  <c r="R410" i="7"/>
  <c r="U410" i="7"/>
  <c r="S410" i="7"/>
  <c r="Q410" i="7"/>
  <c r="E410" i="7"/>
  <c r="D410" i="7"/>
  <c r="B410" i="7"/>
  <c r="J409" i="7"/>
  <c r="I409" i="7"/>
  <c r="H409" i="7"/>
  <c r="F409" i="7"/>
  <c r="V409" i="7"/>
  <c r="T409" i="7"/>
  <c r="R409" i="7"/>
  <c r="U409" i="7"/>
  <c r="S409" i="7"/>
  <c r="Q409" i="7"/>
  <c r="E409" i="7"/>
  <c r="D409" i="7"/>
  <c r="C409" i="7"/>
  <c r="B409" i="7"/>
  <c r="J408" i="7"/>
  <c r="I408" i="7"/>
  <c r="H408" i="7"/>
  <c r="G408" i="7"/>
  <c r="F408" i="7"/>
  <c r="J407" i="7"/>
  <c r="I407" i="7"/>
  <c r="H407" i="7"/>
  <c r="G407" i="7"/>
  <c r="F407" i="7"/>
  <c r="J406" i="7"/>
  <c r="I406" i="7"/>
  <c r="H406" i="7"/>
  <c r="G406" i="7"/>
  <c r="F406" i="7"/>
  <c r="J405" i="7"/>
  <c r="I405" i="7"/>
  <c r="H405" i="7"/>
  <c r="G405" i="7"/>
  <c r="F405" i="7"/>
  <c r="V404" i="7"/>
  <c r="J415" i="7" s="1"/>
  <c r="T404" i="7"/>
  <c r="J414" i="7" s="1"/>
  <c r="R404" i="7"/>
  <c r="J413" i="7" s="1"/>
  <c r="U404" i="7"/>
  <c r="S404" i="7"/>
  <c r="Q404" i="7"/>
  <c r="E404" i="7"/>
  <c r="D404" i="7"/>
  <c r="C404" i="7"/>
  <c r="B404" i="7"/>
  <c r="K402" i="7"/>
  <c r="H402" i="7"/>
  <c r="G402" i="7"/>
  <c r="E402" i="7"/>
  <c r="E401" i="7"/>
  <c r="J400" i="7"/>
  <c r="E400" i="7"/>
  <c r="J399" i="7"/>
  <c r="I399" i="7"/>
  <c r="H399" i="7"/>
  <c r="G399" i="7"/>
  <c r="F399" i="7"/>
  <c r="C398" i="7"/>
  <c r="V397" i="7"/>
  <c r="T397" i="7"/>
  <c r="J401" i="7" s="1"/>
  <c r="R397" i="7"/>
  <c r="U397" i="7"/>
  <c r="S397" i="7"/>
  <c r="Q397" i="7"/>
  <c r="E397" i="7"/>
  <c r="D397" i="7"/>
  <c r="K395" i="7"/>
  <c r="H395" i="7"/>
  <c r="G395" i="7"/>
  <c r="E395" i="7"/>
  <c r="J394" i="7"/>
  <c r="I396" i="7" s="1"/>
  <c r="E394" i="7"/>
  <c r="J393" i="7"/>
  <c r="E393" i="7"/>
  <c r="J392" i="7"/>
  <c r="I392" i="7"/>
  <c r="H392" i="7"/>
  <c r="G392" i="7"/>
  <c r="F392" i="7"/>
  <c r="C391" i="7"/>
  <c r="V390" i="7"/>
  <c r="T390" i="7"/>
  <c r="R390" i="7"/>
  <c r="U390" i="7"/>
  <c r="S390" i="7"/>
  <c r="Q390" i="7"/>
  <c r="E390" i="7"/>
  <c r="D390" i="7"/>
  <c r="C390" i="7"/>
  <c r="B390" i="7"/>
  <c r="A389" i="7"/>
  <c r="A386" i="7"/>
  <c r="K383" i="7"/>
  <c r="H383" i="7"/>
  <c r="G383" i="7"/>
  <c r="E383" i="7"/>
  <c r="J382" i="7"/>
  <c r="E382" i="7"/>
  <c r="E381" i="7"/>
  <c r="J380" i="7"/>
  <c r="I380" i="7"/>
  <c r="H380" i="7"/>
  <c r="F380" i="7"/>
  <c r="V380" i="7"/>
  <c r="T380" i="7"/>
  <c r="R380" i="7"/>
  <c r="U380" i="7"/>
  <c r="S380" i="7"/>
  <c r="Q380" i="7"/>
  <c r="E380" i="7"/>
  <c r="D380" i="7"/>
  <c r="C380" i="7"/>
  <c r="B380" i="7"/>
  <c r="J379" i="7"/>
  <c r="I379" i="7"/>
  <c r="H379" i="7"/>
  <c r="G379" i="7"/>
  <c r="F379" i="7"/>
  <c r="J378" i="7"/>
  <c r="I378" i="7"/>
  <c r="H378" i="7"/>
  <c r="G378" i="7"/>
  <c r="F378" i="7"/>
  <c r="C377" i="7"/>
  <c r="V376" i="7"/>
  <c r="T376" i="7"/>
  <c r="R376" i="7"/>
  <c r="J381" i="7" s="1"/>
  <c r="U376" i="7"/>
  <c r="S376" i="7"/>
  <c r="Q376" i="7"/>
  <c r="E376" i="7"/>
  <c r="D376" i="7"/>
  <c r="C376" i="7"/>
  <c r="B376" i="7"/>
  <c r="K374" i="7"/>
  <c r="H374" i="7"/>
  <c r="G374" i="7"/>
  <c r="E374" i="7"/>
  <c r="E373" i="7"/>
  <c r="E372" i="7"/>
  <c r="J371" i="7"/>
  <c r="I371" i="7"/>
  <c r="H371" i="7"/>
  <c r="F371" i="7"/>
  <c r="V371" i="7"/>
  <c r="T371" i="7"/>
  <c r="R371" i="7"/>
  <c r="J372" i="7" s="1"/>
  <c r="U371" i="7"/>
  <c r="S371" i="7"/>
  <c r="Q371" i="7"/>
  <c r="E371" i="7"/>
  <c r="D371" i="7"/>
  <c r="C371" i="7"/>
  <c r="B371" i="7"/>
  <c r="J370" i="7"/>
  <c r="I370" i="7"/>
  <c r="H370" i="7"/>
  <c r="G370" i="7"/>
  <c r="F370" i="7"/>
  <c r="J369" i="7"/>
  <c r="I369" i="7"/>
  <c r="H369" i="7"/>
  <c r="G369" i="7"/>
  <c r="F369" i="7"/>
  <c r="C368" i="7"/>
  <c r="V367" i="7"/>
  <c r="T367" i="7"/>
  <c r="J373" i="7" s="1"/>
  <c r="R367" i="7"/>
  <c r="U367" i="7"/>
  <c r="S367" i="7"/>
  <c r="Q367" i="7"/>
  <c r="E367" i="7"/>
  <c r="D367" i="7"/>
  <c r="C367" i="7"/>
  <c r="B367" i="7"/>
  <c r="K365" i="7"/>
  <c r="H365" i="7"/>
  <c r="G365" i="7"/>
  <c r="E365" i="7"/>
  <c r="E364" i="7"/>
  <c r="E363" i="7"/>
  <c r="J362" i="7"/>
  <c r="I362" i="7"/>
  <c r="H362" i="7"/>
  <c r="G362" i="7"/>
  <c r="F362" i="7"/>
  <c r="C361" i="7"/>
  <c r="V360" i="7"/>
  <c r="T360" i="7"/>
  <c r="J364" i="7" s="1"/>
  <c r="R360" i="7"/>
  <c r="J363" i="7" s="1"/>
  <c r="U360" i="7"/>
  <c r="S360" i="7"/>
  <c r="Q360" i="7"/>
  <c r="E360" i="7"/>
  <c r="D360" i="7"/>
  <c r="K358" i="7"/>
  <c r="H358" i="7"/>
  <c r="G358" i="7"/>
  <c r="E358" i="7"/>
  <c r="E357" i="7"/>
  <c r="J356" i="7"/>
  <c r="E356" i="7"/>
  <c r="J355" i="7"/>
  <c r="I355" i="7"/>
  <c r="H355" i="7"/>
  <c r="G355" i="7"/>
  <c r="F355" i="7"/>
  <c r="C354" i="7"/>
  <c r="V353" i="7"/>
  <c r="T353" i="7"/>
  <c r="J357" i="7" s="1"/>
  <c r="I359" i="7" s="1"/>
  <c r="R353" i="7"/>
  <c r="U353" i="7"/>
  <c r="S353" i="7"/>
  <c r="Q353" i="7"/>
  <c r="E353" i="7"/>
  <c r="D353" i="7"/>
  <c r="A352" i="7"/>
  <c r="A349" i="7"/>
  <c r="K346" i="7"/>
  <c r="H346" i="7"/>
  <c r="G346" i="7"/>
  <c r="E346" i="7"/>
  <c r="E345" i="7"/>
  <c r="E344" i="7"/>
  <c r="J343" i="7"/>
  <c r="I343" i="7"/>
  <c r="H343" i="7"/>
  <c r="G343" i="7"/>
  <c r="F343" i="7"/>
  <c r="J342" i="7"/>
  <c r="I342" i="7"/>
  <c r="H342" i="7"/>
  <c r="G342" i="7"/>
  <c r="F342" i="7"/>
  <c r="C341" i="7"/>
  <c r="V340" i="7"/>
  <c r="T340" i="7"/>
  <c r="J345" i="7" s="1"/>
  <c r="R340" i="7"/>
  <c r="J344" i="7" s="1"/>
  <c r="U340" i="7"/>
  <c r="S340" i="7"/>
  <c r="Q340" i="7"/>
  <c r="E340" i="7"/>
  <c r="D340" i="7"/>
  <c r="C340" i="7"/>
  <c r="B340" i="7"/>
  <c r="A339" i="7"/>
  <c r="A336" i="7"/>
  <c r="K333" i="7"/>
  <c r="H333" i="7"/>
  <c r="G333" i="7"/>
  <c r="E333" i="7"/>
  <c r="E332" i="7"/>
  <c r="E331" i="7"/>
  <c r="J330" i="7"/>
  <c r="I330" i="7"/>
  <c r="H330" i="7"/>
  <c r="F330" i="7"/>
  <c r="V330" i="7"/>
  <c r="T330" i="7"/>
  <c r="R330" i="7"/>
  <c r="U330" i="7"/>
  <c r="S330" i="7"/>
  <c r="Q330" i="7"/>
  <c r="E330" i="7"/>
  <c r="D330" i="7"/>
  <c r="C330" i="7"/>
  <c r="B330" i="7"/>
  <c r="J329" i="7"/>
  <c r="I329" i="7"/>
  <c r="H329" i="7"/>
  <c r="G329" i="7"/>
  <c r="F329" i="7"/>
  <c r="J328" i="7"/>
  <c r="I328" i="7"/>
  <c r="H328" i="7"/>
  <c r="G328" i="7"/>
  <c r="F328" i="7"/>
  <c r="C327" i="7"/>
  <c r="V326" i="7"/>
  <c r="T326" i="7"/>
  <c r="J332" i="7" s="1"/>
  <c r="R326" i="7"/>
  <c r="J331" i="7" s="1"/>
  <c r="U326" i="7"/>
  <c r="S326" i="7"/>
  <c r="Q326" i="7"/>
  <c r="E326" i="7"/>
  <c r="D326" i="7"/>
  <c r="C326" i="7"/>
  <c r="B326" i="7"/>
  <c r="A325" i="7"/>
  <c r="A322" i="7"/>
  <c r="K319" i="7"/>
  <c r="H319" i="7"/>
  <c r="G319" i="7"/>
  <c r="E319" i="7"/>
  <c r="E318" i="7"/>
  <c r="E317" i="7"/>
  <c r="E316" i="7"/>
  <c r="J315" i="7"/>
  <c r="I315" i="7"/>
  <c r="H315" i="7"/>
  <c r="G315" i="7"/>
  <c r="F315" i="7"/>
  <c r="J314" i="7"/>
  <c r="I314" i="7"/>
  <c r="H314" i="7"/>
  <c r="G314" i="7"/>
  <c r="F314" i="7"/>
  <c r="J313" i="7"/>
  <c r="I313" i="7"/>
  <c r="H313" i="7"/>
  <c r="G313" i="7"/>
  <c r="F313" i="7"/>
  <c r="J312" i="7"/>
  <c r="I312" i="7"/>
  <c r="H312" i="7"/>
  <c r="G312" i="7"/>
  <c r="F312" i="7"/>
  <c r="C311" i="7"/>
  <c r="V310" i="7"/>
  <c r="J318" i="7" s="1"/>
  <c r="T310" i="7"/>
  <c r="J317" i="7" s="1"/>
  <c r="R310" i="7"/>
  <c r="J316" i="7" s="1"/>
  <c r="U310" i="7"/>
  <c r="S310" i="7"/>
  <c r="Q310" i="7"/>
  <c r="E310" i="7"/>
  <c r="D310" i="7"/>
  <c r="C310" i="7"/>
  <c r="B310" i="7"/>
  <c r="K308" i="7"/>
  <c r="H308" i="7"/>
  <c r="G308" i="7"/>
  <c r="E308" i="7"/>
  <c r="E307" i="7"/>
  <c r="J306" i="7"/>
  <c r="E306" i="7"/>
  <c r="J305" i="7"/>
  <c r="E305" i="7"/>
  <c r="J304" i="7"/>
  <c r="I304" i="7"/>
  <c r="H304" i="7"/>
  <c r="G304" i="7"/>
  <c r="F304" i="7"/>
  <c r="J303" i="7"/>
  <c r="I303" i="7"/>
  <c r="H303" i="7"/>
  <c r="G303" i="7"/>
  <c r="F303" i="7"/>
  <c r="J302" i="7"/>
  <c r="I309" i="7" s="1"/>
  <c r="I302" i="7"/>
  <c r="H302" i="7"/>
  <c r="G302" i="7"/>
  <c r="F302" i="7"/>
  <c r="J301" i="7"/>
  <c r="I301" i="7"/>
  <c r="H301" i="7"/>
  <c r="G301" i="7"/>
  <c r="F301" i="7"/>
  <c r="C300" i="7"/>
  <c r="V299" i="7"/>
  <c r="J307" i="7" s="1"/>
  <c r="T299" i="7"/>
  <c r="R299" i="7"/>
  <c r="U299" i="7"/>
  <c r="S299" i="7"/>
  <c r="Q299" i="7"/>
  <c r="E299" i="7"/>
  <c r="D299" i="7"/>
  <c r="C299" i="7"/>
  <c r="B299" i="7"/>
  <c r="K297" i="7"/>
  <c r="H297" i="7"/>
  <c r="G297" i="7"/>
  <c r="E297" i="7"/>
  <c r="E296" i="7"/>
  <c r="J295" i="7"/>
  <c r="E295" i="7"/>
  <c r="J294" i="7"/>
  <c r="I294" i="7"/>
  <c r="H294" i="7"/>
  <c r="G294" i="7"/>
  <c r="F294" i="7"/>
  <c r="C293" i="7"/>
  <c r="V292" i="7"/>
  <c r="T292" i="7"/>
  <c r="J296" i="7" s="1"/>
  <c r="I298" i="7" s="1"/>
  <c r="R292" i="7"/>
  <c r="U292" i="7"/>
  <c r="S292" i="7"/>
  <c r="Q292" i="7"/>
  <c r="E292" i="7"/>
  <c r="D292" i="7"/>
  <c r="C292" i="7"/>
  <c r="B292" i="7"/>
  <c r="K290" i="7"/>
  <c r="H290" i="7"/>
  <c r="G290" i="7"/>
  <c r="E290" i="7"/>
  <c r="E289" i="7"/>
  <c r="E288" i="7"/>
  <c r="J287" i="7"/>
  <c r="E287" i="7"/>
  <c r="J286" i="7"/>
  <c r="I286" i="7"/>
  <c r="H286" i="7"/>
  <c r="G286" i="7"/>
  <c r="F286" i="7"/>
  <c r="J285" i="7"/>
  <c r="I285" i="7"/>
  <c r="H285" i="7"/>
  <c r="G285" i="7"/>
  <c r="F285" i="7"/>
  <c r="J284" i="7"/>
  <c r="I291" i="7" s="1"/>
  <c r="I284" i="7"/>
  <c r="H284" i="7"/>
  <c r="G284" i="7"/>
  <c r="F284" i="7"/>
  <c r="J283" i="7"/>
  <c r="I283" i="7"/>
  <c r="H283" i="7"/>
  <c r="G283" i="7"/>
  <c r="F283" i="7"/>
  <c r="C282" i="7"/>
  <c r="V281" i="7"/>
  <c r="J289" i="7" s="1"/>
  <c r="T281" i="7"/>
  <c r="J288" i="7" s="1"/>
  <c r="R281" i="7"/>
  <c r="U281" i="7"/>
  <c r="S281" i="7"/>
  <c r="Q281" i="7"/>
  <c r="E281" i="7"/>
  <c r="D281" i="7"/>
  <c r="C281" i="7"/>
  <c r="B281" i="7"/>
  <c r="K279" i="7"/>
  <c r="H279" i="7"/>
  <c r="G279" i="7"/>
  <c r="E279" i="7"/>
  <c r="E278" i="7"/>
  <c r="E277" i="7"/>
  <c r="J276" i="7"/>
  <c r="I276" i="7"/>
  <c r="H276" i="7"/>
  <c r="F276" i="7"/>
  <c r="V276" i="7"/>
  <c r="T276" i="7"/>
  <c r="R276" i="7"/>
  <c r="U276" i="7"/>
  <c r="S276" i="7"/>
  <c r="Q276" i="7"/>
  <c r="E276" i="7"/>
  <c r="D276" i="7"/>
  <c r="B276" i="7"/>
  <c r="J275" i="7"/>
  <c r="I275" i="7"/>
  <c r="H275" i="7"/>
  <c r="F275" i="7"/>
  <c r="V275" i="7"/>
  <c r="T275" i="7"/>
  <c r="R275" i="7"/>
  <c r="U275" i="7"/>
  <c r="S275" i="7"/>
  <c r="Q275" i="7"/>
  <c r="E275" i="7"/>
  <c r="D275" i="7"/>
  <c r="C275" i="7"/>
  <c r="B275" i="7"/>
  <c r="J274" i="7"/>
  <c r="I274" i="7"/>
  <c r="H274" i="7"/>
  <c r="G274" i="7"/>
  <c r="F274" i="7"/>
  <c r="J273" i="7"/>
  <c r="I273" i="7"/>
  <c r="H273" i="7"/>
  <c r="G273" i="7"/>
  <c r="F273" i="7"/>
  <c r="C272" i="7"/>
  <c r="V271" i="7"/>
  <c r="T271" i="7"/>
  <c r="J278" i="7" s="1"/>
  <c r="R271" i="7"/>
  <c r="J277" i="7" s="1"/>
  <c r="U271" i="7"/>
  <c r="S271" i="7"/>
  <c r="Q271" i="7"/>
  <c r="E271" i="7"/>
  <c r="D271" i="7"/>
  <c r="C271" i="7"/>
  <c r="B271" i="7"/>
  <c r="K269" i="7"/>
  <c r="H269" i="7"/>
  <c r="G269" i="7"/>
  <c r="E269" i="7"/>
  <c r="E268" i="7"/>
  <c r="E267" i="7"/>
  <c r="J266" i="7"/>
  <c r="I266" i="7"/>
  <c r="H266" i="7"/>
  <c r="F266" i="7"/>
  <c r="V266" i="7"/>
  <c r="T266" i="7"/>
  <c r="R266" i="7"/>
  <c r="U266" i="7"/>
  <c r="S266" i="7"/>
  <c r="Q266" i="7"/>
  <c r="E266" i="7"/>
  <c r="D266" i="7"/>
  <c r="B266" i="7"/>
  <c r="J265" i="7"/>
  <c r="I265" i="7"/>
  <c r="H265" i="7"/>
  <c r="F265" i="7"/>
  <c r="V265" i="7"/>
  <c r="T265" i="7"/>
  <c r="R265" i="7"/>
  <c r="U265" i="7"/>
  <c r="S265" i="7"/>
  <c r="Q265" i="7"/>
  <c r="E265" i="7"/>
  <c r="D265" i="7"/>
  <c r="B265" i="7"/>
  <c r="J264" i="7"/>
  <c r="I264" i="7"/>
  <c r="H264" i="7"/>
  <c r="G264" i="7"/>
  <c r="F264" i="7"/>
  <c r="J263" i="7"/>
  <c r="I263" i="7"/>
  <c r="H263" i="7"/>
  <c r="G263" i="7"/>
  <c r="F263" i="7"/>
  <c r="C262" i="7"/>
  <c r="V261" i="7"/>
  <c r="T261" i="7"/>
  <c r="J268" i="7" s="1"/>
  <c r="R261" i="7"/>
  <c r="J267" i="7" s="1"/>
  <c r="U261" i="7"/>
  <c r="S261" i="7"/>
  <c r="Q261" i="7"/>
  <c r="E261" i="7"/>
  <c r="D261" i="7"/>
  <c r="C261" i="7"/>
  <c r="B261" i="7"/>
  <c r="K259" i="7"/>
  <c r="H259" i="7"/>
  <c r="G259" i="7"/>
  <c r="E259" i="7"/>
  <c r="E258" i="7"/>
  <c r="J257" i="7"/>
  <c r="E257" i="7"/>
  <c r="J256" i="7"/>
  <c r="I256" i="7"/>
  <c r="H256" i="7"/>
  <c r="G256" i="7"/>
  <c r="F256" i="7"/>
  <c r="C255" i="7"/>
  <c r="V254" i="7"/>
  <c r="T254" i="7"/>
  <c r="J258" i="7" s="1"/>
  <c r="R254" i="7"/>
  <c r="U254" i="7"/>
  <c r="S254" i="7"/>
  <c r="Q254" i="7"/>
  <c r="E254" i="7"/>
  <c r="D254" i="7"/>
  <c r="C254" i="7"/>
  <c r="B254" i="7"/>
  <c r="K252" i="7"/>
  <c r="H252" i="7"/>
  <c r="G252" i="7"/>
  <c r="E252" i="7"/>
  <c r="E251" i="7"/>
  <c r="E250" i="7"/>
  <c r="J249" i="7"/>
  <c r="I249" i="7"/>
  <c r="H249" i="7"/>
  <c r="G249" i="7"/>
  <c r="F249" i="7"/>
  <c r="J248" i="7"/>
  <c r="I248" i="7"/>
  <c r="H248" i="7"/>
  <c r="G248" i="7"/>
  <c r="F248" i="7"/>
  <c r="C247" i="7"/>
  <c r="V246" i="7"/>
  <c r="T246" i="7"/>
  <c r="J251" i="7" s="1"/>
  <c r="R246" i="7"/>
  <c r="J250" i="7" s="1"/>
  <c r="U246" i="7"/>
  <c r="S246" i="7"/>
  <c r="Q246" i="7"/>
  <c r="E246" i="7"/>
  <c r="D246" i="7"/>
  <c r="C246" i="7"/>
  <c r="B246" i="7"/>
  <c r="A245" i="7"/>
  <c r="A243" i="7"/>
  <c r="A240" i="7"/>
  <c r="A237" i="7"/>
  <c r="K234" i="7"/>
  <c r="H234" i="7"/>
  <c r="G234" i="7"/>
  <c r="E234" i="7"/>
  <c r="E233" i="7"/>
  <c r="E232" i="7"/>
  <c r="J231" i="7"/>
  <c r="I231" i="7"/>
  <c r="H231" i="7"/>
  <c r="F231" i="7"/>
  <c r="V231" i="7"/>
  <c r="T231" i="7"/>
  <c r="R231" i="7"/>
  <c r="U231" i="7"/>
  <c r="S231" i="7"/>
  <c r="Q231" i="7"/>
  <c r="E231" i="7"/>
  <c r="D231" i="7"/>
  <c r="B231" i="7"/>
  <c r="J230" i="7"/>
  <c r="I230" i="7"/>
  <c r="H230" i="7"/>
  <c r="F230" i="7"/>
  <c r="V230" i="7"/>
  <c r="T230" i="7"/>
  <c r="R230" i="7"/>
  <c r="U230" i="7"/>
  <c r="S230" i="7"/>
  <c r="Q230" i="7"/>
  <c r="E230" i="7"/>
  <c r="D230" i="7"/>
  <c r="C230" i="7"/>
  <c r="B230" i="7"/>
  <c r="J229" i="7"/>
  <c r="I229" i="7"/>
  <c r="H229" i="7"/>
  <c r="G229" i="7"/>
  <c r="F229" i="7"/>
  <c r="J228" i="7"/>
  <c r="I228" i="7"/>
  <c r="H228" i="7"/>
  <c r="G228" i="7"/>
  <c r="F228" i="7"/>
  <c r="C227" i="7"/>
  <c r="V226" i="7"/>
  <c r="T226" i="7"/>
  <c r="J233" i="7" s="1"/>
  <c r="R226" i="7"/>
  <c r="J232" i="7" s="1"/>
  <c r="U226" i="7"/>
  <c r="S226" i="7"/>
  <c r="Q226" i="7"/>
  <c r="E226" i="7"/>
  <c r="D226" i="7"/>
  <c r="C226" i="7"/>
  <c r="B226" i="7"/>
  <c r="A225" i="7"/>
  <c r="A222" i="7"/>
  <c r="K219" i="7"/>
  <c r="H219" i="7"/>
  <c r="G219" i="7"/>
  <c r="E219" i="7"/>
  <c r="J218" i="7"/>
  <c r="E218" i="7"/>
  <c r="E217" i="7"/>
  <c r="J216" i="7"/>
  <c r="I216" i="7"/>
  <c r="H216" i="7"/>
  <c r="F216" i="7"/>
  <c r="V216" i="7"/>
  <c r="T216" i="7"/>
  <c r="R216" i="7"/>
  <c r="U216" i="7"/>
  <c r="S216" i="7"/>
  <c r="Q216" i="7"/>
  <c r="E216" i="7"/>
  <c r="D216" i="7"/>
  <c r="C216" i="7"/>
  <c r="B216" i="7"/>
  <c r="J215" i="7"/>
  <c r="I215" i="7"/>
  <c r="H215" i="7"/>
  <c r="F215" i="7"/>
  <c r="V215" i="7"/>
  <c r="T215" i="7"/>
  <c r="R215" i="7"/>
  <c r="U215" i="7"/>
  <c r="S215" i="7"/>
  <c r="Q215" i="7"/>
  <c r="E215" i="7"/>
  <c r="D215" i="7"/>
  <c r="B215" i="7"/>
  <c r="J214" i="7"/>
  <c r="I214" i="7"/>
  <c r="H214" i="7"/>
  <c r="G214" i="7"/>
  <c r="F214" i="7"/>
  <c r="C213" i="7"/>
  <c r="V212" i="7"/>
  <c r="T212" i="7"/>
  <c r="R212" i="7"/>
  <c r="J217" i="7" s="1"/>
  <c r="U212" i="7"/>
  <c r="S212" i="7"/>
  <c r="Q212" i="7"/>
  <c r="E212" i="7"/>
  <c r="D212" i="7"/>
  <c r="C212" i="7"/>
  <c r="B212" i="7"/>
  <c r="A211" i="7"/>
  <c r="A208" i="7"/>
  <c r="K205" i="7"/>
  <c r="H205" i="7"/>
  <c r="G205" i="7"/>
  <c r="E205" i="7"/>
  <c r="E204" i="7"/>
  <c r="E203" i="7"/>
  <c r="J202" i="7"/>
  <c r="I202" i="7"/>
  <c r="H202" i="7"/>
  <c r="F202" i="7"/>
  <c r="V202" i="7"/>
  <c r="T202" i="7"/>
  <c r="R202" i="7"/>
  <c r="U202" i="7"/>
  <c r="S202" i="7"/>
  <c r="Q202" i="7"/>
  <c r="E202" i="7"/>
  <c r="D202" i="7"/>
  <c r="C202" i="7"/>
  <c r="B202" i="7"/>
  <c r="J201" i="7"/>
  <c r="I201" i="7"/>
  <c r="H201" i="7"/>
  <c r="G201" i="7"/>
  <c r="F201" i="7"/>
  <c r="J200" i="7"/>
  <c r="I200" i="7"/>
  <c r="H200" i="7"/>
  <c r="G200" i="7"/>
  <c r="F200" i="7"/>
  <c r="C199" i="7"/>
  <c r="V198" i="7"/>
  <c r="T198" i="7"/>
  <c r="J204" i="7" s="1"/>
  <c r="R198" i="7"/>
  <c r="J203" i="7" s="1"/>
  <c r="U198" i="7"/>
  <c r="S198" i="7"/>
  <c r="Q198" i="7"/>
  <c r="E198" i="7"/>
  <c r="D198" i="7"/>
  <c r="C198" i="7"/>
  <c r="B198" i="7"/>
  <c r="K196" i="7"/>
  <c r="H196" i="7"/>
  <c r="G196" i="7"/>
  <c r="E196" i="7"/>
  <c r="E195" i="7"/>
  <c r="J194" i="7"/>
  <c r="E194" i="7"/>
  <c r="J193" i="7"/>
  <c r="I193" i="7"/>
  <c r="H193" i="7"/>
  <c r="G193" i="7"/>
  <c r="F193" i="7"/>
  <c r="C192" i="7"/>
  <c r="V191" i="7"/>
  <c r="T191" i="7"/>
  <c r="J195" i="7" s="1"/>
  <c r="R191" i="7"/>
  <c r="U191" i="7"/>
  <c r="S191" i="7"/>
  <c r="Q191" i="7"/>
  <c r="E191" i="7"/>
  <c r="D191" i="7"/>
  <c r="C191" i="7"/>
  <c r="B191" i="7"/>
  <c r="K189" i="7"/>
  <c r="H189" i="7"/>
  <c r="G189" i="7"/>
  <c r="E189" i="7"/>
  <c r="E188" i="7"/>
  <c r="E187" i="7"/>
  <c r="J186" i="7"/>
  <c r="I186" i="7"/>
  <c r="H186" i="7"/>
  <c r="G186" i="7"/>
  <c r="F186" i="7"/>
  <c r="J185" i="7"/>
  <c r="I185" i="7"/>
  <c r="H185" i="7"/>
  <c r="G185" i="7"/>
  <c r="F185" i="7"/>
  <c r="C184" i="7"/>
  <c r="V183" i="7"/>
  <c r="T183" i="7"/>
  <c r="J188" i="7" s="1"/>
  <c r="R183" i="7"/>
  <c r="J187" i="7" s="1"/>
  <c r="U183" i="7"/>
  <c r="S183" i="7"/>
  <c r="Q183" i="7"/>
  <c r="E183" i="7"/>
  <c r="D183" i="7"/>
  <c r="C183" i="7"/>
  <c r="B183" i="7"/>
  <c r="K181" i="7"/>
  <c r="H181" i="7"/>
  <c r="G181" i="7"/>
  <c r="E181" i="7"/>
  <c r="E180" i="7"/>
  <c r="E179" i="7"/>
  <c r="J178" i="7"/>
  <c r="I178" i="7"/>
  <c r="H178" i="7"/>
  <c r="F178" i="7"/>
  <c r="V178" i="7"/>
  <c r="T178" i="7"/>
  <c r="R178" i="7"/>
  <c r="U178" i="7"/>
  <c r="S178" i="7"/>
  <c r="Q178" i="7"/>
  <c r="E178" i="7"/>
  <c r="D178" i="7"/>
  <c r="B178" i="7"/>
  <c r="J177" i="7"/>
  <c r="I177" i="7"/>
  <c r="H177" i="7"/>
  <c r="G177" i="7"/>
  <c r="F177" i="7"/>
  <c r="J176" i="7"/>
  <c r="I176" i="7"/>
  <c r="H176" i="7"/>
  <c r="G176" i="7"/>
  <c r="F176" i="7"/>
  <c r="C175" i="7"/>
  <c r="V174" i="7"/>
  <c r="T174" i="7"/>
  <c r="J180" i="7" s="1"/>
  <c r="R174" i="7"/>
  <c r="J179" i="7" s="1"/>
  <c r="U174" i="7"/>
  <c r="S174" i="7"/>
  <c r="Q174" i="7"/>
  <c r="E174" i="7"/>
  <c r="D174" i="7"/>
  <c r="C174" i="7"/>
  <c r="B174" i="7"/>
  <c r="K172" i="7"/>
  <c r="H172" i="7"/>
  <c r="G172" i="7"/>
  <c r="E172" i="7"/>
  <c r="E171" i="7"/>
  <c r="E170" i="7"/>
  <c r="E169" i="7"/>
  <c r="J168" i="7"/>
  <c r="I168" i="7"/>
  <c r="H168" i="7"/>
  <c r="F168" i="7"/>
  <c r="V168" i="7"/>
  <c r="T168" i="7"/>
  <c r="R168" i="7"/>
  <c r="U168" i="7"/>
  <c r="S168" i="7"/>
  <c r="Q168" i="7"/>
  <c r="E168" i="7"/>
  <c r="D168" i="7"/>
  <c r="B168" i="7"/>
  <c r="J167" i="7"/>
  <c r="I167" i="7"/>
  <c r="H167" i="7"/>
  <c r="F167" i="7"/>
  <c r="V167" i="7"/>
  <c r="T167" i="7"/>
  <c r="R167" i="7"/>
  <c r="U167" i="7"/>
  <c r="S167" i="7"/>
  <c r="Q167" i="7"/>
  <c r="E167" i="7"/>
  <c r="D167" i="7"/>
  <c r="B167" i="7"/>
  <c r="J166" i="7"/>
  <c r="I166" i="7"/>
  <c r="H166" i="7"/>
  <c r="F166" i="7"/>
  <c r="V166" i="7"/>
  <c r="T166" i="7"/>
  <c r="R166" i="7"/>
  <c r="U166" i="7"/>
  <c r="S166" i="7"/>
  <c r="Q166" i="7"/>
  <c r="E166" i="7"/>
  <c r="D166" i="7"/>
  <c r="B166" i="7"/>
  <c r="J165" i="7"/>
  <c r="I165" i="7"/>
  <c r="H165" i="7"/>
  <c r="F165" i="7"/>
  <c r="V165" i="7"/>
  <c r="T165" i="7"/>
  <c r="R165" i="7"/>
  <c r="U165" i="7"/>
  <c r="S165" i="7"/>
  <c r="Q165" i="7"/>
  <c r="E165" i="7"/>
  <c r="D165" i="7"/>
  <c r="C165" i="7"/>
  <c r="B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61" i="7"/>
  <c r="I161" i="7"/>
  <c r="H161" i="7"/>
  <c r="G161" i="7"/>
  <c r="F161" i="7"/>
  <c r="V160" i="7"/>
  <c r="J171" i="7" s="1"/>
  <c r="T160" i="7"/>
  <c r="J170" i="7" s="1"/>
  <c r="R160" i="7"/>
  <c r="J169" i="7" s="1"/>
  <c r="U160" i="7"/>
  <c r="S160" i="7"/>
  <c r="Q160" i="7"/>
  <c r="E160" i="7"/>
  <c r="D160" i="7"/>
  <c r="C160" i="7"/>
  <c r="B160" i="7"/>
  <c r="K158" i="7"/>
  <c r="H158" i="7"/>
  <c r="G158" i="7"/>
  <c r="E158" i="7"/>
  <c r="E157" i="7"/>
  <c r="E156" i="7"/>
  <c r="J155" i="7"/>
  <c r="I155" i="7"/>
  <c r="H155" i="7"/>
  <c r="G155" i="7"/>
  <c r="F155" i="7"/>
  <c r="C154" i="7"/>
  <c r="V153" i="7"/>
  <c r="T153" i="7"/>
  <c r="J157" i="7" s="1"/>
  <c r="R153" i="7"/>
  <c r="J156" i="7" s="1"/>
  <c r="U153" i="7"/>
  <c r="S153" i="7"/>
  <c r="Q153" i="7"/>
  <c r="E153" i="7"/>
  <c r="D153" i="7"/>
  <c r="K151" i="7"/>
  <c r="H151" i="7"/>
  <c r="G151" i="7"/>
  <c r="E151" i="7"/>
  <c r="J150" i="7"/>
  <c r="E150" i="7"/>
  <c r="E149" i="7"/>
  <c r="J148" i="7"/>
  <c r="I148" i="7"/>
  <c r="H148" i="7"/>
  <c r="G148" i="7"/>
  <c r="F148" i="7"/>
  <c r="C147" i="7"/>
  <c r="V146" i="7"/>
  <c r="T146" i="7"/>
  <c r="R146" i="7"/>
  <c r="J149" i="7" s="1"/>
  <c r="I152" i="7" s="1"/>
  <c r="U146" i="7"/>
  <c r="S146" i="7"/>
  <c r="Q146" i="7"/>
  <c r="E146" i="7"/>
  <c r="D146" i="7"/>
  <c r="C146" i="7"/>
  <c r="B146" i="7"/>
  <c r="A145" i="7"/>
  <c r="A142" i="7"/>
  <c r="K139" i="7"/>
  <c r="H139" i="7"/>
  <c r="G139" i="7"/>
  <c r="E139" i="7"/>
  <c r="J138" i="7"/>
  <c r="E138" i="7"/>
  <c r="E137" i="7"/>
  <c r="J136" i="7"/>
  <c r="I136" i="7"/>
  <c r="H136" i="7"/>
  <c r="F136" i="7"/>
  <c r="V136" i="7"/>
  <c r="T136" i="7"/>
  <c r="R136" i="7"/>
  <c r="U136" i="7"/>
  <c r="S136" i="7"/>
  <c r="Q136" i="7"/>
  <c r="E136" i="7"/>
  <c r="D136" i="7"/>
  <c r="C136" i="7"/>
  <c r="B136" i="7"/>
  <c r="J135" i="7"/>
  <c r="I135" i="7"/>
  <c r="H135" i="7"/>
  <c r="G135" i="7"/>
  <c r="F135" i="7"/>
  <c r="J134" i="7"/>
  <c r="I140" i="7" s="1"/>
  <c r="I134" i="7"/>
  <c r="H134" i="7"/>
  <c r="G134" i="7"/>
  <c r="F134" i="7"/>
  <c r="C133" i="7"/>
  <c r="V132" i="7"/>
  <c r="T132" i="7"/>
  <c r="R132" i="7"/>
  <c r="J137" i="7" s="1"/>
  <c r="U132" i="7"/>
  <c r="S132" i="7"/>
  <c r="Q132" i="7"/>
  <c r="E132" i="7"/>
  <c r="D132" i="7"/>
  <c r="C132" i="7"/>
  <c r="B132" i="7"/>
  <c r="K130" i="7"/>
  <c r="H130" i="7"/>
  <c r="G130" i="7"/>
  <c r="E130" i="7"/>
  <c r="E129" i="7"/>
  <c r="J128" i="7"/>
  <c r="E128" i="7"/>
  <c r="J127" i="7"/>
  <c r="I131" i="7" s="1"/>
  <c r="I127" i="7"/>
  <c r="H127" i="7"/>
  <c r="G127" i="7"/>
  <c r="F127" i="7"/>
  <c r="C126" i="7"/>
  <c r="V125" i="7"/>
  <c r="T125" i="7"/>
  <c r="J129" i="7" s="1"/>
  <c r="R125" i="7"/>
  <c r="U125" i="7"/>
  <c r="S125" i="7"/>
  <c r="Q125" i="7"/>
  <c r="E125" i="7"/>
  <c r="D125" i="7"/>
  <c r="C125" i="7"/>
  <c r="B125" i="7"/>
  <c r="K123" i="7"/>
  <c r="H123" i="7"/>
  <c r="G123" i="7"/>
  <c r="E123" i="7"/>
  <c r="E122" i="7"/>
  <c r="E121" i="7"/>
  <c r="J120" i="7"/>
  <c r="I120" i="7"/>
  <c r="H120" i="7"/>
  <c r="G120" i="7"/>
  <c r="F120" i="7"/>
  <c r="J119" i="7"/>
  <c r="I119" i="7"/>
  <c r="H119" i="7"/>
  <c r="G119" i="7"/>
  <c r="F119" i="7"/>
  <c r="V118" i="7"/>
  <c r="T118" i="7"/>
  <c r="J122" i="7" s="1"/>
  <c r="R118" i="7"/>
  <c r="J121" i="7" s="1"/>
  <c r="U118" i="7"/>
  <c r="S118" i="7"/>
  <c r="Q118" i="7"/>
  <c r="E118" i="7"/>
  <c r="D118" i="7"/>
  <c r="C118" i="7"/>
  <c r="B118" i="7"/>
  <c r="A117" i="7"/>
  <c r="A114" i="7"/>
  <c r="K111" i="7"/>
  <c r="H111" i="7"/>
  <c r="G111" i="7"/>
  <c r="E111" i="7"/>
  <c r="J110" i="7"/>
  <c r="E110" i="7"/>
  <c r="E109" i="7"/>
  <c r="E108" i="7"/>
  <c r="J107" i="7"/>
  <c r="I107" i="7"/>
  <c r="H107" i="7"/>
  <c r="G107" i="7"/>
  <c r="F107" i="7"/>
  <c r="J106" i="7"/>
  <c r="I106" i="7"/>
  <c r="H106" i="7"/>
  <c r="G106" i="7"/>
  <c r="F106" i="7"/>
  <c r="J105" i="7"/>
  <c r="I105" i="7"/>
  <c r="H105" i="7"/>
  <c r="G105" i="7"/>
  <c r="F105" i="7"/>
  <c r="J104" i="7"/>
  <c r="I104" i="7"/>
  <c r="H104" i="7"/>
  <c r="G104" i="7"/>
  <c r="F104" i="7"/>
  <c r="C103" i="7"/>
  <c r="V102" i="7"/>
  <c r="T102" i="7"/>
  <c r="J109" i="7" s="1"/>
  <c r="R102" i="7"/>
  <c r="J108" i="7" s="1"/>
  <c r="U102" i="7"/>
  <c r="S102" i="7"/>
  <c r="Q102" i="7"/>
  <c r="E102" i="7"/>
  <c r="D102" i="7"/>
  <c r="C102" i="7"/>
  <c r="B102" i="7"/>
  <c r="K100" i="7"/>
  <c r="H100" i="7"/>
  <c r="G100" i="7"/>
  <c r="E100" i="7"/>
  <c r="E99" i="7"/>
  <c r="E98" i="7"/>
  <c r="J97" i="7"/>
  <c r="I97" i="7"/>
  <c r="H97" i="7"/>
  <c r="F97" i="7"/>
  <c r="V97" i="7"/>
  <c r="T97" i="7"/>
  <c r="R97" i="7"/>
  <c r="U97" i="7"/>
  <c r="S97" i="7"/>
  <c r="Q97" i="7"/>
  <c r="E97" i="7"/>
  <c r="D97" i="7"/>
  <c r="B97" i="7"/>
  <c r="J96" i="7"/>
  <c r="I96" i="7"/>
  <c r="H96" i="7"/>
  <c r="F96" i="7"/>
  <c r="V96" i="7"/>
  <c r="T96" i="7"/>
  <c r="R96" i="7"/>
  <c r="U96" i="7"/>
  <c r="S96" i="7"/>
  <c r="Q96" i="7"/>
  <c r="E96" i="7"/>
  <c r="D96" i="7"/>
  <c r="C96" i="7"/>
  <c r="B96" i="7"/>
  <c r="J95" i="7"/>
  <c r="I95" i="7"/>
  <c r="H95" i="7"/>
  <c r="G95" i="7"/>
  <c r="F95" i="7"/>
  <c r="J94" i="7"/>
  <c r="I101" i="7" s="1"/>
  <c r="I94" i="7"/>
  <c r="H94" i="7"/>
  <c r="G94" i="7"/>
  <c r="F94" i="7"/>
  <c r="C93" i="7"/>
  <c r="V92" i="7"/>
  <c r="T92" i="7"/>
  <c r="J99" i="7" s="1"/>
  <c r="R92" i="7"/>
  <c r="J98" i="7" s="1"/>
  <c r="U92" i="7"/>
  <c r="S92" i="7"/>
  <c r="Q92" i="7"/>
  <c r="E92" i="7"/>
  <c r="D92" i="7"/>
  <c r="C92" i="7"/>
  <c r="B92" i="7"/>
  <c r="K90" i="7"/>
  <c r="H90" i="7"/>
  <c r="G90" i="7"/>
  <c r="E90" i="7"/>
  <c r="E89" i="7"/>
  <c r="E88" i="7"/>
  <c r="J87" i="7"/>
  <c r="I87" i="7"/>
  <c r="H87" i="7"/>
  <c r="F87" i="7"/>
  <c r="V87" i="7"/>
  <c r="T87" i="7"/>
  <c r="R87" i="7"/>
  <c r="U87" i="7"/>
  <c r="S87" i="7"/>
  <c r="Q87" i="7"/>
  <c r="E87" i="7"/>
  <c r="D87" i="7"/>
  <c r="B87" i="7"/>
  <c r="J86" i="7"/>
  <c r="I86" i="7"/>
  <c r="H86" i="7"/>
  <c r="F86" i="7"/>
  <c r="V86" i="7"/>
  <c r="T86" i="7"/>
  <c r="R86" i="7"/>
  <c r="U86" i="7"/>
  <c r="S86" i="7"/>
  <c r="Q86" i="7"/>
  <c r="E86" i="7"/>
  <c r="D86" i="7"/>
  <c r="B86" i="7"/>
  <c r="J85" i="7"/>
  <c r="I85" i="7"/>
  <c r="H85" i="7"/>
  <c r="G85" i="7"/>
  <c r="F85" i="7"/>
  <c r="J84" i="7"/>
  <c r="I84" i="7"/>
  <c r="H84" i="7"/>
  <c r="G84" i="7"/>
  <c r="F84" i="7"/>
  <c r="C83" i="7"/>
  <c r="V82" i="7"/>
  <c r="T82" i="7"/>
  <c r="J89" i="7" s="1"/>
  <c r="R82" i="7"/>
  <c r="J88" i="7" s="1"/>
  <c r="U82" i="7"/>
  <c r="S82" i="7"/>
  <c r="Q82" i="7"/>
  <c r="E82" i="7"/>
  <c r="D82" i="7"/>
  <c r="C82" i="7"/>
  <c r="B82" i="7"/>
  <c r="K80" i="7"/>
  <c r="H80" i="7"/>
  <c r="G80" i="7"/>
  <c r="E80" i="7"/>
  <c r="E79" i="7"/>
  <c r="E78" i="7"/>
  <c r="E77" i="7"/>
  <c r="J76" i="7"/>
  <c r="I76" i="7"/>
  <c r="H76" i="7"/>
  <c r="G76" i="7"/>
  <c r="F76" i="7"/>
  <c r="J75" i="7"/>
  <c r="I75" i="7"/>
  <c r="H75" i="7"/>
  <c r="G75" i="7"/>
  <c r="F75" i="7"/>
  <c r="J74" i="7"/>
  <c r="I74" i="7"/>
  <c r="H74" i="7"/>
  <c r="G74" i="7"/>
  <c r="F74" i="7"/>
  <c r="J73" i="7"/>
  <c r="I73" i="7"/>
  <c r="H73" i="7"/>
  <c r="G73" i="7"/>
  <c r="F73" i="7"/>
  <c r="C72" i="7"/>
  <c r="V71" i="7"/>
  <c r="J79" i="7" s="1"/>
  <c r="T71" i="7"/>
  <c r="J78" i="7" s="1"/>
  <c r="R71" i="7"/>
  <c r="J77" i="7" s="1"/>
  <c r="U71" i="7"/>
  <c r="S71" i="7"/>
  <c r="Q71" i="7"/>
  <c r="E71" i="7"/>
  <c r="D71" i="7"/>
  <c r="C71" i="7"/>
  <c r="B71" i="7"/>
  <c r="K69" i="7"/>
  <c r="H69" i="7"/>
  <c r="G69" i="7"/>
  <c r="E69" i="7"/>
  <c r="E68" i="7"/>
  <c r="E67" i="7"/>
  <c r="J66" i="7"/>
  <c r="E66" i="7"/>
  <c r="J65" i="7"/>
  <c r="I65" i="7"/>
  <c r="H65" i="7"/>
  <c r="G65" i="7"/>
  <c r="F65" i="7"/>
  <c r="J64" i="7"/>
  <c r="I64" i="7"/>
  <c r="H64" i="7"/>
  <c r="G64" i="7"/>
  <c r="F64" i="7"/>
  <c r="J63" i="7"/>
  <c r="I63" i="7"/>
  <c r="H63" i="7"/>
  <c r="G63" i="7"/>
  <c r="F63" i="7"/>
  <c r="J62" i="7"/>
  <c r="I62" i="7"/>
  <c r="H62" i="7"/>
  <c r="G62" i="7"/>
  <c r="F62" i="7"/>
  <c r="C61" i="7"/>
  <c r="V60" i="7"/>
  <c r="J68" i="7" s="1"/>
  <c r="T60" i="7"/>
  <c r="J67" i="7" s="1"/>
  <c r="R60" i="7"/>
  <c r="U60" i="7"/>
  <c r="S60" i="7"/>
  <c r="Q60" i="7"/>
  <c r="E60" i="7"/>
  <c r="D60" i="7"/>
  <c r="C60" i="7"/>
  <c r="B60" i="7"/>
  <c r="K58" i="7"/>
  <c r="H58" i="7"/>
  <c r="G58" i="7"/>
  <c r="E58" i="7"/>
  <c r="E57" i="7"/>
  <c r="E56" i="7"/>
  <c r="J55" i="7"/>
  <c r="I55" i="7"/>
  <c r="H55" i="7"/>
  <c r="G55" i="7"/>
  <c r="F55" i="7"/>
  <c r="C54" i="7"/>
  <c r="V53" i="7"/>
  <c r="T53" i="7"/>
  <c r="J57" i="7" s="1"/>
  <c r="R53" i="7"/>
  <c r="J56" i="7" s="1"/>
  <c r="I59" i="7" s="1"/>
  <c r="U53" i="7"/>
  <c r="S53" i="7"/>
  <c r="Q53" i="7"/>
  <c r="E53" i="7"/>
  <c r="D53" i="7"/>
  <c r="C53" i="7"/>
  <c r="B53" i="7"/>
  <c r="K51" i="7"/>
  <c r="H51" i="7"/>
  <c r="G51" i="7"/>
  <c r="E51" i="7"/>
  <c r="E50" i="7"/>
  <c r="E49" i="7"/>
  <c r="J48" i="7"/>
  <c r="I48" i="7"/>
  <c r="H48" i="7"/>
  <c r="G48" i="7"/>
  <c r="F48" i="7"/>
  <c r="J47" i="7"/>
  <c r="I47" i="7"/>
  <c r="H47" i="7"/>
  <c r="G47" i="7"/>
  <c r="F47" i="7"/>
  <c r="C46" i="7"/>
  <c r="V45" i="7"/>
  <c r="T45" i="7"/>
  <c r="J50" i="7" s="1"/>
  <c r="R45" i="7"/>
  <c r="J49" i="7" s="1"/>
  <c r="U45" i="7"/>
  <c r="S45" i="7"/>
  <c r="Q45" i="7"/>
  <c r="E45" i="7"/>
  <c r="D45" i="7"/>
  <c r="C45" i="7"/>
  <c r="B45" i="7"/>
  <c r="K43" i="7"/>
  <c r="H43" i="7"/>
  <c r="G43" i="7"/>
  <c r="E43" i="7"/>
  <c r="E42" i="7"/>
  <c r="E41" i="7"/>
  <c r="J40" i="7"/>
  <c r="I40" i="7"/>
  <c r="H40" i="7"/>
  <c r="G40" i="7"/>
  <c r="F40" i="7"/>
  <c r="J39" i="7"/>
  <c r="I39" i="7"/>
  <c r="H39" i="7"/>
  <c r="G39" i="7"/>
  <c r="F39" i="7"/>
  <c r="C38" i="7"/>
  <c r="V37" i="7"/>
  <c r="T37" i="7"/>
  <c r="J42" i="7" s="1"/>
  <c r="R37" i="7"/>
  <c r="J41" i="7" s="1"/>
  <c r="U37" i="7"/>
  <c r="S37" i="7"/>
  <c r="Q37" i="7"/>
  <c r="E37" i="7"/>
  <c r="D37" i="7"/>
  <c r="C37" i="7"/>
  <c r="B37" i="7"/>
  <c r="A36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" i="3"/>
  <c r="Y1" i="3"/>
  <c r="CY1" i="3"/>
  <c r="CZ1" i="3"/>
  <c r="DB1" i="3" s="1"/>
  <c r="DA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U36" i="3"/>
  <c r="CV36" i="3"/>
  <c r="CX36" i="3"/>
  <c r="DG36" i="3" s="1"/>
  <c r="CY36" i="3"/>
  <c r="CZ36" i="3"/>
  <c r="DA36" i="3"/>
  <c r="DB36" i="3"/>
  <c r="DC36" i="3"/>
  <c r="DI36" i="3"/>
  <c r="DJ36" i="3" s="1"/>
  <c r="A37" i="3"/>
  <c r="Y37" i="3"/>
  <c r="CW37" i="3" s="1"/>
  <c r="CX37" i="3"/>
  <c r="CY37" i="3"/>
  <c r="CZ37" i="3"/>
  <c r="DB37" i="3" s="1"/>
  <c r="DA37" i="3"/>
  <c r="DC37" i="3"/>
  <c r="DH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U40" i="3"/>
  <c r="CV40" i="3"/>
  <c r="CX40" i="3"/>
  <c r="CY40" i="3"/>
  <c r="CZ40" i="3"/>
  <c r="DB40" i="3" s="1"/>
  <c r="DA40" i="3"/>
  <c r="DC40" i="3"/>
  <c r="A41" i="3"/>
  <c r="Y41" i="3"/>
  <c r="CW41" i="3"/>
  <c r="CX41" i="3"/>
  <c r="DF41" i="3" s="1"/>
  <c r="CY41" i="3"/>
  <c r="CZ41" i="3"/>
  <c r="DB41" i="3" s="1"/>
  <c r="DA41" i="3"/>
  <c r="DC41" i="3"/>
  <c r="DG41" i="3"/>
  <c r="DH41" i="3"/>
  <c r="DI41" i="3"/>
  <c r="DJ41" i="3"/>
  <c r="A42" i="3"/>
  <c r="Y42" i="3"/>
  <c r="CX42" i="3" s="1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U57" i="3"/>
  <c r="CV57" i="3"/>
  <c r="CX57" i="3"/>
  <c r="DF57" i="3" s="1"/>
  <c r="CY57" i="3"/>
  <c r="CZ57" i="3"/>
  <c r="DB57" i="3" s="1"/>
  <c r="DA57" i="3"/>
  <c r="DC57" i="3"/>
  <c r="DG57" i="3"/>
  <c r="DH57" i="3"/>
  <c r="DI57" i="3"/>
  <c r="DJ57" i="3" s="1"/>
  <c r="A58" i="3"/>
  <c r="Y58" i="3"/>
  <c r="CX58" i="3" s="1"/>
  <c r="CW58" i="3"/>
  <c r="CY58" i="3"/>
  <c r="CZ58" i="3"/>
  <c r="DB58" i="3" s="1"/>
  <c r="DA58" i="3"/>
  <c r="DC58" i="3"/>
  <c r="A59" i="3"/>
  <c r="Y59" i="3"/>
  <c r="CX59" i="3" s="1"/>
  <c r="CY59" i="3"/>
  <c r="CZ59" i="3"/>
  <c r="DA59" i="3"/>
  <c r="DB59" i="3"/>
  <c r="DC59" i="3"/>
  <c r="A60" i="3"/>
  <c r="Y60" i="3"/>
  <c r="CX60" i="3" s="1"/>
  <c r="CY60" i="3"/>
  <c r="CZ60" i="3"/>
  <c r="DB60" i="3" s="1"/>
  <c r="DA60" i="3"/>
  <c r="DC60" i="3"/>
  <c r="A61" i="3"/>
  <c r="Y61" i="3"/>
  <c r="CX61" i="3"/>
  <c r="DG61" i="3" s="1"/>
  <c r="CY61" i="3"/>
  <c r="CZ61" i="3"/>
  <c r="DA61" i="3"/>
  <c r="DB61" i="3"/>
  <c r="DC61" i="3"/>
  <c r="DH61" i="3"/>
  <c r="A62" i="3"/>
  <c r="Y62" i="3"/>
  <c r="CX62" i="3" s="1"/>
  <c r="CY62" i="3"/>
  <c r="CZ62" i="3"/>
  <c r="DB62" i="3" s="1"/>
  <c r="DA62" i="3"/>
  <c r="DC62" i="3"/>
  <c r="A63" i="3"/>
  <c r="Y63" i="3"/>
  <c r="CX63" i="3"/>
  <c r="CY63" i="3"/>
  <c r="CZ63" i="3"/>
  <c r="DB63" i="3" s="1"/>
  <c r="DA63" i="3"/>
  <c r="DC63" i="3"/>
  <c r="A64" i="3"/>
  <c r="Y64" i="3"/>
  <c r="CX64" i="3"/>
  <c r="DG64" i="3" s="1"/>
  <c r="CY64" i="3"/>
  <c r="CZ64" i="3"/>
  <c r="DA64" i="3"/>
  <c r="DB64" i="3"/>
  <c r="DC64" i="3"/>
  <c r="DF64" i="3"/>
  <c r="DJ64" i="3" s="1"/>
  <c r="DH64" i="3"/>
  <c r="DI64" i="3"/>
  <c r="A65" i="3"/>
  <c r="Y65" i="3"/>
  <c r="CX65" i="3"/>
  <c r="DG65" i="3" s="1"/>
  <c r="CY65" i="3"/>
  <c r="CZ65" i="3"/>
  <c r="DA65" i="3"/>
  <c r="DB65" i="3"/>
  <c r="DC65" i="3"/>
  <c r="DF65" i="3"/>
  <c r="DJ65" i="3" s="1"/>
  <c r="DH65" i="3"/>
  <c r="DI65" i="3"/>
  <c r="A66" i="3"/>
  <c r="Y66" i="3"/>
  <c r="CX66" i="3" s="1"/>
  <c r="CY66" i="3"/>
  <c r="CZ66" i="3"/>
  <c r="DB66" i="3" s="1"/>
  <c r="DA66" i="3"/>
  <c r="DC66" i="3"/>
  <c r="A67" i="3"/>
  <c r="Y67" i="3"/>
  <c r="CX67" i="3" s="1"/>
  <c r="CY67" i="3"/>
  <c r="CZ67" i="3"/>
  <c r="DA67" i="3"/>
  <c r="DB67" i="3"/>
  <c r="DC67" i="3"/>
  <c r="DF67" i="3"/>
  <c r="DJ67" i="3" s="1"/>
  <c r="DG67" i="3"/>
  <c r="A68" i="3"/>
  <c r="Y68" i="3"/>
  <c r="CX68" i="3"/>
  <c r="DF68" i="3" s="1"/>
  <c r="CY68" i="3"/>
  <c r="CZ68" i="3"/>
  <c r="DB68" i="3" s="1"/>
  <c r="DA68" i="3"/>
  <c r="DC68" i="3"/>
  <c r="DG68" i="3"/>
  <c r="DJ68" i="3"/>
  <c r="A69" i="3"/>
  <c r="Y69" i="3"/>
  <c r="CX69" i="3"/>
  <c r="DG69" i="3" s="1"/>
  <c r="CY69" i="3"/>
  <c r="CZ69" i="3"/>
  <c r="DB69" i="3" s="1"/>
  <c r="DA69" i="3"/>
  <c r="DC69" i="3"/>
  <c r="DH69" i="3"/>
  <c r="A70" i="3"/>
  <c r="Y70" i="3"/>
  <c r="CX70" i="3"/>
  <c r="CY70" i="3"/>
  <c r="CZ70" i="3"/>
  <c r="DB70" i="3" s="1"/>
  <c r="DA70" i="3"/>
  <c r="DC70" i="3"/>
  <c r="A71" i="3"/>
  <c r="Y71" i="3"/>
  <c r="CX71" i="3"/>
  <c r="CY71" i="3"/>
  <c r="CZ71" i="3"/>
  <c r="DB71" i="3" s="1"/>
  <c r="DA71" i="3"/>
  <c r="DC71" i="3"/>
  <c r="DH71" i="3"/>
  <c r="DI71" i="3"/>
  <c r="A72" i="3"/>
  <c r="Y72" i="3"/>
  <c r="CY72" i="3"/>
  <c r="CZ72" i="3"/>
  <c r="DA72" i="3"/>
  <c r="DB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A77" i="3"/>
  <c r="DB77" i="3"/>
  <c r="DC77" i="3"/>
  <c r="A78" i="3"/>
  <c r="Y78" i="3"/>
  <c r="CY78" i="3"/>
  <c r="CZ78" i="3"/>
  <c r="DB78" i="3" s="1"/>
  <c r="DA78" i="3"/>
  <c r="DC78" i="3"/>
  <c r="A79" i="3"/>
  <c r="Y79" i="3"/>
  <c r="CY79" i="3"/>
  <c r="CZ79" i="3"/>
  <c r="DB79" i="3" s="1"/>
  <c r="DA79" i="3"/>
  <c r="DC79" i="3"/>
  <c r="A80" i="3"/>
  <c r="Y80" i="3"/>
  <c r="CY80" i="3"/>
  <c r="CZ80" i="3"/>
  <c r="DA80" i="3"/>
  <c r="DB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B82" i="3" s="1"/>
  <c r="DA82" i="3"/>
  <c r="DC82" i="3"/>
  <c r="A83" i="3"/>
  <c r="Y83" i="3"/>
  <c r="CY83" i="3"/>
  <c r="CZ83" i="3"/>
  <c r="DB83" i="3" s="1"/>
  <c r="DA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B85" i="3" s="1"/>
  <c r="DA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B90" i="3" s="1"/>
  <c r="DA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B98" i="3" s="1"/>
  <c r="DA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B100" i="3" s="1"/>
  <c r="DA100" i="3"/>
  <c r="DC100" i="3"/>
  <c r="A101" i="3"/>
  <c r="Y101" i="3"/>
  <c r="CY101" i="3"/>
  <c r="CZ101" i="3"/>
  <c r="DB101" i="3" s="1"/>
  <c r="DA101" i="3"/>
  <c r="DC101" i="3"/>
  <c r="A102" i="3"/>
  <c r="Y102" i="3"/>
  <c r="CY102" i="3"/>
  <c r="CZ102" i="3"/>
  <c r="DA102" i="3"/>
  <c r="DB102" i="3"/>
  <c r="DC102" i="3"/>
  <c r="A103" i="3"/>
  <c r="Y103" i="3"/>
  <c r="CY103" i="3"/>
  <c r="CZ103" i="3"/>
  <c r="DA103" i="3"/>
  <c r="DB103" i="3"/>
  <c r="DC103" i="3"/>
  <c r="A104" i="3"/>
  <c r="Y104" i="3"/>
  <c r="CY104" i="3"/>
  <c r="CZ104" i="3"/>
  <c r="DB104" i="3" s="1"/>
  <c r="DA104" i="3"/>
  <c r="DC104" i="3"/>
  <c r="A105" i="3"/>
  <c r="Y105" i="3"/>
  <c r="CY105" i="3"/>
  <c r="CZ105" i="3"/>
  <c r="DB105" i="3" s="1"/>
  <c r="DA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B108" i="3" s="1"/>
  <c r="DA108" i="3"/>
  <c r="DC108" i="3"/>
  <c r="A109" i="3"/>
  <c r="Y109" i="3"/>
  <c r="CY109" i="3"/>
  <c r="CZ109" i="3"/>
  <c r="DB109" i="3" s="1"/>
  <c r="DA109" i="3"/>
  <c r="DC109" i="3"/>
  <c r="A110" i="3"/>
  <c r="Y110" i="3"/>
  <c r="CY110" i="3"/>
  <c r="CZ110" i="3"/>
  <c r="DA110" i="3"/>
  <c r="DB110" i="3"/>
  <c r="DC110" i="3"/>
  <c r="A111" i="3"/>
  <c r="Y111" i="3"/>
  <c r="CY111" i="3"/>
  <c r="CZ111" i="3"/>
  <c r="DB111" i="3" s="1"/>
  <c r="DA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B113" i="3" s="1"/>
  <c r="DA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B115" i="3" s="1"/>
  <c r="DA115" i="3"/>
  <c r="DC115" i="3"/>
  <c r="A116" i="3"/>
  <c r="Y116" i="3"/>
  <c r="CY116" i="3"/>
  <c r="CZ116" i="3"/>
  <c r="DB116" i="3" s="1"/>
  <c r="DA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B122" i="3" s="1"/>
  <c r="DA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A127" i="3"/>
  <c r="DB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B133" i="3" s="1"/>
  <c r="DA133" i="3"/>
  <c r="DC133" i="3"/>
  <c r="A134" i="3"/>
  <c r="Y134" i="3"/>
  <c r="CY134" i="3"/>
  <c r="CZ134" i="3"/>
  <c r="DB134" i="3" s="1"/>
  <c r="DA134" i="3"/>
  <c r="DC134" i="3"/>
  <c r="A135" i="3"/>
  <c r="Y135" i="3"/>
  <c r="CY135" i="3"/>
  <c r="CZ135" i="3"/>
  <c r="DB135" i="3" s="1"/>
  <c r="DA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B139" i="3" s="1"/>
  <c r="DA139" i="3"/>
  <c r="DC139" i="3"/>
  <c r="A140" i="3"/>
  <c r="Y140" i="3"/>
  <c r="CY140" i="3"/>
  <c r="CZ140" i="3"/>
  <c r="DB140" i="3" s="1"/>
  <c r="DA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Y143" i="3"/>
  <c r="CZ143" i="3"/>
  <c r="DA143" i="3"/>
  <c r="DB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A145" i="3"/>
  <c r="DB145" i="3"/>
  <c r="DC145" i="3"/>
  <c r="A146" i="3"/>
  <c r="Y146" i="3"/>
  <c r="CY146" i="3"/>
  <c r="CZ146" i="3"/>
  <c r="DB146" i="3" s="1"/>
  <c r="DA146" i="3"/>
  <c r="DC146" i="3"/>
  <c r="A147" i="3"/>
  <c r="Y147" i="3"/>
  <c r="CY147" i="3"/>
  <c r="CZ147" i="3"/>
  <c r="DB147" i="3" s="1"/>
  <c r="DA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B149" i="3" s="1"/>
  <c r="DA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B151" i="3" s="1"/>
  <c r="DA151" i="3"/>
  <c r="DC151" i="3"/>
  <c r="A152" i="3"/>
  <c r="Y152" i="3"/>
  <c r="CY152" i="3"/>
  <c r="CZ152" i="3"/>
  <c r="DB152" i="3" s="1"/>
  <c r="DA152" i="3"/>
  <c r="DC152" i="3"/>
  <c r="A153" i="3"/>
  <c r="Y153" i="3"/>
  <c r="CY153" i="3"/>
  <c r="CZ153" i="3"/>
  <c r="DA153" i="3"/>
  <c r="DB153" i="3"/>
  <c r="DC153" i="3"/>
  <c r="A154" i="3"/>
  <c r="Y154" i="3"/>
  <c r="CY154" i="3"/>
  <c r="CZ154" i="3"/>
  <c r="DA154" i="3"/>
  <c r="DB154" i="3"/>
  <c r="DC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B157" i="3" s="1"/>
  <c r="DA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B161" i="3" s="1"/>
  <c r="DA161" i="3"/>
  <c r="DC161" i="3"/>
  <c r="A162" i="3"/>
  <c r="Y162" i="3"/>
  <c r="CV162" i="3" s="1"/>
  <c r="CU162" i="3"/>
  <c r="CY162" i="3"/>
  <c r="CZ162" i="3"/>
  <c r="DB162" i="3" s="1"/>
  <c r="DA162" i="3"/>
  <c r="DC162" i="3"/>
  <c r="A163" i="3"/>
  <c r="Y163" i="3"/>
  <c r="CW163" i="3"/>
  <c r="CX163" i="3"/>
  <c r="DI163" i="3" s="1"/>
  <c r="CY163" i="3"/>
  <c r="CZ163" i="3"/>
  <c r="DA163" i="3"/>
  <c r="DB163" i="3"/>
  <c r="DC163" i="3"/>
  <c r="DG163" i="3"/>
  <c r="DJ163" i="3" s="1"/>
  <c r="DH163" i="3"/>
  <c r="A164" i="3"/>
  <c r="Y164" i="3"/>
  <c r="CX164" i="3" s="1"/>
  <c r="CY164" i="3"/>
  <c r="CZ164" i="3"/>
  <c r="DB164" i="3" s="1"/>
  <c r="DA164" i="3"/>
  <c r="DC164" i="3"/>
  <c r="A165" i="3"/>
  <c r="Y165" i="3"/>
  <c r="CX165" i="3"/>
  <c r="DG165" i="3" s="1"/>
  <c r="CY165" i="3"/>
  <c r="CZ165" i="3"/>
  <c r="DB165" i="3" s="1"/>
  <c r="DA165" i="3"/>
  <c r="DC165" i="3"/>
  <c r="DF165" i="3"/>
  <c r="DH165" i="3"/>
  <c r="DI165" i="3"/>
  <c r="DJ165" i="3"/>
  <c r="A166" i="3"/>
  <c r="Y166" i="3"/>
  <c r="CX166" i="3"/>
  <c r="DI166" i="3" s="1"/>
  <c r="CY166" i="3"/>
  <c r="CZ166" i="3"/>
  <c r="DA166" i="3"/>
  <c r="DB166" i="3"/>
  <c r="DC166" i="3"/>
  <c r="DF166" i="3"/>
  <c r="DJ166" i="3" s="1"/>
  <c r="DH166" i="3"/>
  <c r="A167" i="3"/>
  <c r="Y167" i="3"/>
  <c r="CX167" i="3"/>
  <c r="CY167" i="3"/>
  <c r="CZ167" i="3"/>
  <c r="DA167" i="3"/>
  <c r="DB167" i="3"/>
  <c r="DC167" i="3"/>
  <c r="A168" i="3"/>
  <c r="Y168" i="3"/>
  <c r="CX168" i="3" s="1"/>
  <c r="CY168" i="3"/>
  <c r="CZ168" i="3"/>
  <c r="DA168" i="3"/>
  <c r="DB168" i="3"/>
  <c r="DC168" i="3"/>
  <c r="A169" i="3"/>
  <c r="Y169" i="3"/>
  <c r="CX169" i="3" s="1"/>
  <c r="CY169" i="3"/>
  <c r="CZ169" i="3"/>
  <c r="DB169" i="3" s="1"/>
  <c r="DA169" i="3"/>
  <c r="DC169" i="3"/>
  <c r="A170" i="3"/>
  <c r="Y170" i="3"/>
  <c r="CX170" i="3"/>
  <c r="DF170" i="3" s="1"/>
  <c r="DJ170" i="3" s="1"/>
  <c r="CY170" i="3"/>
  <c r="CZ170" i="3"/>
  <c r="DB170" i="3" s="1"/>
  <c r="DA170" i="3"/>
  <c r="DC170" i="3"/>
  <c r="DH170" i="3"/>
  <c r="DI170" i="3"/>
  <c r="A171" i="3"/>
  <c r="Y171" i="3"/>
  <c r="CX171" i="3"/>
  <c r="DG171" i="3" s="1"/>
  <c r="CY171" i="3"/>
  <c r="CZ171" i="3"/>
  <c r="DA171" i="3"/>
  <c r="DB171" i="3"/>
  <c r="DC171" i="3"/>
  <c r="DH171" i="3"/>
  <c r="A172" i="3"/>
  <c r="Y172" i="3"/>
  <c r="CX172" i="3"/>
  <c r="CY172" i="3"/>
  <c r="CZ172" i="3"/>
  <c r="DB172" i="3" s="1"/>
  <c r="DA172" i="3"/>
  <c r="DC172" i="3"/>
  <c r="DG172" i="3"/>
  <c r="DH172" i="3"/>
  <c r="A173" i="3"/>
  <c r="Y173" i="3"/>
  <c r="CX173" i="3"/>
  <c r="DG173" i="3" s="1"/>
  <c r="CY173" i="3"/>
  <c r="CZ173" i="3"/>
  <c r="DB173" i="3" s="1"/>
  <c r="DA173" i="3"/>
  <c r="DC173" i="3"/>
  <c r="DF173" i="3"/>
  <c r="DH173" i="3"/>
  <c r="DI173" i="3"/>
  <c r="DJ173" i="3"/>
  <c r="A174" i="3"/>
  <c r="Y174" i="3"/>
  <c r="CX174" i="3"/>
  <c r="DG174" i="3" s="1"/>
  <c r="CY174" i="3"/>
  <c r="CZ174" i="3"/>
  <c r="DA174" i="3"/>
  <c r="DB174" i="3"/>
  <c r="DC174" i="3"/>
  <c r="DF174" i="3"/>
  <c r="DJ174" i="3" s="1"/>
  <c r="DH174" i="3"/>
  <c r="DI174" i="3"/>
  <c r="A175" i="3"/>
  <c r="Y175" i="3"/>
  <c r="CX175" i="3"/>
  <c r="CY175" i="3"/>
  <c r="CZ175" i="3"/>
  <c r="DA175" i="3"/>
  <c r="DB175" i="3"/>
  <c r="DC175" i="3"/>
  <c r="DH175" i="3"/>
  <c r="DI175" i="3"/>
  <c r="A176" i="3"/>
  <c r="Y176" i="3"/>
  <c r="CX176" i="3" s="1"/>
  <c r="CY176" i="3"/>
  <c r="CZ176" i="3"/>
  <c r="DA176" i="3"/>
  <c r="DB176" i="3"/>
  <c r="DC176" i="3"/>
  <c r="A177" i="3"/>
  <c r="Y177" i="3"/>
  <c r="CY177" i="3"/>
  <c r="CZ177" i="3"/>
  <c r="DA177" i="3"/>
  <c r="DB177" i="3"/>
  <c r="DC177" i="3"/>
  <c r="A178" i="3"/>
  <c r="Y178" i="3"/>
  <c r="CY178" i="3"/>
  <c r="CZ178" i="3"/>
  <c r="DB178" i="3" s="1"/>
  <c r="DA178" i="3"/>
  <c r="DC178" i="3"/>
  <c r="A179" i="3"/>
  <c r="Y179" i="3"/>
  <c r="CY179" i="3"/>
  <c r="CZ179" i="3"/>
  <c r="DB179" i="3" s="1"/>
  <c r="DA179" i="3"/>
  <c r="DC179" i="3"/>
  <c r="A180" i="3"/>
  <c r="Y180" i="3"/>
  <c r="CY180" i="3"/>
  <c r="CZ180" i="3"/>
  <c r="DA180" i="3"/>
  <c r="DB180" i="3"/>
  <c r="DC180" i="3"/>
  <c r="A181" i="3"/>
  <c r="Y181" i="3"/>
  <c r="CY181" i="3"/>
  <c r="CZ181" i="3"/>
  <c r="DA181" i="3"/>
  <c r="DB181" i="3"/>
  <c r="DC181" i="3"/>
  <c r="A182" i="3"/>
  <c r="Y182" i="3"/>
  <c r="CY182" i="3"/>
  <c r="CZ182" i="3"/>
  <c r="DB182" i="3" s="1"/>
  <c r="DA182" i="3"/>
  <c r="DC182" i="3"/>
  <c r="A183" i="3"/>
  <c r="Y183" i="3"/>
  <c r="CY183" i="3"/>
  <c r="CZ183" i="3"/>
  <c r="DA183" i="3"/>
  <c r="DB183" i="3"/>
  <c r="DC183" i="3"/>
  <c r="A184" i="3"/>
  <c r="Y184" i="3"/>
  <c r="CY184" i="3"/>
  <c r="CZ184" i="3"/>
  <c r="DA184" i="3"/>
  <c r="DB184" i="3"/>
  <c r="DC184" i="3"/>
  <c r="A185" i="3"/>
  <c r="Y185" i="3"/>
  <c r="CY185" i="3"/>
  <c r="CZ185" i="3"/>
  <c r="DB185" i="3" s="1"/>
  <c r="DA185" i="3"/>
  <c r="DC185" i="3"/>
  <c r="A186" i="3"/>
  <c r="Y186" i="3"/>
  <c r="CY186" i="3"/>
  <c r="CZ186" i="3"/>
  <c r="DB186" i="3" s="1"/>
  <c r="DA186" i="3"/>
  <c r="DC186" i="3"/>
  <c r="A187" i="3"/>
  <c r="Y187" i="3"/>
  <c r="CY187" i="3"/>
  <c r="CZ187" i="3"/>
  <c r="DA187" i="3"/>
  <c r="DB187" i="3"/>
  <c r="DC187" i="3"/>
  <c r="A188" i="3"/>
  <c r="Y188" i="3"/>
  <c r="CY188" i="3"/>
  <c r="CZ188" i="3"/>
  <c r="DB188" i="3" s="1"/>
  <c r="DA188" i="3"/>
  <c r="DC188" i="3"/>
  <c r="A189" i="3"/>
  <c r="Y189" i="3"/>
  <c r="CY189" i="3"/>
  <c r="CZ189" i="3"/>
  <c r="DB189" i="3" s="1"/>
  <c r="DA189" i="3"/>
  <c r="DC189" i="3"/>
  <c r="A190" i="3"/>
  <c r="Y190" i="3"/>
  <c r="CY190" i="3"/>
  <c r="CZ190" i="3"/>
  <c r="DA190" i="3"/>
  <c r="DB190" i="3"/>
  <c r="DC190" i="3"/>
  <c r="A191" i="3"/>
  <c r="Y191" i="3"/>
  <c r="CY191" i="3"/>
  <c r="CZ191" i="3"/>
  <c r="DB191" i="3" s="1"/>
  <c r="DA191" i="3"/>
  <c r="DC191" i="3"/>
  <c r="A192" i="3"/>
  <c r="Y192" i="3"/>
  <c r="CY192" i="3"/>
  <c r="CZ192" i="3"/>
  <c r="DB192" i="3" s="1"/>
  <c r="DA192" i="3"/>
  <c r="DC192" i="3"/>
  <c r="A193" i="3"/>
  <c r="Y193" i="3"/>
  <c r="CY193" i="3"/>
  <c r="CZ193" i="3"/>
  <c r="DB193" i="3" s="1"/>
  <c r="DA193" i="3"/>
  <c r="DC193" i="3"/>
  <c r="A194" i="3"/>
  <c r="Y194" i="3"/>
  <c r="CY194" i="3"/>
  <c r="CZ194" i="3"/>
  <c r="DA194" i="3"/>
  <c r="DB194" i="3"/>
  <c r="DC194" i="3"/>
  <c r="A195" i="3"/>
  <c r="Y195" i="3"/>
  <c r="CY195" i="3"/>
  <c r="CZ195" i="3"/>
  <c r="DA195" i="3"/>
  <c r="DB195" i="3"/>
  <c r="DC195" i="3"/>
  <c r="A196" i="3"/>
  <c r="Y196" i="3"/>
  <c r="CY196" i="3"/>
  <c r="CZ196" i="3"/>
  <c r="DA196" i="3"/>
  <c r="DB196" i="3"/>
  <c r="DC196" i="3"/>
  <c r="A197" i="3"/>
  <c r="Y197" i="3"/>
  <c r="CY197" i="3"/>
  <c r="CZ197" i="3"/>
  <c r="DA197" i="3"/>
  <c r="DB197" i="3"/>
  <c r="DC197" i="3"/>
  <c r="A198" i="3"/>
  <c r="Y198" i="3"/>
  <c r="CY198" i="3"/>
  <c r="CZ198" i="3"/>
  <c r="DB198" i="3" s="1"/>
  <c r="DA198" i="3"/>
  <c r="DC198" i="3"/>
  <c r="A199" i="3"/>
  <c r="Y199" i="3"/>
  <c r="CY199" i="3"/>
  <c r="CZ199" i="3"/>
  <c r="DA199" i="3"/>
  <c r="DB199" i="3"/>
  <c r="DC199" i="3"/>
  <c r="A200" i="3"/>
  <c r="Y200" i="3"/>
  <c r="CY200" i="3"/>
  <c r="CZ200" i="3"/>
  <c r="DB200" i="3" s="1"/>
  <c r="DA200" i="3"/>
  <c r="DC200" i="3"/>
  <c r="A201" i="3"/>
  <c r="Y201" i="3"/>
  <c r="CY201" i="3"/>
  <c r="CZ201" i="3"/>
  <c r="DA201" i="3"/>
  <c r="DB201" i="3"/>
  <c r="DC201" i="3"/>
  <c r="A202" i="3"/>
  <c r="Y202" i="3"/>
  <c r="CY202" i="3"/>
  <c r="CZ202" i="3"/>
  <c r="DB202" i="3" s="1"/>
  <c r="DA202" i="3"/>
  <c r="DC202" i="3"/>
  <c r="A203" i="3"/>
  <c r="Y203" i="3"/>
  <c r="CY203" i="3"/>
  <c r="CZ203" i="3"/>
  <c r="DB203" i="3" s="1"/>
  <c r="DA203" i="3"/>
  <c r="DC203" i="3"/>
  <c r="A204" i="3"/>
  <c r="Y204" i="3"/>
  <c r="CY204" i="3"/>
  <c r="CZ204" i="3"/>
  <c r="DA204" i="3"/>
  <c r="DB204" i="3"/>
  <c r="DC204" i="3"/>
  <c r="A205" i="3"/>
  <c r="Y205" i="3"/>
  <c r="CY205" i="3"/>
  <c r="CZ205" i="3"/>
  <c r="DA205" i="3"/>
  <c r="DB205" i="3"/>
  <c r="DC205" i="3"/>
  <c r="A206" i="3"/>
  <c r="Y206" i="3"/>
  <c r="CW206" i="3" s="1"/>
  <c r="CY206" i="3"/>
  <c r="CZ206" i="3"/>
  <c r="DB206" i="3" s="1"/>
  <c r="DA206" i="3"/>
  <c r="DC206" i="3"/>
  <c r="A207" i="3"/>
  <c r="Y207" i="3"/>
  <c r="CY207" i="3"/>
  <c r="CZ207" i="3"/>
  <c r="DA207" i="3"/>
  <c r="DB207" i="3"/>
  <c r="DC207" i="3"/>
  <c r="A208" i="3"/>
  <c r="Y208" i="3"/>
  <c r="CY208" i="3"/>
  <c r="CZ208" i="3"/>
  <c r="DB208" i="3" s="1"/>
  <c r="DA208" i="3"/>
  <c r="DC208" i="3"/>
  <c r="A209" i="3"/>
  <c r="Y209" i="3"/>
  <c r="CY209" i="3"/>
  <c r="CZ209" i="3"/>
  <c r="DA209" i="3"/>
  <c r="DB209" i="3"/>
  <c r="DC209" i="3"/>
  <c r="A210" i="3"/>
  <c r="Y210" i="3"/>
  <c r="CY210" i="3"/>
  <c r="CZ210" i="3"/>
  <c r="DB210" i="3" s="1"/>
  <c r="DA210" i="3"/>
  <c r="DC21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R32" i="1"/>
  <c r="GK32" i="1" s="1"/>
  <c r="S32" i="1"/>
  <c r="CZ32" i="1" s="1"/>
  <c r="Y32" i="1" s="1"/>
  <c r="U32" i="1"/>
  <c r="AC32" i="1"/>
  <c r="CQ32" i="1" s="1"/>
  <c r="P32" i="1" s="1"/>
  <c r="AE32" i="1"/>
  <c r="AD32" i="1" s="1"/>
  <c r="AB32" i="1" s="1"/>
  <c r="AF32" i="1"/>
  <c r="AG32" i="1"/>
  <c r="CU32" i="1" s="1"/>
  <c r="T32" i="1" s="1"/>
  <c r="AH32" i="1"/>
  <c r="AI32" i="1"/>
  <c r="AJ32" i="1"/>
  <c r="CX32" i="1" s="1"/>
  <c r="W32" i="1" s="1"/>
  <c r="CR32" i="1"/>
  <c r="Q32" i="1" s="1"/>
  <c r="CS32" i="1"/>
  <c r="CT32" i="1"/>
  <c r="CV32" i="1"/>
  <c r="CW32" i="1"/>
  <c r="V32" i="1" s="1"/>
  <c r="FR32" i="1"/>
  <c r="GL32" i="1"/>
  <c r="GN32" i="1"/>
  <c r="GO32" i="1"/>
  <c r="GV32" i="1"/>
  <c r="HC32" i="1"/>
  <c r="GX32" i="1" s="1"/>
  <c r="C33" i="1"/>
  <c r="D33" i="1"/>
  <c r="I33" i="1"/>
  <c r="V33" i="1" s="1"/>
  <c r="K33" i="1"/>
  <c r="U33" i="1"/>
  <c r="AC33" i="1"/>
  <c r="CQ33" i="1" s="1"/>
  <c r="P33" i="1" s="1"/>
  <c r="AE33" i="1"/>
  <c r="AD33" i="1" s="1"/>
  <c r="AB33" i="1" s="1"/>
  <c r="AF33" i="1"/>
  <c r="CT33" i="1" s="1"/>
  <c r="S33" i="1" s="1"/>
  <c r="AG33" i="1"/>
  <c r="AH33" i="1"/>
  <c r="AI33" i="1"/>
  <c r="AJ33" i="1"/>
  <c r="CX33" i="1" s="1"/>
  <c r="W33" i="1" s="1"/>
  <c r="CR33" i="1"/>
  <c r="Q33" i="1" s="1"/>
  <c r="CU33" i="1"/>
  <c r="T33" i="1" s="1"/>
  <c r="CV33" i="1"/>
  <c r="CW33" i="1"/>
  <c r="FR33" i="1"/>
  <c r="GL33" i="1"/>
  <c r="GN33" i="1"/>
  <c r="GO33" i="1"/>
  <c r="GV33" i="1"/>
  <c r="HC33" i="1" s="1"/>
  <c r="GX33" i="1" s="1"/>
  <c r="C34" i="1"/>
  <c r="D34" i="1"/>
  <c r="I34" i="1"/>
  <c r="K34" i="1"/>
  <c r="Q34" i="1"/>
  <c r="AC34" i="1"/>
  <c r="CQ34" i="1" s="1"/>
  <c r="P34" i="1" s="1"/>
  <c r="AE34" i="1"/>
  <c r="AD34" i="1" s="1"/>
  <c r="AF34" i="1"/>
  <c r="CT34" i="1" s="1"/>
  <c r="S34" i="1" s="1"/>
  <c r="AG34" i="1"/>
  <c r="AH34" i="1"/>
  <c r="CV34" i="1" s="1"/>
  <c r="U34" i="1" s="1"/>
  <c r="AI34" i="1"/>
  <c r="CW34" i="1" s="1"/>
  <c r="V34" i="1" s="1"/>
  <c r="AJ34" i="1"/>
  <c r="CR34" i="1"/>
  <c r="CU34" i="1"/>
  <c r="T34" i="1" s="1"/>
  <c r="CX34" i="1"/>
  <c r="W34" i="1" s="1"/>
  <c r="FR34" i="1"/>
  <c r="GL34" i="1"/>
  <c r="GN34" i="1"/>
  <c r="GO34" i="1"/>
  <c r="GV34" i="1"/>
  <c r="HC34" i="1" s="1"/>
  <c r="GX34" i="1" s="1"/>
  <c r="C35" i="1"/>
  <c r="D35" i="1"/>
  <c r="I35" i="1"/>
  <c r="K35" i="1"/>
  <c r="T35" i="1"/>
  <c r="AC35" i="1"/>
  <c r="AB35" i="1" s="1"/>
  <c r="AD35" i="1"/>
  <c r="AE35" i="1"/>
  <c r="AF35" i="1"/>
  <c r="CT35" i="1" s="1"/>
  <c r="S35" i="1" s="1"/>
  <c r="AG35" i="1"/>
  <c r="AH35" i="1"/>
  <c r="CV35" i="1" s="1"/>
  <c r="U35" i="1" s="1"/>
  <c r="AI35" i="1"/>
  <c r="CW35" i="1" s="1"/>
  <c r="V35" i="1" s="1"/>
  <c r="AJ35" i="1"/>
  <c r="CR35" i="1"/>
  <c r="Q35" i="1" s="1"/>
  <c r="CS35" i="1"/>
  <c r="R35" i="1" s="1"/>
  <c r="GK35" i="1" s="1"/>
  <c r="CU35" i="1"/>
  <c r="CX35" i="1"/>
  <c r="W35" i="1" s="1"/>
  <c r="FR35" i="1"/>
  <c r="GL35" i="1"/>
  <c r="GN35" i="1"/>
  <c r="GO35" i="1"/>
  <c r="GV35" i="1"/>
  <c r="HC35" i="1" s="1"/>
  <c r="GX35" i="1" s="1"/>
  <c r="C36" i="1"/>
  <c r="D36" i="1"/>
  <c r="I36" i="1"/>
  <c r="K36" i="1"/>
  <c r="Q36" i="1"/>
  <c r="W36" i="1"/>
  <c r="AC36" i="1"/>
  <c r="AE36" i="1"/>
  <c r="AD36" i="1" s="1"/>
  <c r="AF36" i="1"/>
  <c r="CT36" i="1" s="1"/>
  <c r="S36" i="1" s="1"/>
  <c r="AG36" i="1"/>
  <c r="CU36" i="1" s="1"/>
  <c r="T36" i="1" s="1"/>
  <c r="AH36" i="1"/>
  <c r="AI36" i="1"/>
  <c r="CW36" i="1" s="1"/>
  <c r="V36" i="1" s="1"/>
  <c r="AJ36" i="1"/>
  <c r="CR36" i="1"/>
  <c r="CS36" i="1"/>
  <c r="R36" i="1" s="1"/>
  <c r="GK36" i="1" s="1"/>
  <c r="CV36" i="1"/>
  <c r="U36" i="1" s="1"/>
  <c r="CX36" i="1"/>
  <c r="FR36" i="1"/>
  <c r="GL36" i="1"/>
  <c r="GN36" i="1"/>
  <c r="GO36" i="1"/>
  <c r="GV36" i="1"/>
  <c r="GX36" i="1"/>
  <c r="HC36" i="1"/>
  <c r="C37" i="1"/>
  <c r="D37" i="1"/>
  <c r="I37" i="1"/>
  <c r="K37" i="1"/>
  <c r="Q37" i="1"/>
  <c r="R37" i="1"/>
  <c r="GK37" i="1" s="1"/>
  <c r="T37" i="1"/>
  <c r="AB37" i="1"/>
  <c r="AC37" i="1"/>
  <c r="AD37" i="1"/>
  <c r="AE37" i="1"/>
  <c r="AF37" i="1"/>
  <c r="CT37" i="1" s="1"/>
  <c r="S37" i="1" s="1"/>
  <c r="AG37" i="1"/>
  <c r="AH37" i="1"/>
  <c r="AI37" i="1"/>
  <c r="CW37" i="1" s="1"/>
  <c r="V37" i="1" s="1"/>
  <c r="AJ37" i="1"/>
  <c r="CX37" i="1" s="1"/>
  <c r="W37" i="1" s="1"/>
  <c r="CQ37" i="1"/>
  <c r="P37" i="1" s="1"/>
  <c r="CP37" i="1" s="1"/>
  <c r="O37" i="1" s="1"/>
  <c r="CR37" i="1"/>
  <c r="CS37" i="1"/>
  <c r="CU37" i="1"/>
  <c r="CV37" i="1"/>
  <c r="U37" i="1" s="1"/>
  <c r="FR37" i="1"/>
  <c r="GL37" i="1"/>
  <c r="GN37" i="1"/>
  <c r="GO37" i="1"/>
  <c r="GV37" i="1"/>
  <c r="HC37" i="1" s="1"/>
  <c r="GX37" i="1" s="1"/>
  <c r="I38" i="1"/>
  <c r="P38" i="1"/>
  <c r="R38" i="1"/>
  <c r="AC38" i="1"/>
  <c r="AD38" i="1"/>
  <c r="AB38" i="1" s="1"/>
  <c r="AE38" i="1"/>
  <c r="AF38" i="1"/>
  <c r="AG38" i="1"/>
  <c r="AH38" i="1"/>
  <c r="CV38" i="1" s="1"/>
  <c r="U38" i="1" s="1"/>
  <c r="AI38" i="1"/>
  <c r="AJ38" i="1"/>
  <c r="CX38" i="1" s="1"/>
  <c r="W38" i="1" s="1"/>
  <c r="CQ38" i="1"/>
  <c r="CR38" i="1"/>
  <c r="Q38" i="1" s="1"/>
  <c r="CS38" i="1"/>
  <c r="CT38" i="1"/>
  <c r="S38" i="1" s="1"/>
  <c r="CU38" i="1"/>
  <c r="T38" i="1" s="1"/>
  <c r="CW38" i="1"/>
  <c r="V38" i="1" s="1"/>
  <c r="FR38" i="1"/>
  <c r="GK38" i="1"/>
  <c r="GL38" i="1"/>
  <c r="GN38" i="1"/>
  <c r="GO38" i="1"/>
  <c r="GV38" i="1"/>
  <c r="HC38" i="1"/>
  <c r="GX38" i="1" s="1"/>
  <c r="I39" i="1"/>
  <c r="P39" i="1" s="1"/>
  <c r="CP39" i="1" s="1"/>
  <c r="O39" i="1" s="1"/>
  <c r="V39" i="1"/>
  <c r="AC39" i="1"/>
  <c r="AE39" i="1"/>
  <c r="AD39" i="1" s="1"/>
  <c r="AB39" i="1" s="1"/>
  <c r="AF39" i="1"/>
  <c r="CT39" i="1" s="1"/>
  <c r="S39" i="1" s="1"/>
  <c r="AG39" i="1"/>
  <c r="AH39" i="1"/>
  <c r="CV39" i="1" s="1"/>
  <c r="U39" i="1" s="1"/>
  <c r="AI39" i="1"/>
  <c r="AJ39" i="1"/>
  <c r="CX39" i="1" s="1"/>
  <c r="W39" i="1" s="1"/>
  <c r="CQ39" i="1"/>
  <c r="CR39" i="1"/>
  <c r="Q39" i="1" s="1"/>
  <c r="CU39" i="1"/>
  <c r="T39" i="1" s="1"/>
  <c r="CW39" i="1"/>
  <c r="FR39" i="1"/>
  <c r="GL39" i="1"/>
  <c r="GN39" i="1"/>
  <c r="GO39" i="1"/>
  <c r="GV39" i="1"/>
  <c r="HC39" i="1" s="1"/>
  <c r="GX39" i="1" s="1"/>
  <c r="C40" i="1"/>
  <c r="D40" i="1"/>
  <c r="I40" i="1"/>
  <c r="K40" i="1"/>
  <c r="Q40" i="1"/>
  <c r="AC40" i="1"/>
  <c r="CQ40" i="1" s="1"/>
  <c r="P40" i="1" s="1"/>
  <c r="AE40" i="1"/>
  <c r="AD40" i="1" s="1"/>
  <c r="AF40" i="1"/>
  <c r="AG40" i="1"/>
  <c r="AH40" i="1"/>
  <c r="CV40" i="1" s="1"/>
  <c r="U40" i="1" s="1"/>
  <c r="AI40" i="1"/>
  <c r="CW40" i="1" s="1"/>
  <c r="V40" i="1" s="1"/>
  <c r="AJ40" i="1"/>
  <c r="CR40" i="1"/>
  <c r="CT40" i="1"/>
  <c r="CU40" i="1"/>
  <c r="T40" i="1" s="1"/>
  <c r="CX40" i="1"/>
  <c r="W40" i="1" s="1"/>
  <c r="FR40" i="1"/>
  <c r="GL40" i="1"/>
  <c r="GN40" i="1"/>
  <c r="GO40" i="1"/>
  <c r="GV40" i="1"/>
  <c r="HC40" i="1" s="1"/>
  <c r="GX40" i="1" s="1"/>
  <c r="I41" i="1"/>
  <c r="Q41" i="1" s="1"/>
  <c r="AC41" i="1"/>
  <c r="AB41" i="1" s="1"/>
  <c r="AE41" i="1"/>
  <c r="AD41" i="1" s="1"/>
  <c r="AF41" i="1"/>
  <c r="CT41" i="1" s="1"/>
  <c r="S41" i="1" s="1"/>
  <c r="AG41" i="1"/>
  <c r="CU41" i="1" s="1"/>
  <c r="T41" i="1" s="1"/>
  <c r="AH41" i="1"/>
  <c r="AI41" i="1"/>
  <c r="CW41" i="1" s="1"/>
  <c r="V41" i="1" s="1"/>
  <c r="AJ41" i="1"/>
  <c r="CR41" i="1"/>
  <c r="CS41" i="1"/>
  <c r="R41" i="1" s="1"/>
  <c r="GK41" i="1" s="1"/>
  <c r="CV41" i="1"/>
  <c r="U41" i="1" s="1"/>
  <c r="CX41" i="1"/>
  <c r="FR41" i="1"/>
  <c r="GL41" i="1"/>
  <c r="GN41" i="1"/>
  <c r="GO41" i="1"/>
  <c r="GV41" i="1"/>
  <c r="GX41" i="1"/>
  <c r="HC41" i="1"/>
  <c r="I42" i="1"/>
  <c r="U42" i="1"/>
  <c r="W42" i="1"/>
  <c r="AC42" i="1"/>
  <c r="AB42" i="1" s="1"/>
  <c r="AD42" i="1"/>
  <c r="AE42" i="1"/>
  <c r="CS42" i="1" s="1"/>
  <c r="R42" i="1" s="1"/>
  <c r="GK42" i="1" s="1"/>
  <c r="AF42" i="1"/>
  <c r="AG42" i="1"/>
  <c r="CU42" i="1" s="1"/>
  <c r="T42" i="1" s="1"/>
  <c r="AH42" i="1"/>
  <c r="AI42" i="1"/>
  <c r="CW42" i="1" s="1"/>
  <c r="V42" i="1" s="1"/>
  <c r="AJ42" i="1"/>
  <c r="CQ42" i="1"/>
  <c r="P42" i="1" s="1"/>
  <c r="CR42" i="1"/>
  <c r="Q42" i="1" s="1"/>
  <c r="CT42" i="1"/>
  <c r="S42" i="1" s="1"/>
  <c r="CV42" i="1"/>
  <c r="CX42" i="1"/>
  <c r="FR42" i="1"/>
  <c r="GL42" i="1"/>
  <c r="GN42" i="1"/>
  <c r="GO42" i="1"/>
  <c r="GV42" i="1"/>
  <c r="HC42" i="1" s="1"/>
  <c r="GX42" i="1" s="1"/>
  <c r="C43" i="1"/>
  <c r="D43" i="1"/>
  <c r="I43" i="1"/>
  <c r="K43" i="1"/>
  <c r="P43" i="1"/>
  <c r="AC43" i="1"/>
  <c r="AD43" i="1"/>
  <c r="AB43" i="1" s="1"/>
  <c r="AE43" i="1"/>
  <c r="AF43" i="1"/>
  <c r="AG43" i="1"/>
  <c r="CU43" i="1" s="1"/>
  <c r="T43" i="1" s="1"/>
  <c r="AH43" i="1"/>
  <c r="CV43" i="1" s="1"/>
  <c r="U43" i="1" s="1"/>
  <c r="AI43" i="1"/>
  <c r="AJ43" i="1"/>
  <c r="CX43" i="1" s="1"/>
  <c r="W43" i="1" s="1"/>
  <c r="CQ43" i="1"/>
  <c r="CR43" i="1"/>
  <c r="Q43" i="1" s="1"/>
  <c r="CS43" i="1"/>
  <c r="R43" i="1" s="1"/>
  <c r="GK43" i="1" s="1"/>
  <c r="CT43" i="1"/>
  <c r="S43" i="1" s="1"/>
  <c r="CW43" i="1"/>
  <c r="V43" i="1" s="1"/>
  <c r="FR43" i="1"/>
  <c r="GL43" i="1"/>
  <c r="GN43" i="1"/>
  <c r="GO43" i="1"/>
  <c r="GV43" i="1"/>
  <c r="HC43" i="1"/>
  <c r="GX43" i="1" s="1"/>
  <c r="B45" i="1"/>
  <c r="B30" i="1" s="1"/>
  <c r="C45" i="1"/>
  <c r="C30" i="1" s="1"/>
  <c r="D45" i="1"/>
  <c r="D30" i="1" s="1"/>
  <c r="F45" i="1"/>
  <c r="F30" i="1" s="1"/>
  <c r="G45" i="1"/>
  <c r="G30" i="1" s="1"/>
  <c r="BX45" i="1"/>
  <c r="AO45" i="1" s="1"/>
  <c r="BY45" i="1"/>
  <c r="AP45" i="1" s="1"/>
  <c r="BZ45" i="1"/>
  <c r="AQ45" i="1" s="1"/>
  <c r="CB45" i="1"/>
  <c r="AS45" i="1" s="1"/>
  <c r="CC45" i="1"/>
  <c r="CC30" i="1" s="1"/>
  <c r="CG45" i="1"/>
  <c r="AX45" i="1" s="1"/>
  <c r="CK45" i="1"/>
  <c r="CK30" i="1" s="1"/>
  <c r="CL45" i="1"/>
  <c r="CL30" i="1" s="1"/>
  <c r="CM45" i="1"/>
  <c r="BD45" i="1" s="1"/>
  <c r="D75" i="1"/>
  <c r="E77" i="1"/>
  <c r="Z77" i="1"/>
  <c r="AA77" i="1"/>
  <c r="AM77" i="1"/>
  <c r="AN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C79" i="1"/>
  <c r="D79" i="1"/>
  <c r="S79" i="1"/>
  <c r="T79" i="1"/>
  <c r="AC79" i="1"/>
  <c r="AE79" i="1"/>
  <c r="AD79" i="1" s="1"/>
  <c r="AF79" i="1"/>
  <c r="AG79" i="1"/>
  <c r="AH79" i="1"/>
  <c r="CV79" i="1" s="1"/>
  <c r="U79" i="1" s="1"/>
  <c r="AI79" i="1"/>
  <c r="AJ79" i="1"/>
  <c r="CQ79" i="1"/>
  <c r="P79" i="1" s="1"/>
  <c r="CR79" i="1"/>
  <c r="Q79" i="1" s="1"/>
  <c r="CT79" i="1"/>
  <c r="CU79" i="1"/>
  <c r="CW79" i="1"/>
  <c r="V79" i="1" s="1"/>
  <c r="AI85" i="1" s="1"/>
  <c r="CX79" i="1"/>
  <c r="W79" i="1" s="1"/>
  <c r="CY79" i="1"/>
  <c r="X79" i="1" s="1"/>
  <c r="CZ79" i="1"/>
  <c r="Y79" i="1" s="1"/>
  <c r="FR79" i="1"/>
  <c r="GL79" i="1"/>
  <c r="GN79" i="1"/>
  <c r="GO79" i="1"/>
  <c r="GV79" i="1"/>
  <c r="HC79" i="1" s="1"/>
  <c r="GX79" i="1" s="1"/>
  <c r="CJ85" i="1" s="1"/>
  <c r="C80" i="1"/>
  <c r="D80" i="1"/>
  <c r="I80" i="1"/>
  <c r="K80" i="1"/>
  <c r="V80" i="1"/>
  <c r="W80" i="1"/>
  <c r="AC80" i="1"/>
  <c r="AE80" i="1"/>
  <c r="AD80" i="1" s="1"/>
  <c r="AF80" i="1"/>
  <c r="AG80" i="1"/>
  <c r="AH80" i="1"/>
  <c r="CV80" i="1" s="1"/>
  <c r="U80" i="1" s="1"/>
  <c r="AI80" i="1"/>
  <c r="AJ80" i="1"/>
  <c r="CR80" i="1"/>
  <c r="Q80" i="1" s="1"/>
  <c r="CS80" i="1"/>
  <c r="R80" i="1" s="1"/>
  <c r="GK80" i="1" s="1"/>
  <c r="CT80" i="1"/>
  <c r="S80" i="1" s="1"/>
  <c r="CU80" i="1"/>
  <c r="T80" i="1" s="1"/>
  <c r="AG85" i="1" s="1"/>
  <c r="CW80" i="1"/>
  <c r="CX80" i="1"/>
  <c r="FR80" i="1"/>
  <c r="GL80" i="1"/>
  <c r="GN80" i="1"/>
  <c r="GO80" i="1"/>
  <c r="GV80" i="1"/>
  <c r="HC80" i="1"/>
  <c r="GX80" i="1" s="1"/>
  <c r="C81" i="1"/>
  <c r="D81" i="1"/>
  <c r="S81" i="1"/>
  <c r="T81" i="1"/>
  <c r="AC81" i="1"/>
  <c r="AE81" i="1"/>
  <c r="AD81" i="1" s="1"/>
  <c r="AF81" i="1"/>
  <c r="AG81" i="1"/>
  <c r="AH81" i="1"/>
  <c r="CV81" i="1" s="1"/>
  <c r="U81" i="1" s="1"/>
  <c r="AI81" i="1"/>
  <c r="AJ81" i="1"/>
  <c r="CQ81" i="1"/>
  <c r="P81" i="1" s="1"/>
  <c r="CR81" i="1"/>
  <c r="Q81" i="1" s="1"/>
  <c r="CT81" i="1"/>
  <c r="CU81" i="1"/>
  <c r="CW81" i="1"/>
  <c r="V81" i="1" s="1"/>
  <c r="CX81" i="1"/>
  <c r="W81" i="1" s="1"/>
  <c r="CY81" i="1"/>
  <c r="X81" i="1" s="1"/>
  <c r="CZ81" i="1"/>
  <c r="Y81" i="1" s="1"/>
  <c r="FR81" i="1"/>
  <c r="GL81" i="1"/>
  <c r="GN81" i="1"/>
  <c r="GO81" i="1"/>
  <c r="GV81" i="1"/>
  <c r="HC81" i="1" s="1"/>
  <c r="GX81" i="1" s="1"/>
  <c r="C82" i="1"/>
  <c r="D82" i="1"/>
  <c r="I82" i="1"/>
  <c r="K82" i="1"/>
  <c r="V82" i="1"/>
  <c r="W82" i="1"/>
  <c r="AC82" i="1"/>
  <c r="AB82" i="1" s="1"/>
  <c r="AE82" i="1"/>
  <c r="AD82" i="1" s="1"/>
  <c r="AF82" i="1"/>
  <c r="AG82" i="1"/>
  <c r="AH82" i="1"/>
  <c r="CV82" i="1" s="1"/>
  <c r="U82" i="1" s="1"/>
  <c r="AI82" i="1"/>
  <c r="AJ82" i="1"/>
  <c r="CR82" i="1"/>
  <c r="Q82" i="1" s="1"/>
  <c r="CS82" i="1"/>
  <c r="R82" i="1" s="1"/>
  <c r="GK82" i="1" s="1"/>
  <c r="CT82" i="1"/>
  <c r="S82" i="1" s="1"/>
  <c r="CU82" i="1"/>
  <c r="T82" i="1" s="1"/>
  <c r="CW82" i="1"/>
  <c r="CX82" i="1"/>
  <c r="FR82" i="1"/>
  <c r="GL82" i="1"/>
  <c r="BZ85" i="1" s="1"/>
  <c r="GN82" i="1"/>
  <c r="GO82" i="1"/>
  <c r="GV82" i="1"/>
  <c r="HC82" i="1"/>
  <c r="GX82" i="1" s="1"/>
  <c r="I83" i="1"/>
  <c r="T83" i="1" s="1"/>
  <c r="AC83" i="1"/>
  <c r="AE83" i="1"/>
  <c r="AD83" i="1" s="1"/>
  <c r="AF83" i="1"/>
  <c r="CT83" i="1" s="1"/>
  <c r="S83" i="1" s="1"/>
  <c r="AG83" i="1"/>
  <c r="AH83" i="1"/>
  <c r="AI83" i="1"/>
  <c r="CW83" i="1" s="1"/>
  <c r="V83" i="1" s="1"/>
  <c r="AJ83" i="1"/>
  <c r="CQ83" i="1"/>
  <c r="P83" i="1" s="1"/>
  <c r="CR83" i="1"/>
  <c r="Q83" i="1" s="1"/>
  <c r="CS83" i="1"/>
  <c r="R83" i="1" s="1"/>
  <c r="GK83" i="1" s="1"/>
  <c r="CU83" i="1"/>
  <c r="CV83" i="1"/>
  <c r="CX83" i="1"/>
  <c r="W83" i="1" s="1"/>
  <c r="FR83" i="1"/>
  <c r="BY85" i="1" s="1"/>
  <c r="GL83" i="1"/>
  <c r="GN83" i="1"/>
  <c r="GO83" i="1"/>
  <c r="GV83" i="1"/>
  <c r="HC83" i="1" s="1"/>
  <c r="GX83" i="1" s="1"/>
  <c r="B85" i="1"/>
  <c r="B77" i="1" s="1"/>
  <c r="C85" i="1"/>
  <c r="C77" i="1" s="1"/>
  <c r="D85" i="1"/>
  <c r="D77" i="1" s="1"/>
  <c r="F85" i="1"/>
  <c r="F77" i="1" s="1"/>
  <c r="G85" i="1"/>
  <c r="G77" i="1" s="1"/>
  <c r="BX85" i="1"/>
  <c r="BX77" i="1" s="1"/>
  <c r="CB85" i="1"/>
  <c r="CB77" i="1" s="1"/>
  <c r="CC85" i="1"/>
  <c r="CC77" i="1" s="1"/>
  <c r="CK85" i="1"/>
  <c r="CK77" i="1" s="1"/>
  <c r="CL85" i="1"/>
  <c r="CL77" i="1" s="1"/>
  <c r="CM85" i="1"/>
  <c r="CM77" i="1" s="1"/>
  <c r="D115" i="1"/>
  <c r="E117" i="1"/>
  <c r="Z117" i="1"/>
  <c r="AA117" i="1"/>
  <c r="AM117" i="1"/>
  <c r="AN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EG117" i="1"/>
  <c r="EH117" i="1"/>
  <c r="EI117" i="1"/>
  <c r="EJ117" i="1"/>
  <c r="EK117" i="1"/>
  <c r="EL117" i="1"/>
  <c r="EM117" i="1"/>
  <c r="EN117" i="1"/>
  <c r="EO117" i="1"/>
  <c r="EP117" i="1"/>
  <c r="EQ117" i="1"/>
  <c r="ER117" i="1"/>
  <c r="ES117" i="1"/>
  <c r="ET117" i="1"/>
  <c r="EU117" i="1"/>
  <c r="EV117" i="1"/>
  <c r="EW117" i="1"/>
  <c r="EX117" i="1"/>
  <c r="EY117" i="1"/>
  <c r="EZ117" i="1"/>
  <c r="FA117" i="1"/>
  <c r="FB117" i="1"/>
  <c r="FC117" i="1"/>
  <c r="FD117" i="1"/>
  <c r="FE117" i="1"/>
  <c r="FF117" i="1"/>
  <c r="FG117" i="1"/>
  <c r="FH117" i="1"/>
  <c r="FI117" i="1"/>
  <c r="FJ117" i="1"/>
  <c r="FK117" i="1"/>
  <c r="FL117" i="1"/>
  <c r="FM117" i="1"/>
  <c r="FN117" i="1"/>
  <c r="FO117" i="1"/>
  <c r="FP117" i="1"/>
  <c r="FQ117" i="1"/>
  <c r="FR117" i="1"/>
  <c r="FS117" i="1"/>
  <c r="FT117" i="1"/>
  <c r="FU117" i="1"/>
  <c r="FV117" i="1"/>
  <c r="FW117" i="1"/>
  <c r="FX117" i="1"/>
  <c r="FY117" i="1"/>
  <c r="FZ117" i="1"/>
  <c r="GA117" i="1"/>
  <c r="GB117" i="1"/>
  <c r="GC117" i="1"/>
  <c r="GD117" i="1"/>
  <c r="GE117" i="1"/>
  <c r="GF117" i="1"/>
  <c r="GG117" i="1"/>
  <c r="GH117" i="1"/>
  <c r="GI117" i="1"/>
  <c r="GJ117" i="1"/>
  <c r="GK117" i="1"/>
  <c r="GL117" i="1"/>
  <c r="GM117" i="1"/>
  <c r="GN117" i="1"/>
  <c r="GO117" i="1"/>
  <c r="GP117" i="1"/>
  <c r="GQ117" i="1"/>
  <c r="GR117" i="1"/>
  <c r="GS117" i="1"/>
  <c r="GT117" i="1"/>
  <c r="GU117" i="1"/>
  <c r="GV117" i="1"/>
  <c r="GW117" i="1"/>
  <c r="GX117" i="1"/>
  <c r="C119" i="1"/>
  <c r="D119" i="1"/>
  <c r="I119" i="1"/>
  <c r="K119" i="1"/>
  <c r="Q119" i="1"/>
  <c r="R119" i="1"/>
  <c r="GK119" i="1" s="1"/>
  <c r="S119" i="1"/>
  <c r="CZ119" i="1" s="1"/>
  <c r="Y119" i="1" s="1"/>
  <c r="AC119" i="1"/>
  <c r="AB119" i="1" s="1"/>
  <c r="AD119" i="1"/>
  <c r="AE119" i="1"/>
  <c r="AF119" i="1"/>
  <c r="AG119" i="1"/>
  <c r="CU119" i="1" s="1"/>
  <c r="T119" i="1" s="1"/>
  <c r="AH119" i="1"/>
  <c r="AI119" i="1"/>
  <c r="AJ119" i="1"/>
  <c r="CQ119" i="1"/>
  <c r="P119" i="1" s="1"/>
  <c r="CR119" i="1"/>
  <c r="CS119" i="1"/>
  <c r="CT119" i="1"/>
  <c r="CV119" i="1"/>
  <c r="U119" i="1" s="1"/>
  <c r="CW119" i="1"/>
  <c r="V119" i="1" s="1"/>
  <c r="CX119" i="1"/>
  <c r="W119" i="1" s="1"/>
  <c r="CY119" i="1"/>
  <c r="X119" i="1" s="1"/>
  <c r="FR119" i="1"/>
  <c r="GL119" i="1"/>
  <c r="GN119" i="1"/>
  <c r="GO119" i="1"/>
  <c r="CC133" i="1" s="1"/>
  <c r="GV119" i="1"/>
  <c r="HC119" i="1"/>
  <c r="GX119" i="1" s="1"/>
  <c r="C120" i="1"/>
  <c r="D120" i="1"/>
  <c r="I120" i="1"/>
  <c r="K120" i="1"/>
  <c r="U120" i="1"/>
  <c r="AC120" i="1"/>
  <c r="AE120" i="1"/>
  <c r="AD120" i="1" s="1"/>
  <c r="AB120" i="1" s="1"/>
  <c r="AF120" i="1"/>
  <c r="AG120" i="1"/>
  <c r="CU120" i="1" s="1"/>
  <c r="T120" i="1" s="1"/>
  <c r="AH120" i="1"/>
  <c r="AI120" i="1"/>
  <c r="CW120" i="1" s="1"/>
  <c r="V120" i="1" s="1"/>
  <c r="AJ120" i="1"/>
  <c r="CX120" i="1" s="1"/>
  <c r="W120" i="1" s="1"/>
  <c r="CQ120" i="1"/>
  <c r="P120" i="1" s="1"/>
  <c r="CR120" i="1"/>
  <c r="Q120" i="1" s="1"/>
  <c r="CS120" i="1"/>
  <c r="R120" i="1" s="1"/>
  <c r="GK120" i="1" s="1"/>
  <c r="CT120" i="1"/>
  <c r="S120" i="1" s="1"/>
  <c r="CV120" i="1"/>
  <c r="FR120" i="1"/>
  <c r="GL120" i="1"/>
  <c r="GN120" i="1"/>
  <c r="GO120" i="1"/>
  <c r="GV120" i="1"/>
  <c r="HC120" i="1"/>
  <c r="GX120" i="1" s="1"/>
  <c r="C121" i="1"/>
  <c r="D121" i="1"/>
  <c r="Q121" i="1"/>
  <c r="R121" i="1"/>
  <c r="GK121" i="1" s="1"/>
  <c r="AC121" i="1"/>
  <c r="AB121" i="1" s="1"/>
  <c r="AD121" i="1"/>
  <c r="AE121" i="1"/>
  <c r="AF121" i="1"/>
  <c r="CT121" i="1" s="1"/>
  <c r="S121" i="1" s="1"/>
  <c r="AG121" i="1"/>
  <c r="CU121" i="1" s="1"/>
  <c r="T121" i="1" s="1"/>
  <c r="AH121" i="1"/>
  <c r="AI121" i="1"/>
  <c r="AJ121" i="1"/>
  <c r="CQ121" i="1"/>
  <c r="P121" i="1" s="1"/>
  <c r="CR121" i="1"/>
  <c r="CS121" i="1"/>
  <c r="CV121" i="1"/>
  <c r="U121" i="1" s="1"/>
  <c r="CW121" i="1"/>
  <c r="V121" i="1" s="1"/>
  <c r="CX121" i="1"/>
  <c r="W121" i="1" s="1"/>
  <c r="FR121" i="1"/>
  <c r="GL121" i="1"/>
  <c r="GN121" i="1"/>
  <c r="GO121" i="1"/>
  <c r="GV121" i="1"/>
  <c r="GX121" i="1"/>
  <c r="HC121" i="1"/>
  <c r="I122" i="1"/>
  <c r="P122" i="1"/>
  <c r="Q122" i="1"/>
  <c r="AB122" i="1"/>
  <c r="AC122" i="1"/>
  <c r="AD122" i="1"/>
  <c r="AE122" i="1"/>
  <c r="CS122" i="1" s="1"/>
  <c r="R122" i="1" s="1"/>
  <c r="GK122" i="1" s="1"/>
  <c r="AF122" i="1"/>
  <c r="AG122" i="1"/>
  <c r="AH122" i="1"/>
  <c r="AI122" i="1"/>
  <c r="AJ122" i="1"/>
  <c r="CX122" i="1" s="1"/>
  <c r="W122" i="1" s="1"/>
  <c r="CQ122" i="1"/>
  <c r="CR122" i="1"/>
  <c r="CT122" i="1"/>
  <c r="S122" i="1" s="1"/>
  <c r="CU122" i="1"/>
  <c r="T122" i="1" s="1"/>
  <c r="CV122" i="1"/>
  <c r="U122" i="1" s="1"/>
  <c r="CW122" i="1"/>
  <c r="V122" i="1" s="1"/>
  <c r="FR122" i="1"/>
  <c r="GL122" i="1"/>
  <c r="GN122" i="1"/>
  <c r="GO122" i="1"/>
  <c r="GV122" i="1"/>
  <c r="HC122" i="1" s="1"/>
  <c r="GX122" i="1" s="1"/>
  <c r="I123" i="1"/>
  <c r="V123" i="1"/>
  <c r="AC123" i="1"/>
  <c r="CQ123" i="1" s="1"/>
  <c r="P123" i="1" s="1"/>
  <c r="CP123" i="1" s="1"/>
  <c r="O123" i="1" s="1"/>
  <c r="AE123" i="1"/>
  <c r="AD123" i="1" s="1"/>
  <c r="AB123" i="1" s="1"/>
  <c r="AF123" i="1"/>
  <c r="AG123" i="1"/>
  <c r="AH123" i="1"/>
  <c r="CV123" i="1" s="1"/>
  <c r="U123" i="1" s="1"/>
  <c r="AI123" i="1"/>
  <c r="AJ123" i="1"/>
  <c r="CX123" i="1" s="1"/>
  <c r="W123" i="1" s="1"/>
  <c r="CR123" i="1"/>
  <c r="Q123" i="1" s="1"/>
  <c r="CS123" i="1"/>
  <c r="R123" i="1" s="1"/>
  <c r="GK123" i="1" s="1"/>
  <c r="CT123" i="1"/>
  <c r="S123" i="1" s="1"/>
  <c r="CU123" i="1"/>
  <c r="T123" i="1" s="1"/>
  <c r="CW123" i="1"/>
  <c r="FR123" i="1"/>
  <c r="GL123" i="1"/>
  <c r="GN123" i="1"/>
  <c r="GO123" i="1"/>
  <c r="GV123" i="1"/>
  <c r="HC123" i="1"/>
  <c r="GX123" i="1" s="1"/>
  <c r="I124" i="1"/>
  <c r="T124" i="1" s="1"/>
  <c r="V124" i="1"/>
  <c r="AC124" i="1"/>
  <c r="AB124" i="1" s="1"/>
  <c r="AE124" i="1"/>
  <c r="AD124" i="1" s="1"/>
  <c r="AF124" i="1"/>
  <c r="CT124" i="1" s="1"/>
  <c r="AG124" i="1"/>
  <c r="AH124" i="1"/>
  <c r="CV124" i="1" s="1"/>
  <c r="AI124" i="1"/>
  <c r="CW124" i="1" s="1"/>
  <c r="AJ124" i="1"/>
  <c r="CQ124" i="1"/>
  <c r="P124" i="1" s="1"/>
  <c r="CR124" i="1"/>
  <c r="CS124" i="1"/>
  <c r="CU124" i="1"/>
  <c r="CX124" i="1"/>
  <c r="FR124" i="1"/>
  <c r="GL124" i="1"/>
  <c r="GN124" i="1"/>
  <c r="GO124" i="1"/>
  <c r="GV124" i="1"/>
  <c r="HC124" i="1" s="1"/>
  <c r="GX124" i="1" s="1"/>
  <c r="I125" i="1"/>
  <c r="Q125" i="1" s="1"/>
  <c r="R125" i="1"/>
  <c r="GK125" i="1" s="1"/>
  <c r="AC125" i="1"/>
  <c r="AD125" i="1"/>
  <c r="AE125" i="1"/>
  <c r="AF125" i="1"/>
  <c r="CT125" i="1" s="1"/>
  <c r="S125" i="1" s="1"/>
  <c r="CZ125" i="1" s="1"/>
  <c r="Y125" i="1" s="1"/>
  <c r="AG125" i="1"/>
  <c r="CU125" i="1" s="1"/>
  <c r="T125" i="1" s="1"/>
  <c r="AH125" i="1"/>
  <c r="AI125" i="1"/>
  <c r="AJ125" i="1"/>
  <c r="CQ125" i="1"/>
  <c r="P125" i="1" s="1"/>
  <c r="CR125" i="1"/>
  <c r="CS125" i="1"/>
  <c r="CV125" i="1"/>
  <c r="U125" i="1" s="1"/>
  <c r="CW125" i="1"/>
  <c r="V125" i="1" s="1"/>
  <c r="CX125" i="1"/>
  <c r="W125" i="1" s="1"/>
  <c r="FR125" i="1"/>
  <c r="GL125" i="1"/>
  <c r="GN125" i="1"/>
  <c r="GO125" i="1"/>
  <c r="GV125" i="1"/>
  <c r="GX125" i="1"/>
  <c r="HC125" i="1"/>
  <c r="C126" i="1"/>
  <c r="D126" i="1"/>
  <c r="I126" i="1"/>
  <c r="I127" i="1" s="1"/>
  <c r="S127" i="1" s="1"/>
  <c r="CY127" i="1" s="1"/>
  <c r="X127" i="1" s="1"/>
  <c r="K126" i="1"/>
  <c r="U126" i="1"/>
  <c r="AC126" i="1"/>
  <c r="AE126" i="1"/>
  <c r="AD126" i="1" s="1"/>
  <c r="AB126" i="1" s="1"/>
  <c r="AF126" i="1"/>
  <c r="AG126" i="1"/>
  <c r="CU126" i="1" s="1"/>
  <c r="T126" i="1" s="1"/>
  <c r="AH126" i="1"/>
  <c r="AI126" i="1"/>
  <c r="CW126" i="1" s="1"/>
  <c r="V126" i="1" s="1"/>
  <c r="AJ126" i="1"/>
  <c r="CX126" i="1" s="1"/>
  <c r="W126" i="1" s="1"/>
  <c r="CQ126" i="1"/>
  <c r="P126" i="1" s="1"/>
  <c r="CR126" i="1"/>
  <c r="Q126" i="1" s="1"/>
  <c r="CS126" i="1"/>
  <c r="R126" i="1" s="1"/>
  <c r="CT126" i="1"/>
  <c r="S126" i="1" s="1"/>
  <c r="CV126" i="1"/>
  <c r="FR126" i="1"/>
  <c r="GK126" i="1"/>
  <c r="GL126" i="1"/>
  <c r="GN126" i="1"/>
  <c r="GO126" i="1"/>
  <c r="GV126" i="1"/>
  <c r="HC126" i="1"/>
  <c r="GX126" i="1" s="1"/>
  <c r="T127" i="1"/>
  <c r="U127" i="1"/>
  <c r="AC127" i="1"/>
  <c r="AE127" i="1"/>
  <c r="CS127" i="1" s="1"/>
  <c r="AF127" i="1"/>
  <c r="AG127" i="1"/>
  <c r="CU127" i="1" s="1"/>
  <c r="AH127" i="1"/>
  <c r="CV127" i="1" s="1"/>
  <c r="AI127" i="1"/>
  <c r="AJ127" i="1"/>
  <c r="CQ127" i="1"/>
  <c r="CR127" i="1"/>
  <c r="CT127" i="1"/>
  <c r="CW127" i="1"/>
  <c r="CX127" i="1"/>
  <c r="CZ127" i="1"/>
  <c r="Y127" i="1" s="1"/>
  <c r="FR127" i="1"/>
  <c r="GL127" i="1"/>
  <c r="GN127" i="1"/>
  <c r="GO127" i="1"/>
  <c r="GV127" i="1"/>
  <c r="HC127" i="1" s="1"/>
  <c r="C128" i="1"/>
  <c r="D128" i="1"/>
  <c r="I128" i="1"/>
  <c r="K128" i="1"/>
  <c r="V128" i="1"/>
  <c r="AC128" i="1"/>
  <c r="CQ128" i="1" s="1"/>
  <c r="P128" i="1" s="1"/>
  <c r="CP128" i="1" s="1"/>
  <c r="O128" i="1" s="1"/>
  <c r="AE128" i="1"/>
  <c r="AD128" i="1" s="1"/>
  <c r="AB128" i="1" s="1"/>
  <c r="AF128" i="1"/>
  <c r="AG128" i="1"/>
  <c r="AH128" i="1"/>
  <c r="CV128" i="1" s="1"/>
  <c r="U128" i="1" s="1"/>
  <c r="AI128" i="1"/>
  <c r="AJ128" i="1"/>
  <c r="CX128" i="1" s="1"/>
  <c r="W128" i="1" s="1"/>
  <c r="CR128" i="1"/>
  <c r="Q128" i="1" s="1"/>
  <c r="CS128" i="1"/>
  <c r="R128" i="1" s="1"/>
  <c r="GK128" i="1" s="1"/>
  <c r="CT128" i="1"/>
  <c r="S128" i="1" s="1"/>
  <c r="CU128" i="1"/>
  <c r="T128" i="1" s="1"/>
  <c r="CW128" i="1"/>
  <c r="FR128" i="1"/>
  <c r="GL128" i="1"/>
  <c r="GN128" i="1"/>
  <c r="GO128" i="1"/>
  <c r="GV128" i="1"/>
  <c r="HC128" i="1"/>
  <c r="GX128" i="1" s="1"/>
  <c r="C129" i="1"/>
  <c r="D129" i="1"/>
  <c r="I129" i="1"/>
  <c r="CU79" i="3" s="1"/>
  <c r="K129" i="1"/>
  <c r="Q129" i="1"/>
  <c r="R129" i="1"/>
  <c r="GK129" i="1" s="1"/>
  <c r="S129" i="1"/>
  <c r="CP129" i="1" s="1"/>
  <c r="O129" i="1" s="1"/>
  <c r="AC129" i="1"/>
  <c r="CQ129" i="1" s="1"/>
  <c r="P129" i="1" s="1"/>
  <c r="AE129" i="1"/>
  <c r="CS129" i="1" s="1"/>
  <c r="AF129" i="1"/>
  <c r="CT129" i="1" s="1"/>
  <c r="AG129" i="1"/>
  <c r="AH129" i="1"/>
  <c r="AI129" i="1"/>
  <c r="AJ129" i="1"/>
  <c r="CX129" i="1" s="1"/>
  <c r="W129" i="1" s="1"/>
  <c r="CR129" i="1"/>
  <c r="CU129" i="1"/>
  <c r="T129" i="1" s="1"/>
  <c r="CV129" i="1"/>
  <c r="U129" i="1" s="1"/>
  <c r="CW129" i="1"/>
  <c r="V129" i="1" s="1"/>
  <c r="FR129" i="1"/>
  <c r="GL129" i="1"/>
  <c r="GN129" i="1"/>
  <c r="GO129" i="1"/>
  <c r="GV129" i="1"/>
  <c r="HC129" i="1" s="1"/>
  <c r="GX129" i="1" s="1"/>
  <c r="C130" i="1"/>
  <c r="D130" i="1"/>
  <c r="I130" i="1"/>
  <c r="K130" i="1"/>
  <c r="U130" i="1"/>
  <c r="AC130" i="1"/>
  <c r="AE130" i="1"/>
  <c r="AD130" i="1" s="1"/>
  <c r="AF130" i="1"/>
  <c r="CT130" i="1" s="1"/>
  <c r="AG130" i="1"/>
  <c r="AH130" i="1"/>
  <c r="CV130" i="1" s="1"/>
  <c r="AI130" i="1"/>
  <c r="CW130" i="1" s="1"/>
  <c r="V130" i="1" s="1"/>
  <c r="AJ130" i="1"/>
  <c r="CQ130" i="1"/>
  <c r="P130" i="1" s="1"/>
  <c r="CR130" i="1"/>
  <c r="Q130" i="1" s="1"/>
  <c r="CS130" i="1"/>
  <c r="R130" i="1" s="1"/>
  <c r="GK130" i="1" s="1"/>
  <c r="CU130" i="1"/>
  <c r="CX130" i="1"/>
  <c r="FR130" i="1"/>
  <c r="BY133" i="1" s="1"/>
  <c r="GL130" i="1"/>
  <c r="GN130" i="1"/>
  <c r="GO130" i="1"/>
  <c r="GV130" i="1"/>
  <c r="HC130" i="1" s="1"/>
  <c r="GX130" i="1" s="1"/>
  <c r="AC131" i="1"/>
  <c r="AD131" i="1"/>
  <c r="AE131" i="1"/>
  <c r="AF131" i="1"/>
  <c r="CT131" i="1" s="1"/>
  <c r="AG131" i="1"/>
  <c r="CU131" i="1" s="1"/>
  <c r="AH131" i="1"/>
  <c r="AI131" i="1"/>
  <c r="AJ131" i="1"/>
  <c r="CQ131" i="1"/>
  <c r="CR131" i="1"/>
  <c r="CS131" i="1"/>
  <c r="CV131" i="1"/>
  <c r="CW131" i="1"/>
  <c r="CX131" i="1"/>
  <c r="FR131" i="1"/>
  <c r="GL131" i="1"/>
  <c r="GN131" i="1"/>
  <c r="GO131" i="1"/>
  <c r="GV131" i="1"/>
  <c r="HC131" i="1"/>
  <c r="B133" i="1"/>
  <c r="B117" i="1" s="1"/>
  <c r="C133" i="1"/>
  <c r="C117" i="1" s="1"/>
  <c r="D133" i="1"/>
  <c r="D117" i="1" s="1"/>
  <c r="F133" i="1"/>
  <c r="F117" i="1" s="1"/>
  <c r="G133" i="1"/>
  <c r="G117" i="1" s="1"/>
  <c r="AO133" i="1"/>
  <c r="BX133" i="1"/>
  <c r="BX117" i="1" s="1"/>
  <c r="CK133" i="1"/>
  <c r="BB133" i="1" s="1"/>
  <c r="CL133" i="1"/>
  <c r="CL117" i="1" s="1"/>
  <c r="CM133" i="1"/>
  <c r="CM117" i="1" s="1"/>
  <c r="D163" i="1"/>
  <c r="E165" i="1"/>
  <c r="F165" i="1"/>
  <c r="G165" i="1"/>
  <c r="Z165" i="1"/>
  <c r="AA165" i="1"/>
  <c r="AM165" i="1"/>
  <c r="AN165" i="1"/>
  <c r="AT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BQ165" i="1"/>
  <c r="BR165" i="1"/>
  <c r="BS165" i="1"/>
  <c r="BT165" i="1"/>
  <c r="BU165" i="1"/>
  <c r="BV165" i="1"/>
  <c r="BW165" i="1"/>
  <c r="BY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EG165" i="1"/>
  <c r="EH165" i="1"/>
  <c r="EI165" i="1"/>
  <c r="EJ165" i="1"/>
  <c r="EK165" i="1"/>
  <c r="EL165" i="1"/>
  <c r="EM165" i="1"/>
  <c r="EN165" i="1"/>
  <c r="EO165" i="1"/>
  <c r="EP165" i="1"/>
  <c r="EQ165" i="1"/>
  <c r="ER165" i="1"/>
  <c r="ES165" i="1"/>
  <c r="ET165" i="1"/>
  <c r="EU165" i="1"/>
  <c r="EV165" i="1"/>
  <c r="EW165" i="1"/>
  <c r="EX165" i="1"/>
  <c r="EY165" i="1"/>
  <c r="EZ165" i="1"/>
  <c r="FA165" i="1"/>
  <c r="FB165" i="1"/>
  <c r="FC165" i="1"/>
  <c r="FD165" i="1"/>
  <c r="FE165" i="1"/>
  <c r="FF165" i="1"/>
  <c r="FG165" i="1"/>
  <c r="FH165" i="1"/>
  <c r="FI165" i="1"/>
  <c r="FJ165" i="1"/>
  <c r="FK165" i="1"/>
  <c r="FL165" i="1"/>
  <c r="FM165" i="1"/>
  <c r="FN165" i="1"/>
  <c r="FO165" i="1"/>
  <c r="FP165" i="1"/>
  <c r="FQ165" i="1"/>
  <c r="FR165" i="1"/>
  <c r="FS165" i="1"/>
  <c r="FT165" i="1"/>
  <c r="FU165" i="1"/>
  <c r="FV165" i="1"/>
  <c r="FW165" i="1"/>
  <c r="FX165" i="1"/>
  <c r="FY165" i="1"/>
  <c r="FZ165" i="1"/>
  <c r="GA165" i="1"/>
  <c r="GB165" i="1"/>
  <c r="GC165" i="1"/>
  <c r="GD165" i="1"/>
  <c r="GE165" i="1"/>
  <c r="GF165" i="1"/>
  <c r="GG165" i="1"/>
  <c r="GH165" i="1"/>
  <c r="GI165" i="1"/>
  <c r="GJ165" i="1"/>
  <c r="GK165" i="1"/>
  <c r="GL165" i="1"/>
  <c r="GM165" i="1"/>
  <c r="GN165" i="1"/>
  <c r="GO165" i="1"/>
  <c r="GP165" i="1"/>
  <c r="GQ165" i="1"/>
  <c r="GR165" i="1"/>
  <c r="GS165" i="1"/>
  <c r="GT165" i="1"/>
  <c r="GU165" i="1"/>
  <c r="GV165" i="1"/>
  <c r="GW165" i="1"/>
  <c r="GX165" i="1"/>
  <c r="C167" i="1"/>
  <c r="D167" i="1"/>
  <c r="I167" i="1"/>
  <c r="K167" i="1"/>
  <c r="P167" i="1"/>
  <c r="Q167" i="1"/>
  <c r="AB167" i="1"/>
  <c r="AC167" i="1"/>
  <c r="AD167" i="1"/>
  <c r="AE167" i="1"/>
  <c r="CS167" i="1" s="1"/>
  <c r="R167" i="1" s="1"/>
  <c r="AF167" i="1"/>
  <c r="AG167" i="1"/>
  <c r="AH167" i="1"/>
  <c r="AI167" i="1"/>
  <c r="CW167" i="1" s="1"/>
  <c r="V167" i="1" s="1"/>
  <c r="AI171" i="1" s="1"/>
  <c r="AJ167" i="1"/>
  <c r="CX167" i="1" s="1"/>
  <c r="W167" i="1" s="1"/>
  <c r="CQ167" i="1"/>
  <c r="CR167" i="1"/>
  <c r="CT167" i="1"/>
  <c r="S167" i="1" s="1"/>
  <c r="CU167" i="1"/>
  <c r="T167" i="1" s="1"/>
  <c r="CV167" i="1"/>
  <c r="U167" i="1" s="1"/>
  <c r="FR167" i="1"/>
  <c r="GL167" i="1"/>
  <c r="GN167" i="1"/>
  <c r="CB171" i="1" s="1"/>
  <c r="GO167" i="1"/>
  <c r="GV167" i="1"/>
  <c r="HC167" i="1" s="1"/>
  <c r="GX167" i="1" s="1"/>
  <c r="I168" i="1"/>
  <c r="V168" i="1"/>
  <c r="AC168" i="1"/>
  <c r="CQ168" i="1" s="1"/>
  <c r="P168" i="1" s="1"/>
  <c r="CP168" i="1" s="1"/>
  <c r="O168" i="1" s="1"/>
  <c r="AE168" i="1"/>
  <c r="AD168" i="1" s="1"/>
  <c r="AB168" i="1" s="1"/>
  <c r="AF168" i="1"/>
  <c r="AG168" i="1"/>
  <c r="AH168" i="1"/>
  <c r="CV168" i="1" s="1"/>
  <c r="U168" i="1" s="1"/>
  <c r="AI168" i="1"/>
  <c r="AJ168" i="1"/>
  <c r="CX168" i="1" s="1"/>
  <c r="W168" i="1" s="1"/>
  <c r="CR168" i="1"/>
  <c r="Q168" i="1" s="1"/>
  <c r="CS168" i="1"/>
  <c r="R168" i="1" s="1"/>
  <c r="GK168" i="1" s="1"/>
  <c r="CT168" i="1"/>
  <c r="S168" i="1" s="1"/>
  <c r="CU168" i="1"/>
  <c r="T168" i="1" s="1"/>
  <c r="CW168" i="1"/>
  <c r="FR168" i="1"/>
  <c r="GL168" i="1"/>
  <c r="BZ171" i="1" s="1"/>
  <c r="GN168" i="1"/>
  <c r="GO168" i="1"/>
  <c r="GV168" i="1"/>
  <c r="HC168" i="1"/>
  <c r="GX168" i="1" s="1"/>
  <c r="I169" i="1"/>
  <c r="T169" i="1" s="1"/>
  <c r="V169" i="1"/>
  <c r="AC169" i="1"/>
  <c r="AE169" i="1"/>
  <c r="AD169" i="1" s="1"/>
  <c r="AF169" i="1"/>
  <c r="CT169" i="1" s="1"/>
  <c r="S169" i="1" s="1"/>
  <c r="CY169" i="1" s="1"/>
  <c r="X169" i="1" s="1"/>
  <c r="AG169" i="1"/>
  <c r="AH169" i="1"/>
  <c r="CV169" i="1" s="1"/>
  <c r="U169" i="1" s="1"/>
  <c r="AI169" i="1"/>
  <c r="CW169" i="1" s="1"/>
  <c r="AJ169" i="1"/>
  <c r="CQ169" i="1"/>
  <c r="P169" i="1" s="1"/>
  <c r="CS169" i="1"/>
  <c r="R169" i="1" s="1"/>
  <c r="GK169" i="1" s="1"/>
  <c r="CU169" i="1"/>
  <c r="CX169" i="1"/>
  <c r="W169" i="1" s="1"/>
  <c r="FR169" i="1"/>
  <c r="BY171" i="1" s="1"/>
  <c r="AP171" i="1" s="1"/>
  <c r="GL169" i="1"/>
  <c r="GN169" i="1"/>
  <c r="GO169" i="1"/>
  <c r="GV169" i="1"/>
  <c r="HC169" i="1" s="1"/>
  <c r="GX169" i="1" s="1"/>
  <c r="B171" i="1"/>
  <c r="B165" i="1" s="1"/>
  <c r="C171" i="1"/>
  <c r="C165" i="1" s="1"/>
  <c r="D171" i="1"/>
  <c r="D165" i="1" s="1"/>
  <c r="F171" i="1"/>
  <c r="G171" i="1"/>
  <c r="AG171" i="1"/>
  <c r="BX171" i="1"/>
  <c r="AO171" i="1" s="1"/>
  <c r="AO165" i="1" s="1"/>
  <c r="CC171" i="1"/>
  <c r="AT171" i="1" s="1"/>
  <c r="F189" i="1" s="1"/>
  <c r="CK171" i="1"/>
  <c r="BB171" i="1" s="1"/>
  <c r="BB165" i="1" s="1"/>
  <c r="CL171" i="1"/>
  <c r="BC171" i="1" s="1"/>
  <c r="CM171" i="1"/>
  <c r="BD171" i="1" s="1"/>
  <c r="D201" i="1"/>
  <c r="E203" i="1"/>
  <c r="Z203" i="1"/>
  <c r="AA203" i="1"/>
  <c r="AM203" i="1"/>
  <c r="AN203" i="1"/>
  <c r="BE203" i="1"/>
  <c r="BF203" i="1"/>
  <c r="BG203" i="1"/>
  <c r="BH203" i="1"/>
  <c r="BI203" i="1"/>
  <c r="BJ203" i="1"/>
  <c r="BK203" i="1"/>
  <c r="BL203" i="1"/>
  <c r="BM203" i="1"/>
  <c r="BN203" i="1"/>
  <c r="BO203" i="1"/>
  <c r="BP203" i="1"/>
  <c r="BQ203" i="1"/>
  <c r="BR203" i="1"/>
  <c r="BS203" i="1"/>
  <c r="BT203" i="1"/>
  <c r="BU203" i="1"/>
  <c r="BV203" i="1"/>
  <c r="BW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EG203" i="1"/>
  <c r="EH203" i="1"/>
  <c r="EI203" i="1"/>
  <c r="EJ203" i="1"/>
  <c r="EK203" i="1"/>
  <c r="EL203" i="1"/>
  <c r="EM203" i="1"/>
  <c r="EN203" i="1"/>
  <c r="EO203" i="1"/>
  <c r="EP203" i="1"/>
  <c r="EQ203" i="1"/>
  <c r="ER203" i="1"/>
  <c r="ES203" i="1"/>
  <c r="ET203" i="1"/>
  <c r="EU203" i="1"/>
  <c r="EV203" i="1"/>
  <c r="EW203" i="1"/>
  <c r="EX203" i="1"/>
  <c r="EY203" i="1"/>
  <c r="EZ203" i="1"/>
  <c r="FA203" i="1"/>
  <c r="FB203" i="1"/>
  <c r="FC203" i="1"/>
  <c r="FD203" i="1"/>
  <c r="FE203" i="1"/>
  <c r="FF203" i="1"/>
  <c r="FG203" i="1"/>
  <c r="FH203" i="1"/>
  <c r="FI203" i="1"/>
  <c r="FJ203" i="1"/>
  <c r="FK203" i="1"/>
  <c r="FL203" i="1"/>
  <c r="FM203" i="1"/>
  <c r="FN203" i="1"/>
  <c r="FO203" i="1"/>
  <c r="FP203" i="1"/>
  <c r="FQ203" i="1"/>
  <c r="FR203" i="1"/>
  <c r="FS203" i="1"/>
  <c r="FT203" i="1"/>
  <c r="FU203" i="1"/>
  <c r="FV203" i="1"/>
  <c r="FW203" i="1"/>
  <c r="FX203" i="1"/>
  <c r="FY203" i="1"/>
  <c r="FZ203" i="1"/>
  <c r="GA203" i="1"/>
  <c r="GB203" i="1"/>
  <c r="GC203" i="1"/>
  <c r="GD203" i="1"/>
  <c r="GE203" i="1"/>
  <c r="GF203" i="1"/>
  <c r="GG203" i="1"/>
  <c r="GH203" i="1"/>
  <c r="GI203" i="1"/>
  <c r="GJ203" i="1"/>
  <c r="GK203" i="1"/>
  <c r="GL203" i="1"/>
  <c r="GM203" i="1"/>
  <c r="GN203" i="1"/>
  <c r="GO203" i="1"/>
  <c r="GP203" i="1"/>
  <c r="GQ203" i="1"/>
  <c r="GR203" i="1"/>
  <c r="GS203" i="1"/>
  <c r="GT203" i="1"/>
  <c r="GU203" i="1"/>
  <c r="GV203" i="1"/>
  <c r="GW203" i="1"/>
  <c r="GX203" i="1"/>
  <c r="C205" i="1"/>
  <c r="D205" i="1"/>
  <c r="I205" i="1"/>
  <c r="K205" i="1"/>
  <c r="Q205" i="1"/>
  <c r="AC205" i="1"/>
  <c r="AB205" i="1" s="1"/>
  <c r="AD205" i="1"/>
  <c r="AE205" i="1"/>
  <c r="AF205" i="1"/>
  <c r="CT205" i="1" s="1"/>
  <c r="S205" i="1" s="1"/>
  <c r="AG205" i="1"/>
  <c r="CU205" i="1" s="1"/>
  <c r="T205" i="1" s="1"/>
  <c r="AH205" i="1"/>
  <c r="AI205" i="1"/>
  <c r="AJ205" i="1"/>
  <c r="CQ205" i="1"/>
  <c r="P205" i="1" s="1"/>
  <c r="CP205" i="1" s="1"/>
  <c r="O205" i="1" s="1"/>
  <c r="CR205" i="1"/>
  <c r="CS205" i="1"/>
  <c r="R205" i="1" s="1"/>
  <c r="CV205" i="1"/>
  <c r="U205" i="1" s="1"/>
  <c r="CW205" i="1"/>
  <c r="V205" i="1" s="1"/>
  <c r="AI209" i="1" s="1"/>
  <c r="CX205" i="1"/>
  <c r="W205" i="1" s="1"/>
  <c r="FR205" i="1"/>
  <c r="GL205" i="1"/>
  <c r="GN205" i="1"/>
  <c r="GO205" i="1"/>
  <c r="GV205" i="1"/>
  <c r="HC205" i="1"/>
  <c r="GX205" i="1" s="1"/>
  <c r="I206" i="1"/>
  <c r="W206" i="1"/>
  <c r="AJ209" i="1" s="1"/>
  <c r="X206" i="1"/>
  <c r="Y206" i="1"/>
  <c r="AC206" i="1"/>
  <c r="AE206" i="1"/>
  <c r="CS206" i="1" s="1"/>
  <c r="R206" i="1" s="1"/>
  <c r="GK206" i="1" s="1"/>
  <c r="AF206" i="1"/>
  <c r="AG206" i="1"/>
  <c r="CU206" i="1" s="1"/>
  <c r="T206" i="1" s="1"/>
  <c r="AH206" i="1"/>
  <c r="CV206" i="1" s="1"/>
  <c r="U206" i="1" s="1"/>
  <c r="AI206" i="1"/>
  <c r="AJ206" i="1"/>
  <c r="CX206" i="1" s="1"/>
  <c r="CQ206" i="1"/>
  <c r="P206" i="1" s="1"/>
  <c r="CT206" i="1"/>
  <c r="S206" i="1" s="1"/>
  <c r="CW206" i="1"/>
  <c r="V206" i="1" s="1"/>
  <c r="CY206" i="1"/>
  <c r="CZ206" i="1"/>
  <c r="FR206" i="1"/>
  <c r="GL206" i="1"/>
  <c r="GN206" i="1"/>
  <c r="CB209" i="1" s="1"/>
  <c r="GO206" i="1"/>
  <c r="GV206" i="1"/>
  <c r="HC206" i="1"/>
  <c r="GX206" i="1" s="1"/>
  <c r="I207" i="1"/>
  <c r="W207" i="1"/>
  <c r="AC207" i="1"/>
  <c r="AB207" i="1" s="1"/>
  <c r="AE207" i="1"/>
  <c r="AD207" i="1" s="1"/>
  <c r="AF207" i="1"/>
  <c r="CT207" i="1" s="1"/>
  <c r="S207" i="1" s="1"/>
  <c r="AG207" i="1"/>
  <c r="CU207" i="1" s="1"/>
  <c r="T207" i="1" s="1"/>
  <c r="AH207" i="1"/>
  <c r="AI207" i="1"/>
  <c r="CW207" i="1" s="1"/>
  <c r="V207" i="1" s="1"/>
  <c r="AJ207" i="1"/>
  <c r="CQ207" i="1"/>
  <c r="P207" i="1" s="1"/>
  <c r="CP207" i="1" s="1"/>
  <c r="O207" i="1" s="1"/>
  <c r="CR207" i="1"/>
  <c r="Q207" i="1" s="1"/>
  <c r="CS207" i="1"/>
  <c r="R207" i="1" s="1"/>
  <c r="GK207" i="1" s="1"/>
  <c r="CV207" i="1"/>
  <c r="U207" i="1" s="1"/>
  <c r="CX207" i="1"/>
  <c r="FR207" i="1"/>
  <c r="BY209" i="1" s="1"/>
  <c r="GL207" i="1"/>
  <c r="GN207" i="1"/>
  <c r="GO207" i="1"/>
  <c r="GV207" i="1"/>
  <c r="HC207" i="1" s="1"/>
  <c r="GX207" i="1" s="1"/>
  <c r="B209" i="1"/>
  <c r="B203" i="1" s="1"/>
  <c r="C209" i="1"/>
  <c r="C203" i="1" s="1"/>
  <c r="D209" i="1"/>
  <c r="D203" i="1" s="1"/>
  <c r="F209" i="1"/>
  <c r="F203" i="1" s="1"/>
  <c r="G209" i="1"/>
  <c r="G203" i="1" s="1"/>
  <c r="BX209" i="1"/>
  <c r="BX203" i="1" s="1"/>
  <c r="BZ209" i="1"/>
  <c r="BZ203" i="1" s="1"/>
  <c r="CC209" i="1"/>
  <c r="CC203" i="1" s="1"/>
  <c r="CK209" i="1"/>
  <c r="CK203" i="1" s="1"/>
  <c r="CL209" i="1"/>
  <c r="CL203" i="1" s="1"/>
  <c r="CM209" i="1"/>
  <c r="CM203" i="1" s="1"/>
  <c r="B239" i="1"/>
  <c r="B26" i="1" s="1"/>
  <c r="C239" i="1"/>
  <c r="C26" i="1" s="1"/>
  <c r="D239" i="1"/>
  <c r="D26" i="1" s="1"/>
  <c r="F239" i="1"/>
  <c r="F26" i="1" s="1"/>
  <c r="G239" i="1"/>
  <c r="G26" i="1" s="1"/>
  <c r="D269" i="1"/>
  <c r="E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BE271" i="1"/>
  <c r="BF271" i="1"/>
  <c r="BG271" i="1"/>
  <c r="BH271" i="1"/>
  <c r="BI271" i="1"/>
  <c r="BJ271" i="1"/>
  <c r="BK271" i="1"/>
  <c r="BL271" i="1"/>
  <c r="BM271" i="1"/>
  <c r="BN271" i="1"/>
  <c r="BO271" i="1"/>
  <c r="BP271" i="1"/>
  <c r="BQ271" i="1"/>
  <c r="BR271" i="1"/>
  <c r="BS271" i="1"/>
  <c r="BT271" i="1"/>
  <c r="BU271" i="1"/>
  <c r="BV271" i="1"/>
  <c r="BW271" i="1"/>
  <c r="BX271" i="1"/>
  <c r="BY271" i="1"/>
  <c r="BZ271" i="1"/>
  <c r="CA271" i="1"/>
  <c r="CB271" i="1"/>
  <c r="CC271" i="1"/>
  <c r="CD271" i="1"/>
  <c r="CE271" i="1"/>
  <c r="CF271" i="1"/>
  <c r="CG271" i="1"/>
  <c r="CH271" i="1"/>
  <c r="CI271" i="1"/>
  <c r="CJ271" i="1"/>
  <c r="CK271" i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EG271" i="1"/>
  <c r="EH271" i="1"/>
  <c r="EI271" i="1"/>
  <c r="EJ271" i="1"/>
  <c r="EK271" i="1"/>
  <c r="EL271" i="1"/>
  <c r="EM271" i="1"/>
  <c r="EN271" i="1"/>
  <c r="EO271" i="1"/>
  <c r="EP271" i="1"/>
  <c r="EQ271" i="1"/>
  <c r="ER271" i="1"/>
  <c r="ES271" i="1"/>
  <c r="ET271" i="1"/>
  <c r="EU271" i="1"/>
  <c r="EV271" i="1"/>
  <c r="EW271" i="1"/>
  <c r="EX271" i="1"/>
  <c r="EY271" i="1"/>
  <c r="EZ271" i="1"/>
  <c r="FA271" i="1"/>
  <c r="FB271" i="1"/>
  <c r="FC271" i="1"/>
  <c r="FD271" i="1"/>
  <c r="FE271" i="1"/>
  <c r="FF271" i="1"/>
  <c r="FG271" i="1"/>
  <c r="FH271" i="1"/>
  <c r="FI271" i="1"/>
  <c r="FJ271" i="1"/>
  <c r="FK271" i="1"/>
  <c r="FL271" i="1"/>
  <c r="FM271" i="1"/>
  <c r="FN271" i="1"/>
  <c r="FO271" i="1"/>
  <c r="FP271" i="1"/>
  <c r="FQ271" i="1"/>
  <c r="FR271" i="1"/>
  <c r="FS271" i="1"/>
  <c r="FT271" i="1"/>
  <c r="FU271" i="1"/>
  <c r="FV271" i="1"/>
  <c r="FW271" i="1"/>
  <c r="FX271" i="1"/>
  <c r="FY271" i="1"/>
  <c r="FZ271" i="1"/>
  <c r="GA271" i="1"/>
  <c r="GB271" i="1"/>
  <c r="GC271" i="1"/>
  <c r="GD271" i="1"/>
  <c r="GE271" i="1"/>
  <c r="GF271" i="1"/>
  <c r="GG271" i="1"/>
  <c r="GH271" i="1"/>
  <c r="GI271" i="1"/>
  <c r="GJ271" i="1"/>
  <c r="GK271" i="1"/>
  <c r="GL271" i="1"/>
  <c r="GM271" i="1"/>
  <c r="GN271" i="1"/>
  <c r="GO271" i="1"/>
  <c r="GP271" i="1"/>
  <c r="GQ271" i="1"/>
  <c r="GR271" i="1"/>
  <c r="GS271" i="1"/>
  <c r="GT271" i="1"/>
  <c r="GU271" i="1"/>
  <c r="GV271" i="1"/>
  <c r="GW271" i="1"/>
  <c r="GX271" i="1"/>
  <c r="D273" i="1"/>
  <c r="E275" i="1"/>
  <c r="F275" i="1"/>
  <c r="G275" i="1"/>
  <c r="Z275" i="1"/>
  <c r="AA275" i="1"/>
  <c r="AM275" i="1"/>
  <c r="AN275" i="1"/>
  <c r="BE275" i="1"/>
  <c r="BF275" i="1"/>
  <c r="BG275" i="1"/>
  <c r="BH275" i="1"/>
  <c r="BI275" i="1"/>
  <c r="BJ275" i="1"/>
  <c r="BK275" i="1"/>
  <c r="BL275" i="1"/>
  <c r="BM275" i="1"/>
  <c r="BN275" i="1"/>
  <c r="BO275" i="1"/>
  <c r="BP275" i="1"/>
  <c r="BQ275" i="1"/>
  <c r="BR275" i="1"/>
  <c r="BS275" i="1"/>
  <c r="BT275" i="1"/>
  <c r="BU275" i="1"/>
  <c r="BV275" i="1"/>
  <c r="BW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EG275" i="1"/>
  <c r="EH275" i="1"/>
  <c r="EI275" i="1"/>
  <c r="EJ275" i="1"/>
  <c r="EK275" i="1"/>
  <c r="EL275" i="1"/>
  <c r="EM275" i="1"/>
  <c r="EN275" i="1"/>
  <c r="EO275" i="1"/>
  <c r="EP275" i="1"/>
  <c r="EQ275" i="1"/>
  <c r="ER275" i="1"/>
  <c r="ES275" i="1"/>
  <c r="ET275" i="1"/>
  <c r="EU275" i="1"/>
  <c r="EV275" i="1"/>
  <c r="EW275" i="1"/>
  <c r="EX275" i="1"/>
  <c r="EY275" i="1"/>
  <c r="EZ275" i="1"/>
  <c r="FA275" i="1"/>
  <c r="FB275" i="1"/>
  <c r="FC275" i="1"/>
  <c r="FD275" i="1"/>
  <c r="FE275" i="1"/>
  <c r="FF275" i="1"/>
  <c r="FG275" i="1"/>
  <c r="FH275" i="1"/>
  <c r="FI275" i="1"/>
  <c r="FJ275" i="1"/>
  <c r="FK275" i="1"/>
  <c r="FL275" i="1"/>
  <c r="FM275" i="1"/>
  <c r="FN275" i="1"/>
  <c r="FO275" i="1"/>
  <c r="FP275" i="1"/>
  <c r="FQ275" i="1"/>
  <c r="FR275" i="1"/>
  <c r="FS275" i="1"/>
  <c r="FT275" i="1"/>
  <c r="FU275" i="1"/>
  <c r="FV275" i="1"/>
  <c r="FW275" i="1"/>
  <c r="FX275" i="1"/>
  <c r="FY275" i="1"/>
  <c r="FZ275" i="1"/>
  <c r="GA275" i="1"/>
  <c r="GB275" i="1"/>
  <c r="GC275" i="1"/>
  <c r="GD275" i="1"/>
  <c r="GE275" i="1"/>
  <c r="GF275" i="1"/>
  <c r="GG275" i="1"/>
  <c r="GH275" i="1"/>
  <c r="GI275" i="1"/>
  <c r="GJ275" i="1"/>
  <c r="GK275" i="1"/>
  <c r="GL275" i="1"/>
  <c r="GM275" i="1"/>
  <c r="GN275" i="1"/>
  <c r="GO275" i="1"/>
  <c r="GP275" i="1"/>
  <c r="GQ275" i="1"/>
  <c r="GR275" i="1"/>
  <c r="GS275" i="1"/>
  <c r="GT275" i="1"/>
  <c r="GU275" i="1"/>
  <c r="GV275" i="1"/>
  <c r="GW275" i="1"/>
  <c r="GX275" i="1"/>
  <c r="C277" i="1"/>
  <c r="D277" i="1"/>
  <c r="I277" i="1"/>
  <c r="S277" i="1" s="1"/>
  <c r="K277" i="1"/>
  <c r="Q277" i="1"/>
  <c r="AC277" i="1"/>
  <c r="AE277" i="1"/>
  <c r="AD277" i="1" s="1"/>
  <c r="AB277" i="1" s="1"/>
  <c r="AF277" i="1"/>
  <c r="AG277" i="1"/>
  <c r="AH277" i="1"/>
  <c r="AI277" i="1"/>
  <c r="AJ277" i="1"/>
  <c r="CX277" i="1" s="1"/>
  <c r="W277" i="1" s="1"/>
  <c r="CQ277" i="1"/>
  <c r="P277" i="1" s="1"/>
  <c r="CR277" i="1"/>
  <c r="CT277" i="1"/>
  <c r="CU277" i="1"/>
  <c r="CV277" i="1"/>
  <c r="U277" i="1" s="1"/>
  <c r="CW277" i="1"/>
  <c r="V277" i="1" s="1"/>
  <c r="FR277" i="1"/>
  <c r="GL277" i="1"/>
  <c r="GN277" i="1"/>
  <c r="GO277" i="1"/>
  <c r="GV277" i="1"/>
  <c r="HC277" i="1" s="1"/>
  <c r="GX277" i="1" s="1"/>
  <c r="CJ290" i="1" s="1"/>
  <c r="C278" i="1"/>
  <c r="D278" i="1"/>
  <c r="I278" i="1"/>
  <c r="V278" i="1" s="1"/>
  <c r="K278" i="1"/>
  <c r="AC278" i="1"/>
  <c r="AE278" i="1"/>
  <c r="AD278" i="1" s="1"/>
  <c r="AF278" i="1"/>
  <c r="AG278" i="1"/>
  <c r="AH278" i="1"/>
  <c r="CV278" i="1" s="1"/>
  <c r="U278" i="1" s="1"/>
  <c r="AI278" i="1"/>
  <c r="AJ278" i="1"/>
  <c r="CQ278" i="1"/>
  <c r="P278" i="1" s="1"/>
  <c r="CP278" i="1" s="1"/>
  <c r="O278" i="1" s="1"/>
  <c r="CR278" i="1"/>
  <c r="Q278" i="1" s="1"/>
  <c r="CT278" i="1"/>
  <c r="S278" i="1" s="1"/>
  <c r="CU278" i="1"/>
  <c r="CW278" i="1"/>
  <c r="CX278" i="1"/>
  <c r="FR278" i="1"/>
  <c r="GL278" i="1"/>
  <c r="GN278" i="1"/>
  <c r="GO278" i="1"/>
  <c r="GV278" i="1"/>
  <c r="HC278" i="1" s="1"/>
  <c r="GX278" i="1" s="1"/>
  <c r="C279" i="1"/>
  <c r="D279" i="1"/>
  <c r="I279" i="1"/>
  <c r="K279" i="1"/>
  <c r="Q279" i="1"/>
  <c r="R279" i="1"/>
  <c r="W279" i="1"/>
  <c r="AC279" i="1"/>
  <c r="AE279" i="1"/>
  <c r="AD279" i="1" s="1"/>
  <c r="AF279" i="1"/>
  <c r="AG279" i="1"/>
  <c r="AH279" i="1"/>
  <c r="CV279" i="1" s="1"/>
  <c r="U279" i="1" s="1"/>
  <c r="AI279" i="1"/>
  <c r="AJ279" i="1"/>
  <c r="CR279" i="1"/>
  <c r="CS279" i="1"/>
  <c r="CT279" i="1"/>
  <c r="S279" i="1" s="1"/>
  <c r="CU279" i="1"/>
  <c r="T279" i="1" s="1"/>
  <c r="CW279" i="1"/>
  <c r="V279" i="1" s="1"/>
  <c r="CX279" i="1"/>
  <c r="FR279" i="1"/>
  <c r="GK279" i="1"/>
  <c r="GL279" i="1"/>
  <c r="BZ290" i="1" s="1"/>
  <c r="GN279" i="1"/>
  <c r="GO279" i="1"/>
  <c r="GV279" i="1"/>
  <c r="HC279" i="1"/>
  <c r="GX279" i="1" s="1"/>
  <c r="I280" i="1"/>
  <c r="U280" i="1" s="1"/>
  <c r="AC280" i="1"/>
  <c r="AE280" i="1"/>
  <c r="AD280" i="1" s="1"/>
  <c r="AF280" i="1"/>
  <c r="CT280" i="1" s="1"/>
  <c r="S280" i="1" s="1"/>
  <c r="AG280" i="1"/>
  <c r="AH280" i="1"/>
  <c r="AI280" i="1"/>
  <c r="CW280" i="1" s="1"/>
  <c r="V280" i="1" s="1"/>
  <c r="AJ280" i="1"/>
  <c r="CR280" i="1"/>
  <c r="Q280" i="1" s="1"/>
  <c r="CS280" i="1"/>
  <c r="R280" i="1" s="1"/>
  <c r="GK280" i="1" s="1"/>
  <c r="CU280" i="1"/>
  <c r="T280" i="1" s="1"/>
  <c r="CV280" i="1"/>
  <c r="CX280" i="1"/>
  <c r="FR280" i="1"/>
  <c r="BY290" i="1" s="1"/>
  <c r="GL280" i="1"/>
  <c r="GN280" i="1"/>
  <c r="GO280" i="1"/>
  <c r="GV280" i="1"/>
  <c r="HC280" i="1" s="1"/>
  <c r="GX280" i="1" s="1"/>
  <c r="I281" i="1"/>
  <c r="U281" i="1" s="1"/>
  <c r="S281" i="1"/>
  <c r="CZ281" i="1" s="1"/>
  <c r="Y281" i="1" s="1"/>
  <c r="V281" i="1"/>
  <c r="AC281" i="1"/>
  <c r="AB281" i="1" s="1"/>
  <c r="AD281" i="1"/>
  <c r="AE281" i="1"/>
  <c r="AF281" i="1"/>
  <c r="AG281" i="1"/>
  <c r="CU281" i="1" s="1"/>
  <c r="T281" i="1" s="1"/>
  <c r="AH281" i="1"/>
  <c r="AI281" i="1"/>
  <c r="AJ281" i="1"/>
  <c r="CQ281" i="1"/>
  <c r="P281" i="1" s="1"/>
  <c r="CR281" i="1"/>
  <c r="Q281" i="1" s="1"/>
  <c r="CS281" i="1"/>
  <c r="R281" i="1" s="1"/>
  <c r="GK281" i="1" s="1"/>
  <c r="CT281" i="1"/>
  <c r="CV281" i="1"/>
  <c r="CW281" i="1"/>
  <c r="CX281" i="1"/>
  <c r="W281" i="1" s="1"/>
  <c r="CY281" i="1"/>
  <c r="X281" i="1" s="1"/>
  <c r="FR281" i="1"/>
  <c r="GL281" i="1"/>
  <c r="GN281" i="1"/>
  <c r="GO281" i="1"/>
  <c r="CC290" i="1" s="1"/>
  <c r="GV281" i="1"/>
  <c r="HC281" i="1"/>
  <c r="GX281" i="1" s="1"/>
  <c r="C282" i="1"/>
  <c r="D282" i="1"/>
  <c r="I282" i="1"/>
  <c r="K282" i="1"/>
  <c r="P282" i="1"/>
  <c r="Q282" i="1"/>
  <c r="V282" i="1"/>
  <c r="AC282" i="1"/>
  <c r="AE282" i="1"/>
  <c r="AD282" i="1" s="1"/>
  <c r="AB282" i="1" s="1"/>
  <c r="AF282" i="1"/>
  <c r="AG282" i="1"/>
  <c r="CU282" i="1" s="1"/>
  <c r="T282" i="1" s="1"/>
  <c r="AH282" i="1"/>
  <c r="AI282" i="1"/>
  <c r="AJ282" i="1"/>
  <c r="CX282" i="1" s="1"/>
  <c r="W282" i="1" s="1"/>
  <c r="CQ282" i="1"/>
  <c r="CR282" i="1"/>
  <c r="CS282" i="1"/>
  <c r="R282" i="1" s="1"/>
  <c r="GK282" i="1" s="1"/>
  <c r="CT282" i="1"/>
  <c r="S282" i="1" s="1"/>
  <c r="CV282" i="1"/>
  <c r="U282" i="1" s="1"/>
  <c r="CW282" i="1"/>
  <c r="FR282" i="1"/>
  <c r="GL282" i="1"/>
  <c r="GN282" i="1"/>
  <c r="GO282" i="1"/>
  <c r="GV282" i="1"/>
  <c r="HC282" i="1"/>
  <c r="GX282" i="1" s="1"/>
  <c r="I283" i="1"/>
  <c r="T283" i="1"/>
  <c r="V283" i="1"/>
  <c r="W283" i="1"/>
  <c r="AC283" i="1"/>
  <c r="AB283" i="1" s="1"/>
  <c r="AE283" i="1"/>
  <c r="AD283" i="1" s="1"/>
  <c r="AF283" i="1"/>
  <c r="AG283" i="1"/>
  <c r="AH283" i="1"/>
  <c r="CV283" i="1" s="1"/>
  <c r="U283" i="1" s="1"/>
  <c r="AI283" i="1"/>
  <c r="AJ283" i="1"/>
  <c r="CQ283" i="1"/>
  <c r="P283" i="1" s="1"/>
  <c r="CR283" i="1"/>
  <c r="Q283" i="1" s="1"/>
  <c r="CT283" i="1"/>
  <c r="S283" i="1" s="1"/>
  <c r="CU283" i="1"/>
  <c r="CW283" i="1"/>
  <c r="CX283" i="1"/>
  <c r="FR283" i="1"/>
  <c r="GL283" i="1"/>
  <c r="GN283" i="1"/>
  <c r="GO283" i="1"/>
  <c r="GV283" i="1"/>
  <c r="HC283" i="1" s="1"/>
  <c r="GX283" i="1" s="1"/>
  <c r="I284" i="1"/>
  <c r="U284" i="1" s="1"/>
  <c r="R284" i="1"/>
  <c r="GK284" i="1" s="1"/>
  <c r="AC284" i="1"/>
  <c r="AE284" i="1"/>
  <c r="AD284" i="1" s="1"/>
  <c r="AF284" i="1"/>
  <c r="CT284" i="1" s="1"/>
  <c r="S284" i="1" s="1"/>
  <c r="AG284" i="1"/>
  <c r="AH284" i="1"/>
  <c r="AI284" i="1"/>
  <c r="AJ284" i="1"/>
  <c r="CR284" i="1"/>
  <c r="Q284" i="1" s="1"/>
  <c r="CS284" i="1"/>
  <c r="CU284" i="1"/>
  <c r="CV284" i="1"/>
  <c r="CW284" i="1"/>
  <c r="V284" i="1" s="1"/>
  <c r="CX284" i="1"/>
  <c r="W284" i="1" s="1"/>
  <c r="FR284" i="1"/>
  <c r="GL284" i="1"/>
  <c r="GN284" i="1"/>
  <c r="GO284" i="1"/>
  <c r="GV284" i="1"/>
  <c r="HC284" i="1" s="1"/>
  <c r="GX284" i="1" s="1"/>
  <c r="C285" i="1"/>
  <c r="D285" i="1"/>
  <c r="I285" i="1"/>
  <c r="K285" i="1"/>
  <c r="U285" i="1"/>
  <c r="AC285" i="1"/>
  <c r="AE285" i="1"/>
  <c r="AD285" i="1" s="1"/>
  <c r="AF285" i="1"/>
  <c r="CT285" i="1" s="1"/>
  <c r="S285" i="1" s="1"/>
  <c r="AG285" i="1"/>
  <c r="AH285" i="1"/>
  <c r="AI285" i="1"/>
  <c r="CW285" i="1" s="1"/>
  <c r="V285" i="1" s="1"/>
  <c r="AJ285" i="1"/>
  <c r="CR285" i="1"/>
  <c r="Q285" i="1" s="1"/>
  <c r="CS285" i="1"/>
  <c r="R285" i="1" s="1"/>
  <c r="GK285" i="1" s="1"/>
  <c r="CU285" i="1"/>
  <c r="T285" i="1" s="1"/>
  <c r="CV285" i="1"/>
  <c r="CX285" i="1"/>
  <c r="W285" i="1" s="1"/>
  <c r="FR285" i="1"/>
  <c r="GL285" i="1"/>
  <c r="GN285" i="1"/>
  <c r="GO285" i="1"/>
  <c r="GV285" i="1"/>
  <c r="HC285" i="1" s="1"/>
  <c r="GX285" i="1" s="1"/>
  <c r="C286" i="1"/>
  <c r="D286" i="1"/>
  <c r="I286" i="1"/>
  <c r="K286" i="1"/>
  <c r="P286" i="1"/>
  <c r="Q286" i="1"/>
  <c r="AC286" i="1"/>
  <c r="AB286" i="1" s="1"/>
  <c r="AD286" i="1"/>
  <c r="AE286" i="1"/>
  <c r="AF286" i="1"/>
  <c r="CT286" i="1" s="1"/>
  <c r="S286" i="1" s="1"/>
  <c r="AG286" i="1"/>
  <c r="AH286" i="1"/>
  <c r="AI286" i="1"/>
  <c r="CW286" i="1" s="1"/>
  <c r="V286" i="1" s="1"/>
  <c r="AJ286" i="1"/>
  <c r="CQ286" i="1"/>
  <c r="CR286" i="1"/>
  <c r="CS286" i="1"/>
  <c r="R286" i="1" s="1"/>
  <c r="GK286" i="1" s="1"/>
  <c r="CU286" i="1"/>
  <c r="T286" i="1" s="1"/>
  <c r="CV286" i="1"/>
  <c r="U286" i="1" s="1"/>
  <c r="CX286" i="1"/>
  <c r="W286" i="1" s="1"/>
  <c r="FR286" i="1"/>
  <c r="GL286" i="1"/>
  <c r="GN286" i="1"/>
  <c r="GO286" i="1"/>
  <c r="GV286" i="1"/>
  <c r="GX286" i="1"/>
  <c r="HC286" i="1"/>
  <c r="C287" i="1"/>
  <c r="D287" i="1"/>
  <c r="I287" i="1"/>
  <c r="K287" i="1"/>
  <c r="AC287" i="1"/>
  <c r="AB287" i="1" s="1"/>
  <c r="AD287" i="1"/>
  <c r="AE287" i="1"/>
  <c r="AF287" i="1"/>
  <c r="CT287" i="1" s="1"/>
  <c r="S287" i="1" s="1"/>
  <c r="AG287" i="1"/>
  <c r="CU287" i="1" s="1"/>
  <c r="T287" i="1" s="1"/>
  <c r="AH287" i="1"/>
  <c r="AI287" i="1"/>
  <c r="CW287" i="1" s="1"/>
  <c r="V287" i="1" s="1"/>
  <c r="AJ287" i="1"/>
  <c r="CQ287" i="1"/>
  <c r="P287" i="1" s="1"/>
  <c r="CR287" i="1"/>
  <c r="Q287" i="1" s="1"/>
  <c r="CS287" i="1"/>
  <c r="R287" i="1" s="1"/>
  <c r="GK287" i="1" s="1"/>
  <c r="CV287" i="1"/>
  <c r="U287" i="1" s="1"/>
  <c r="CX287" i="1"/>
  <c r="W287" i="1" s="1"/>
  <c r="FR287" i="1"/>
  <c r="GL287" i="1"/>
  <c r="GN287" i="1"/>
  <c r="GO287" i="1"/>
  <c r="GV287" i="1"/>
  <c r="GX287" i="1"/>
  <c r="HC287" i="1"/>
  <c r="C288" i="1"/>
  <c r="D288" i="1"/>
  <c r="I288" i="1"/>
  <c r="K288" i="1"/>
  <c r="Q288" i="1"/>
  <c r="AC288" i="1"/>
  <c r="AD288" i="1"/>
  <c r="AE288" i="1"/>
  <c r="AF288" i="1"/>
  <c r="AB288" i="1" s="1"/>
  <c r="AG288" i="1"/>
  <c r="CU288" i="1" s="1"/>
  <c r="T288" i="1" s="1"/>
  <c r="AH288" i="1"/>
  <c r="AI288" i="1"/>
  <c r="CW288" i="1" s="1"/>
  <c r="V288" i="1" s="1"/>
  <c r="AJ288" i="1"/>
  <c r="CX288" i="1" s="1"/>
  <c r="W288" i="1" s="1"/>
  <c r="CQ288" i="1"/>
  <c r="P288" i="1" s="1"/>
  <c r="CP288" i="1" s="1"/>
  <c r="O288" i="1" s="1"/>
  <c r="CR288" i="1"/>
  <c r="CS288" i="1"/>
  <c r="R288" i="1" s="1"/>
  <c r="GK288" i="1" s="1"/>
  <c r="CT288" i="1"/>
  <c r="S288" i="1" s="1"/>
  <c r="CV288" i="1"/>
  <c r="U288" i="1" s="1"/>
  <c r="FR288" i="1"/>
  <c r="GL288" i="1"/>
  <c r="GN288" i="1"/>
  <c r="GO288" i="1"/>
  <c r="GV288" i="1"/>
  <c r="HC288" i="1"/>
  <c r="GX288" i="1" s="1"/>
  <c r="B290" i="1"/>
  <c r="B275" i="1" s="1"/>
  <c r="C290" i="1"/>
  <c r="C275" i="1" s="1"/>
  <c r="D290" i="1"/>
  <c r="D275" i="1" s="1"/>
  <c r="F290" i="1"/>
  <c r="G290" i="1"/>
  <c r="BX290" i="1"/>
  <c r="AO290" i="1" s="1"/>
  <c r="CB290" i="1"/>
  <c r="CK290" i="1"/>
  <c r="CK275" i="1" s="1"/>
  <c r="CL290" i="1"/>
  <c r="BC290" i="1" s="1"/>
  <c r="CM290" i="1"/>
  <c r="BD290" i="1" s="1"/>
  <c r="D320" i="1"/>
  <c r="B322" i="1"/>
  <c r="E322" i="1"/>
  <c r="Z322" i="1"/>
  <c r="AA322" i="1"/>
  <c r="AM322" i="1"/>
  <c r="AN322" i="1"/>
  <c r="BE322" i="1"/>
  <c r="BF322" i="1"/>
  <c r="BG322" i="1"/>
  <c r="BH322" i="1"/>
  <c r="BI322" i="1"/>
  <c r="BJ322" i="1"/>
  <c r="BK322" i="1"/>
  <c r="BL322" i="1"/>
  <c r="BM322" i="1"/>
  <c r="BN322" i="1"/>
  <c r="BO322" i="1"/>
  <c r="BP322" i="1"/>
  <c r="BQ322" i="1"/>
  <c r="BR322" i="1"/>
  <c r="BS322" i="1"/>
  <c r="BT322" i="1"/>
  <c r="BU322" i="1"/>
  <c r="BV322" i="1"/>
  <c r="BW322" i="1"/>
  <c r="CK322" i="1"/>
  <c r="CN322" i="1"/>
  <c r="CO322" i="1"/>
  <c r="CP322" i="1"/>
  <c r="CQ322" i="1"/>
  <c r="CR322" i="1"/>
  <c r="CS322" i="1"/>
  <c r="CT322" i="1"/>
  <c r="CU322" i="1"/>
  <c r="CV322" i="1"/>
  <c r="CW322" i="1"/>
  <c r="CX322" i="1"/>
  <c r="CY322" i="1"/>
  <c r="CZ322" i="1"/>
  <c r="DA322" i="1"/>
  <c r="DB322" i="1"/>
  <c r="DC322" i="1"/>
  <c r="DD322" i="1"/>
  <c r="DE322" i="1"/>
  <c r="DF322" i="1"/>
  <c r="DG322" i="1"/>
  <c r="DH322" i="1"/>
  <c r="DI322" i="1"/>
  <c r="DJ322" i="1"/>
  <c r="DK322" i="1"/>
  <c r="DL322" i="1"/>
  <c r="DM322" i="1"/>
  <c r="DN322" i="1"/>
  <c r="DO322" i="1"/>
  <c r="DP322" i="1"/>
  <c r="DQ322" i="1"/>
  <c r="DR322" i="1"/>
  <c r="DS322" i="1"/>
  <c r="DT322" i="1"/>
  <c r="DU322" i="1"/>
  <c r="DV322" i="1"/>
  <c r="DW322" i="1"/>
  <c r="DX322" i="1"/>
  <c r="DY322" i="1"/>
  <c r="DZ322" i="1"/>
  <c r="EA322" i="1"/>
  <c r="EB322" i="1"/>
  <c r="EC322" i="1"/>
  <c r="ED322" i="1"/>
  <c r="EE322" i="1"/>
  <c r="EF322" i="1"/>
  <c r="EG322" i="1"/>
  <c r="EH322" i="1"/>
  <c r="EI322" i="1"/>
  <c r="EJ322" i="1"/>
  <c r="EK322" i="1"/>
  <c r="EL322" i="1"/>
  <c r="EM322" i="1"/>
  <c r="EN322" i="1"/>
  <c r="EO322" i="1"/>
  <c r="EP322" i="1"/>
  <c r="EQ322" i="1"/>
  <c r="ER322" i="1"/>
  <c r="ES322" i="1"/>
  <c r="ET322" i="1"/>
  <c r="EU322" i="1"/>
  <c r="EV322" i="1"/>
  <c r="EW322" i="1"/>
  <c r="EX322" i="1"/>
  <c r="EY322" i="1"/>
  <c r="EZ322" i="1"/>
  <c r="FA322" i="1"/>
  <c r="FB322" i="1"/>
  <c r="FC322" i="1"/>
  <c r="FD322" i="1"/>
  <c r="FE322" i="1"/>
  <c r="FF322" i="1"/>
  <c r="FG322" i="1"/>
  <c r="FH322" i="1"/>
  <c r="FI322" i="1"/>
  <c r="FJ322" i="1"/>
  <c r="FK322" i="1"/>
  <c r="FL322" i="1"/>
  <c r="FM322" i="1"/>
  <c r="FN322" i="1"/>
  <c r="FO322" i="1"/>
  <c r="FP322" i="1"/>
  <c r="FQ322" i="1"/>
  <c r="FR322" i="1"/>
  <c r="FS322" i="1"/>
  <c r="FT322" i="1"/>
  <c r="FU322" i="1"/>
  <c r="FV322" i="1"/>
  <c r="FW322" i="1"/>
  <c r="FX322" i="1"/>
  <c r="FY322" i="1"/>
  <c r="FZ322" i="1"/>
  <c r="GA322" i="1"/>
  <c r="GB322" i="1"/>
  <c r="GC322" i="1"/>
  <c r="GD322" i="1"/>
  <c r="GE322" i="1"/>
  <c r="GF322" i="1"/>
  <c r="GG322" i="1"/>
  <c r="GH322" i="1"/>
  <c r="GI322" i="1"/>
  <c r="GJ322" i="1"/>
  <c r="GK322" i="1"/>
  <c r="GL322" i="1"/>
  <c r="GM322" i="1"/>
  <c r="GN322" i="1"/>
  <c r="GO322" i="1"/>
  <c r="GP322" i="1"/>
  <c r="GQ322" i="1"/>
  <c r="GR322" i="1"/>
  <c r="GS322" i="1"/>
  <c r="GT322" i="1"/>
  <c r="GU322" i="1"/>
  <c r="GV322" i="1"/>
  <c r="GW322" i="1"/>
  <c r="GX322" i="1"/>
  <c r="C324" i="1"/>
  <c r="D324" i="1"/>
  <c r="I324" i="1"/>
  <c r="U324" i="1" s="1"/>
  <c r="K324" i="1"/>
  <c r="AC324" i="1"/>
  <c r="AD324" i="1"/>
  <c r="AB324" i="1" s="1"/>
  <c r="AE324" i="1"/>
  <c r="CS324" i="1" s="1"/>
  <c r="AF324" i="1"/>
  <c r="AG324" i="1"/>
  <c r="CU324" i="1" s="1"/>
  <c r="T324" i="1" s="1"/>
  <c r="AH324" i="1"/>
  <c r="CV324" i="1" s="1"/>
  <c r="AI324" i="1"/>
  <c r="AJ324" i="1"/>
  <c r="CX324" i="1" s="1"/>
  <c r="CQ324" i="1"/>
  <c r="P324" i="1" s="1"/>
  <c r="CR324" i="1"/>
  <c r="Q324" i="1" s="1"/>
  <c r="CT324" i="1"/>
  <c r="CW324" i="1"/>
  <c r="V324" i="1" s="1"/>
  <c r="FR324" i="1"/>
  <c r="GL324" i="1"/>
  <c r="GN324" i="1"/>
  <c r="GO324" i="1"/>
  <c r="GV324" i="1"/>
  <c r="HC324" i="1" s="1"/>
  <c r="GX324" i="1" s="1"/>
  <c r="AC325" i="1"/>
  <c r="CQ325" i="1" s="1"/>
  <c r="AE325" i="1"/>
  <c r="CS325" i="1" s="1"/>
  <c r="AF325" i="1"/>
  <c r="CT325" i="1" s="1"/>
  <c r="AG325" i="1"/>
  <c r="AH325" i="1"/>
  <c r="CV325" i="1" s="1"/>
  <c r="AI325" i="1"/>
  <c r="AJ325" i="1"/>
  <c r="CX325" i="1" s="1"/>
  <c r="CR325" i="1"/>
  <c r="CU325" i="1"/>
  <c r="CW325" i="1"/>
  <c r="FR325" i="1"/>
  <c r="GL325" i="1"/>
  <c r="GN325" i="1"/>
  <c r="CB327" i="1" s="1"/>
  <c r="AS327" i="1" s="1"/>
  <c r="AS322" i="1" s="1"/>
  <c r="GO325" i="1"/>
  <c r="CC327" i="1" s="1"/>
  <c r="AT327" i="1" s="1"/>
  <c r="AT322" i="1" s="1"/>
  <c r="GV325" i="1"/>
  <c r="HC325" i="1" s="1"/>
  <c r="B327" i="1"/>
  <c r="C327" i="1"/>
  <c r="C322" i="1" s="1"/>
  <c r="D327" i="1"/>
  <c r="D322" i="1" s="1"/>
  <c r="F327" i="1"/>
  <c r="F322" i="1" s="1"/>
  <c r="G327" i="1"/>
  <c r="G322" i="1" s="1"/>
  <c r="BX327" i="1"/>
  <c r="AO327" i="1" s="1"/>
  <c r="BY327" i="1"/>
  <c r="BY322" i="1" s="1"/>
  <c r="BZ327" i="1"/>
  <c r="AQ327" i="1" s="1"/>
  <c r="AQ322" i="1" s="1"/>
  <c r="CK327" i="1"/>
  <c r="BB327" i="1" s="1"/>
  <c r="CL327" i="1"/>
  <c r="BC327" i="1" s="1"/>
  <c r="CM327" i="1"/>
  <c r="CM322" i="1" s="1"/>
  <c r="F337" i="1"/>
  <c r="F344" i="1"/>
  <c r="D357" i="1"/>
  <c r="E359" i="1"/>
  <c r="F359" i="1"/>
  <c r="Z359" i="1"/>
  <c r="AA359" i="1"/>
  <c r="AM359" i="1"/>
  <c r="AN359" i="1"/>
  <c r="BE359" i="1"/>
  <c r="BF359" i="1"/>
  <c r="BG359" i="1"/>
  <c r="BH359" i="1"/>
  <c r="BI359" i="1"/>
  <c r="BJ359" i="1"/>
  <c r="BK359" i="1"/>
  <c r="BL359" i="1"/>
  <c r="BM359" i="1"/>
  <c r="BN359" i="1"/>
  <c r="BO359" i="1"/>
  <c r="BP359" i="1"/>
  <c r="BQ359" i="1"/>
  <c r="BR359" i="1"/>
  <c r="BS359" i="1"/>
  <c r="BT359" i="1"/>
  <c r="BU359" i="1"/>
  <c r="BV359" i="1"/>
  <c r="BW359" i="1"/>
  <c r="BX359" i="1"/>
  <c r="BY359" i="1"/>
  <c r="CN359" i="1"/>
  <c r="CO359" i="1"/>
  <c r="CP359" i="1"/>
  <c r="CQ359" i="1"/>
  <c r="CR359" i="1"/>
  <c r="CS359" i="1"/>
  <c r="CT359" i="1"/>
  <c r="CU359" i="1"/>
  <c r="CV359" i="1"/>
  <c r="CW359" i="1"/>
  <c r="CX359" i="1"/>
  <c r="CY359" i="1"/>
  <c r="CZ359" i="1"/>
  <c r="DA359" i="1"/>
  <c r="DB359" i="1"/>
  <c r="DC359" i="1"/>
  <c r="DD359" i="1"/>
  <c r="DE359" i="1"/>
  <c r="DF359" i="1"/>
  <c r="DG359" i="1"/>
  <c r="DH359" i="1"/>
  <c r="DI359" i="1"/>
  <c r="DJ359" i="1"/>
  <c r="DK359" i="1"/>
  <c r="DL359" i="1"/>
  <c r="DM359" i="1"/>
  <c r="DN359" i="1"/>
  <c r="DO359" i="1"/>
  <c r="DP359" i="1"/>
  <c r="DQ359" i="1"/>
  <c r="DR359" i="1"/>
  <c r="DS359" i="1"/>
  <c r="DT359" i="1"/>
  <c r="DU359" i="1"/>
  <c r="DV359" i="1"/>
  <c r="DW359" i="1"/>
  <c r="DX359" i="1"/>
  <c r="DY359" i="1"/>
  <c r="DZ359" i="1"/>
  <c r="EA359" i="1"/>
  <c r="EB359" i="1"/>
  <c r="EC359" i="1"/>
  <c r="ED359" i="1"/>
  <c r="EE359" i="1"/>
  <c r="EF359" i="1"/>
  <c r="EG359" i="1"/>
  <c r="EH359" i="1"/>
  <c r="EI359" i="1"/>
  <c r="EJ359" i="1"/>
  <c r="EK359" i="1"/>
  <c r="EL359" i="1"/>
  <c r="EM359" i="1"/>
  <c r="EN359" i="1"/>
  <c r="EO359" i="1"/>
  <c r="EP359" i="1"/>
  <c r="EQ359" i="1"/>
  <c r="ER359" i="1"/>
  <c r="ES359" i="1"/>
  <c r="ET359" i="1"/>
  <c r="EU359" i="1"/>
  <c r="EV359" i="1"/>
  <c r="EW359" i="1"/>
  <c r="EX359" i="1"/>
  <c r="EY359" i="1"/>
  <c r="EZ359" i="1"/>
  <c r="FA359" i="1"/>
  <c r="FB359" i="1"/>
  <c r="FC359" i="1"/>
  <c r="FD359" i="1"/>
  <c r="FE359" i="1"/>
  <c r="FF359" i="1"/>
  <c r="FG359" i="1"/>
  <c r="FH359" i="1"/>
  <c r="FI359" i="1"/>
  <c r="FJ359" i="1"/>
  <c r="FK359" i="1"/>
  <c r="FL359" i="1"/>
  <c r="FM359" i="1"/>
  <c r="FN359" i="1"/>
  <c r="FO359" i="1"/>
  <c r="FP359" i="1"/>
  <c r="FQ359" i="1"/>
  <c r="FR359" i="1"/>
  <c r="FS359" i="1"/>
  <c r="FT359" i="1"/>
  <c r="FU359" i="1"/>
  <c r="FV359" i="1"/>
  <c r="FW359" i="1"/>
  <c r="FX359" i="1"/>
  <c r="FY359" i="1"/>
  <c r="FZ359" i="1"/>
  <c r="GA359" i="1"/>
  <c r="GB359" i="1"/>
  <c r="GC359" i="1"/>
  <c r="GD359" i="1"/>
  <c r="GE359" i="1"/>
  <c r="GF359" i="1"/>
  <c r="GG359" i="1"/>
  <c r="GH359" i="1"/>
  <c r="GI359" i="1"/>
  <c r="GJ359" i="1"/>
  <c r="GK359" i="1"/>
  <c r="GL359" i="1"/>
  <c r="GM359" i="1"/>
  <c r="GN359" i="1"/>
  <c r="GO359" i="1"/>
  <c r="GP359" i="1"/>
  <c r="GQ359" i="1"/>
  <c r="GR359" i="1"/>
  <c r="GS359" i="1"/>
  <c r="GT359" i="1"/>
  <c r="GU359" i="1"/>
  <c r="GV359" i="1"/>
  <c r="GW359" i="1"/>
  <c r="GX359" i="1"/>
  <c r="C361" i="1"/>
  <c r="D361" i="1"/>
  <c r="I361" i="1"/>
  <c r="K361" i="1"/>
  <c r="Q361" i="1"/>
  <c r="AD363" i="1" s="1"/>
  <c r="AC361" i="1"/>
  <c r="CQ361" i="1" s="1"/>
  <c r="P361" i="1" s="1"/>
  <c r="AD361" i="1"/>
  <c r="AE361" i="1"/>
  <c r="AF361" i="1"/>
  <c r="CT361" i="1" s="1"/>
  <c r="S361" i="1" s="1"/>
  <c r="AG361" i="1"/>
  <c r="AH361" i="1"/>
  <c r="AI361" i="1"/>
  <c r="CW361" i="1" s="1"/>
  <c r="V361" i="1" s="1"/>
  <c r="AI363" i="1" s="1"/>
  <c r="AJ361" i="1"/>
  <c r="CR361" i="1"/>
  <c r="CS361" i="1"/>
  <c r="R361" i="1" s="1"/>
  <c r="CU361" i="1"/>
  <c r="T361" i="1" s="1"/>
  <c r="AG363" i="1" s="1"/>
  <c r="CV361" i="1"/>
  <c r="U361" i="1" s="1"/>
  <c r="AH363" i="1" s="1"/>
  <c r="CX361" i="1"/>
  <c r="W361" i="1" s="1"/>
  <c r="FR361" i="1"/>
  <c r="GL361" i="1"/>
  <c r="BZ363" i="1" s="1"/>
  <c r="GN361" i="1"/>
  <c r="GO361" i="1"/>
  <c r="GV361" i="1"/>
  <c r="GX361" i="1"/>
  <c r="HC361" i="1"/>
  <c r="B363" i="1"/>
  <c r="B359" i="1" s="1"/>
  <c r="C363" i="1"/>
  <c r="C359" i="1" s="1"/>
  <c r="D363" i="1"/>
  <c r="D359" i="1" s="1"/>
  <c r="F363" i="1"/>
  <c r="G363" i="1"/>
  <c r="G359" i="1" s="1"/>
  <c r="AJ363" i="1"/>
  <c r="W363" i="1" s="1"/>
  <c r="W359" i="1" s="1"/>
  <c r="AT363" i="1"/>
  <c r="BX363" i="1"/>
  <c r="AO363" i="1" s="1"/>
  <c r="BY363" i="1"/>
  <c r="AP363" i="1" s="1"/>
  <c r="CB363" i="1"/>
  <c r="CB359" i="1" s="1"/>
  <c r="CC363" i="1"/>
  <c r="CC359" i="1" s="1"/>
  <c r="CJ363" i="1"/>
  <c r="CJ359" i="1" s="1"/>
  <c r="CK363" i="1"/>
  <c r="CK359" i="1" s="1"/>
  <c r="CL363" i="1"/>
  <c r="CL359" i="1" s="1"/>
  <c r="CM363" i="1"/>
  <c r="CM359" i="1" s="1"/>
  <c r="D393" i="1"/>
  <c r="E395" i="1"/>
  <c r="Z395" i="1"/>
  <c r="AA395" i="1"/>
  <c r="AM395" i="1"/>
  <c r="AN395" i="1"/>
  <c r="BE395" i="1"/>
  <c r="BF395" i="1"/>
  <c r="BG395" i="1"/>
  <c r="BH395" i="1"/>
  <c r="BI395" i="1"/>
  <c r="BJ395" i="1"/>
  <c r="BK395" i="1"/>
  <c r="BL395" i="1"/>
  <c r="BM395" i="1"/>
  <c r="BN395" i="1"/>
  <c r="BO395" i="1"/>
  <c r="BP395" i="1"/>
  <c r="BQ395" i="1"/>
  <c r="BR395" i="1"/>
  <c r="BS395" i="1"/>
  <c r="BT395" i="1"/>
  <c r="BU395" i="1"/>
  <c r="BV395" i="1"/>
  <c r="BW395" i="1"/>
  <c r="CL395" i="1"/>
  <c r="CM395" i="1"/>
  <c r="CN395" i="1"/>
  <c r="CO395" i="1"/>
  <c r="CP395" i="1"/>
  <c r="CQ395" i="1"/>
  <c r="CR395" i="1"/>
  <c r="CS395" i="1"/>
  <c r="CT395" i="1"/>
  <c r="CU395" i="1"/>
  <c r="CV395" i="1"/>
  <c r="CW395" i="1"/>
  <c r="CX395" i="1"/>
  <c r="CY395" i="1"/>
  <c r="CZ395" i="1"/>
  <c r="DA395" i="1"/>
  <c r="DB395" i="1"/>
  <c r="DC395" i="1"/>
  <c r="DD395" i="1"/>
  <c r="DE395" i="1"/>
  <c r="DF395" i="1"/>
  <c r="DG395" i="1"/>
  <c r="DH395" i="1"/>
  <c r="DI395" i="1"/>
  <c r="DJ395" i="1"/>
  <c r="DK395" i="1"/>
  <c r="DL395" i="1"/>
  <c r="DM395" i="1"/>
  <c r="DN395" i="1"/>
  <c r="DO395" i="1"/>
  <c r="DP395" i="1"/>
  <c r="DQ395" i="1"/>
  <c r="DR395" i="1"/>
  <c r="DS395" i="1"/>
  <c r="DT395" i="1"/>
  <c r="DU395" i="1"/>
  <c r="DV395" i="1"/>
  <c r="DW395" i="1"/>
  <c r="DX395" i="1"/>
  <c r="DY395" i="1"/>
  <c r="DZ395" i="1"/>
  <c r="EA395" i="1"/>
  <c r="EB395" i="1"/>
  <c r="EC395" i="1"/>
  <c r="ED395" i="1"/>
  <c r="EE395" i="1"/>
  <c r="EF395" i="1"/>
  <c r="EG395" i="1"/>
  <c r="EH395" i="1"/>
  <c r="EI395" i="1"/>
  <c r="EJ395" i="1"/>
  <c r="EK395" i="1"/>
  <c r="EL395" i="1"/>
  <c r="EM395" i="1"/>
  <c r="EN395" i="1"/>
  <c r="EO395" i="1"/>
  <c r="EP395" i="1"/>
  <c r="EQ395" i="1"/>
  <c r="ER395" i="1"/>
  <c r="ES395" i="1"/>
  <c r="ET395" i="1"/>
  <c r="EU395" i="1"/>
  <c r="EV395" i="1"/>
  <c r="EW395" i="1"/>
  <c r="EX395" i="1"/>
  <c r="EY395" i="1"/>
  <c r="EZ395" i="1"/>
  <c r="FA395" i="1"/>
  <c r="FB395" i="1"/>
  <c r="FC395" i="1"/>
  <c r="FD395" i="1"/>
  <c r="FE395" i="1"/>
  <c r="FF395" i="1"/>
  <c r="FG395" i="1"/>
  <c r="FH395" i="1"/>
  <c r="FI395" i="1"/>
  <c r="FJ395" i="1"/>
  <c r="FK395" i="1"/>
  <c r="FL395" i="1"/>
  <c r="FM395" i="1"/>
  <c r="FN395" i="1"/>
  <c r="FO395" i="1"/>
  <c r="FP395" i="1"/>
  <c r="FQ395" i="1"/>
  <c r="FR395" i="1"/>
  <c r="FS395" i="1"/>
  <c r="FT395" i="1"/>
  <c r="FU395" i="1"/>
  <c r="FV395" i="1"/>
  <c r="FW395" i="1"/>
  <c r="FX395" i="1"/>
  <c r="FY395" i="1"/>
  <c r="FZ395" i="1"/>
  <c r="GA395" i="1"/>
  <c r="GB395" i="1"/>
  <c r="GC395" i="1"/>
  <c r="GD395" i="1"/>
  <c r="GE395" i="1"/>
  <c r="GF395" i="1"/>
  <c r="GG395" i="1"/>
  <c r="GH395" i="1"/>
  <c r="GI395" i="1"/>
  <c r="GJ395" i="1"/>
  <c r="GK395" i="1"/>
  <c r="GL395" i="1"/>
  <c r="GM395" i="1"/>
  <c r="GN395" i="1"/>
  <c r="GO395" i="1"/>
  <c r="GP395" i="1"/>
  <c r="GQ395" i="1"/>
  <c r="GR395" i="1"/>
  <c r="GS395" i="1"/>
  <c r="GT395" i="1"/>
  <c r="GU395" i="1"/>
  <c r="GV395" i="1"/>
  <c r="GW395" i="1"/>
  <c r="GX395" i="1"/>
  <c r="C397" i="1"/>
  <c r="D397" i="1"/>
  <c r="I397" i="1"/>
  <c r="K397" i="1"/>
  <c r="Q397" i="1"/>
  <c r="AC397" i="1"/>
  <c r="AD397" i="1"/>
  <c r="AE397" i="1"/>
  <c r="AF397" i="1"/>
  <c r="AG397" i="1"/>
  <c r="CU397" i="1" s="1"/>
  <c r="T397" i="1" s="1"/>
  <c r="AH397" i="1"/>
  <c r="AI397" i="1"/>
  <c r="AJ397" i="1"/>
  <c r="CX397" i="1" s="1"/>
  <c r="W397" i="1" s="1"/>
  <c r="CQ397" i="1"/>
  <c r="P397" i="1" s="1"/>
  <c r="CR397" i="1"/>
  <c r="CS397" i="1"/>
  <c r="R397" i="1" s="1"/>
  <c r="GK397" i="1" s="1"/>
  <c r="CT397" i="1"/>
  <c r="S397" i="1" s="1"/>
  <c r="CY397" i="1" s="1"/>
  <c r="X397" i="1" s="1"/>
  <c r="CV397" i="1"/>
  <c r="U397" i="1" s="1"/>
  <c r="CW397" i="1"/>
  <c r="V397" i="1" s="1"/>
  <c r="FR397" i="1"/>
  <c r="GL397" i="1"/>
  <c r="GN397" i="1"/>
  <c r="GO397" i="1"/>
  <c r="GV397" i="1"/>
  <c r="HC397" i="1" s="1"/>
  <c r="GX397" i="1" s="1"/>
  <c r="C398" i="1"/>
  <c r="D398" i="1"/>
  <c r="I398" i="1"/>
  <c r="K398" i="1"/>
  <c r="AC398" i="1"/>
  <c r="AE398" i="1"/>
  <c r="CS398" i="1" s="1"/>
  <c r="R398" i="1" s="1"/>
  <c r="GK398" i="1" s="1"/>
  <c r="AF398" i="1"/>
  <c r="AG398" i="1"/>
  <c r="AH398" i="1"/>
  <c r="CV398" i="1" s="1"/>
  <c r="U398" i="1" s="1"/>
  <c r="AI398" i="1"/>
  <c r="AJ398" i="1"/>
  <c r="CX398" i="1" s="1"/>
  <c r="W398" i="1" s="1"/>
  <c r="CQ398" i="1"/>
  <c r="P398" i="1" s="1"/>
  <c r="CT398" i="1"/>
  <c r="S398" i="1" s="1"/>
  <c r="CY398" i="1" s="1"/>
  <c r="X398" i="1" s="1"/>
  <c r="CU398" i="1"/>
  <c r="T398" i="1" s="1"/>
  <c r="CW398" i="1"/>
  <c r="V398" i="1" s="1"/>
  <c r="FR398" i="1"/>
  <c r="GL398" i="1"/>
  <c r="GN398" i="1"/>
  <c r="GO398" i="1"/>
  <c r="GV398" i="1"/>
  <c r="HC398" i="1"/>
  <c r="GX398" i="1" s="1"/>
  <c r="C399" i="1"/>
  <c r="D399" i="1"/>
  <c r="I399" i="1"/>
  <c r="K399" i="1"/>
  <c r="AC399" i="1"/>
  <c r="AE399" i="1"/>
  <c r="AD399" i="1" s="1"/>
  <c r="AF399" i="1"/>
  <c r="CT399" i="1" s="1"/>
  <c r="S399" i="1" s="1"/>
  <c r="AG399" i="1"/>
  <c r="AH399" i="1"/>
  <c r="CV399" i="1" s="1"/>
  <c r="U399" i="1" s="1"/>
  <c r="AI399" i="1"/>
  <c r="AJ399" i="1"/>
  <c r="CR399" i="1"/>
  <c r="Q399" i="1" s="1"/>
  <c r="CS399" i="1"/>
  <c r="R399" i="1" s="1"/>
  <c r="GK399" i="1" s="1"/>
  <c r="CU399" i="1"/>
  <c r="CW399" i="1"/>
  <c r="CX399" i="1"/>
  <c r="W399" i="1" s="1"/>
  <c r="FR399" i="1"/>
  <c r="GL399" i="1"/>
  <c r="GN399" i="1"/>
  <c r="GO399" i="1"/>
  <c r="GV399" i="1"/>
  <c r="HC399" i="1" s="1"/>
  <c r="GX399" i="1" s="1"/>
  <c r="AC400" i="1"/>
  <c r="AB400" i="1" s="1"/>
  <c r="AD400" i="1"/>
  <c r="AE400" i="1"/>
  <c r="AF400" i="1"/>
  <c r="CT400" i="1" s="1"/>
  <c r="AG400" i="1"/>
  <c r="AH400" i="1"/>
  <c r="AI400" i="1"/>
  <c r="CW400" i="1" s="1"/>
  <c r="AJ400" i="1"/>
  <c r="CQ400" i="1"/>
  <c r="CR400" i="1"/>
  <c r="CS400" i="1"/>
  <c r="CU400" i="1"/>
  <c r="CV400" i="1"/>
  <c r="CX400" i="1"/>
  <c r="FR400" i="1"/>
  <c r="GL400" i="1"/>
  <c r="GN400" i="1"/>
  <c r="GO400" i="1"/>
  <c r="CC404" i="1" s="1"/>
  <c r="GV400" i="1"/>
  <c r="HC400" i="1"/>
  <c r="C401" i="1"/>
  <c r="D401" i="1"/>
  <c r="I401" i="1"/>
  <c r="I402" i="1" s="1"/>
  <c r="U402" i="1" s="1"/>
  <c r="K401" i="1"/>
  <c r="Q401" i="1"/>
  <c r="W401" i="1"/>
  <c r="AC401" i="1"/>
  <c r="AB401" i="1" s="1"/>
  <c r="AD401" i="1"/>
  <c r="AE401" i="1"/>
  <c r="AF401" i="1"/>
  <c r="AG401" i="1"/>
  <c r="CU401" i="1" s="1"/>
  <c r="T401" i="1" s="1"/>
  <c r="AH401" i="1"/>
  <c r="AI401" i="1"/>
  <c r="CW401" i="1" s="1"/>
  <c r="V401" i="1" s="1"/>
  <c r="AJ401" i="1"/>
  <c r="CQ401" i="1"/>
  <c r="P401" i="1" s="1"/>
  <c r="CR401" i="1"/>
  <c r="CS401" i="1"/>
  <c r="R401" i="1" s="1"/>
  <c r="GK401" i="1" s="1"/>
  <c r="CT401" i="1"/>
  <c r="S401" i="1" s="1"/>
  <c r="CV401" i="1"/>
  <c r="U401" i="1" s="1"/>
  <c r="CX401" i="1"/>
  <c r="FR401" i="1"/>
  <c r="GL401" i="1"/>
  <c r="GN401" i="1"/>
  <c r="GO401" i="1"/>
  <c r="GV401" i="1"/>
  <c r="HC401" i="1"/>
  <c r="GX401" i="1" s="1"/>
  <c r="AC402" i="1"/>
  <c r="AE402" i="1"/>
  <c r="AD402" i="1" s="1"/>
  <c r="AB402" i="1" s="1"/>
  <c r="AF402" i="1"/>
  <c r="AG402" i="1"/>
  <c r="CU402" i="1" s="1"/>
  <c r="AH402" i="1"/>
  <c r="AI402" i="1"/>
  <c r="AJ402" i="1"/>
  <c r="CX402" i="1" s="1"/>
  <c r="CQ402" i="1"/>
  <c r="CR402" i="1"/>
  <c r="Q402" i="1" s="1"/>
  <c r="CT402" i="1"/>
  <c r="CV402" i="1"/>
  <c r="CW402" i="1"/>
  <c r="FR402" i="1"/>
  <c r="GL402" i="1"/>
  <c r="GN402" i="1"/>
  <c r="GO402" i="1"/>
  <c r="GV402" i="1"/>
  <c r="HC402" i="1" s="1"/>
  <c r="GX402" i="1" s="1"/>
  <c r="B404" i="1"/>
  <c r="B395" i="1" s="1"/>
  <c r="C404" i="1"/>
  <c r="C395" i="1" s="1"/>
  <c r="D404" i="1"/>
  <c r="D395" i="1" s="1"/>
  <c r="F404" i="1"/>
  <c r="F395" i="1" s="1"/>
  <c r="G404" i="1"/>
  <c r="G395" i="1" s="1"/>
  <c r="BX404" i="1"/>
  <c r="BX395" i="1" s="1"/>
  <c r="BY404" i="1"/>
  <c r="BY395" i="1" s="1"/>
  <c r="BZ404" i="1"/>
  <c r="BZ395" i="1" s="1"/>
  <c r="CB404" i="1"/>
  <c r="CB395" i="1" s="1"/>
  <c r="CG404" i="1"/>
  <c r="CG395" i="1" s="1"/>
  <c r="CK404" i="1"/>
  <c r="CK395" i="1" s="1"/>
  <c r="CL404" i="1"/>
  <c r="BC404" i="1" s="1"/>
  <c r="CM404" i="1"/>
  <c r="BD404" i="1" s="1"/>
  <c r="D434" i="1"/>
  <c r="E436" i="1"/>
  <c r="G436" i="1"/>
  <c r="Z436" i="1"/>
  <c r="AA436" i="1"/>
  <c r="AM436" i="1"/>
  <c r="AN436" i="1"/>
  <c r="BE436" i="1"/>
  <c r="BF436" i="1"/>
  <c r="BG436" i="1"/>
  <c r="BH436" i="1"/>
  <c r="BI436" i="1"/>
  <c r="BJ436" i="1"/>
  <c r="BK436" i="1"/>
  <c r="BL436" i="1"/>
  <c r="BM436" i="1"/>
  <c r="BN436" i="1"/>
  <c r="BO436" i="1"/>
  <c r="BP436" i="1"/>
  <c r="BQ436" i="1"/>
  <c r="BR436" i="1"/>
  <c r="BS436" i="1"/>
  <c r="BT436" i="1"/>
  <c r="BU436" i="1"/>
  <c r="BV436" i="1"/>
  <c r="BW436" i="1"/>
  <c r="CN436" i="1"/>
  <c r="CO436" i="1"/>
  <c r="CP436" i="1"/>
  <c r="CQ436" i="1"/>
  <c r="CR436" i="1"/>
  <c r="CS436" i="1"/>
  <c r="CT436" i="1"/>
  <c r="CU436" i="1"/>
  <c r="CV436" i="1"/>
  <c r="CW436" i="1"/>
  <c r="CX436" i="1"/>
  <c r="CY436" i="1"/>
  <c r="CZ436" i="1"/>
  <c r="DA436" i="1"/>
  <c r="DB436" i="1"/>
  <c r="DC436" i="1"/>
  <c r="DD436" i="1"/>
  <c r="DE436" i="1"/>
  <c r="DF436" i="1"/>
  <c r="DG436" i="1"/>
  <c r="DH436" i="1"/>
  <c r="DI436" i="1"/>
  <c r="DJ436" i="1"/>
  <c r="DK436" i="1"/>
  <c r="DL436" i="1"/>
  <c r="DM436" i="1"/>
  <c r="DN436" i="1"/>
  <c r="DO436" i="1"/>
  <c r="DP436" i="1"/>
  <c r="DQ436" i="1"/>
  <c r="DR436" i="1"/>
  <c r="DS436" i="1"/>
  <c r="DT436" i="1"/>
  <c r="DU436" i="1"/>
  <c r="DV436" i="1"/>
  <c r="DW436" i="1"/>
  <c r="DX436" i="1"/>
  <c r="DY436" i="1"/>
  <c r="DZ436" i="1"/>
  <c r="EA436" i="1"/>
  <c r="EB436" i="1"/>
  <c r="EC436" i="1"/>
  <c r="ED436" i="1"/>
  <c r="EE436" i="1"/>
  <c r="EF436" i="1"/>
  <c r="EG436" i="1"/>
  <c r="EH436" i="1"/>
  <c r="EI436" i="1"/>
  <c r="EJ436" i="1"/>
  <c r="EK436" i="1"/>
  <c r="EL436" i="1"/>
  <c r="EM436" i="1"/>
  <c r="EN436" i="1"/>
  <c r="EO436" i="1"/>
  <c r="EP436" i="1"/>
  <c r="EQ436" i="1"/>
  <c r="ER436" i="1"/>
  <c r="ES436" i="1"/>
  <c r="ET436" i="1"/>
  <c r="EU436" i="1"/>
  <c r="EV436" i="1"/>
  <c r="EW436" i="1"/>
  <c r="EX436" i="1"/>
  <c r="EY436" i="1"/>
  <c r="EZ436" i="1"/>
  <c r="FA436" i="1"/>
  <c r="FB436" i="1"/>
  <c r="FC436" i="1"/>
  <c r="FD436" i="1"/>
  <c r="FE436" i="1"/>
  <c r="FF436" i="1"/>
  <c r="FG436" i="1"/>
  <c r="FH436" i="1"/>
  <c r="FI436" i="1"/>
  <c r="FJ436" i="1"/>
  <c r="FK436" i="1"/>
  <c r="FL436" i="1"/>
  <c r="FM436" i="1"/>
  <c r="FN436" i="1"/>
  <c r="FO436" i="1"/>
  <c r="FP436" i="1"/>
  <c r="FQ436" i="1"/>
  <c r="FR436" i="1"/>
  <c r="FS436" i="1"/>
  <c r="FT436" i="1"/>
  <c r="FU436" i="1"/>
  <c r="FV436" i="1"/>
  <c r="FW436" i="1"/>
  <c r="FX436" i="1"/>
  <c r="FY436" i="1"/>
  <c r="FZ436" i="1"/>
  <c r="GA436" i="1"/>
  <c r="GB436" i="1"/>
  <c r="GC436" i="1"/>
  <c r="GD436" i="1"/>
  <c r="GE436" i="1"/>
  <c r="GF436" i="1"/>
  <c r="GG436" i="1"/>
  <c r="GH436" i="1"/>
  <c r="GI436" i="1"/>
  <c r="GJ436" i="1"/>
  <c r="GK436" i="1"/>
  <c r="GL436" i="1"/>
  <c r="GM436" i="1"/>
  <c r="GN436" i="1"/>
  <c r="GO436" i="1"/>
  <c r="GP436" i="1"/>
  <c r="GQ436" i="1"/>
  <c r="GR436" i="1"/>
  <c r="GS436" i="1"/>
  <c r="GT436" i="1"/>
  <c r="GU436" i="1"/>
  <c r="GV436" i="1"/>
  <c r="GW436" i="1"/>
  <c r="GX436" i="1"/>
  <c r="C438" i="1"/>
  <c r="D438" i="1"/>
  <c r="I438" i="1"/>
  <c r="CU156" i="3" s="1"/>
  <c r="K438" i="1"/>
  <c r="AC438" i="1"/>
  <c r="CQ438" i="1" s="1"/>
  <c r="P438" i="1" s="1"/>
  <c r="AE438" i="1"/>
  <c r="CS438" i="1" s="1"/>
  <c r="R438" i="1" s="1"/>
  <c r="GK438" i="1" s="1"/>
  <c r="AF438" i="1"/>
  <c r="CT438" i="1" s="1"/>
  <c r="S438" i="1" s="1"/>
  <c r="AG438" i="1"/>
  <c r="AH438" i="1"/>
  <c r="CV438" i="1" s="1"/>
  <c r="U438" i="1" s="1"/>
  <c r="AI438" i="1"/>
  <c r="AJ438" i="1"/>
  <c r="CX438" i="1" s="1"/>
  <c r="W438" i="1" s="1"/>
  <c r="CR438" i="1"/>
  <c r="Q438" i="1" s="1"/>
  <c r="CU438" i="1"/>
  <c r="T438" i="1" s="1"/>
  <c r="CW438" i="1"/>
  <c r="V438" i="1" s="1"/>
  <c r="FR438" i="1"/>
  <c r="GL438" i="1"/>
  <c r="GN438" i="1"/>
  <c r="GO438" i="1"/>
  <c r="GV438" i="1"/>
  <c r="HC438" i="1" s="1"/>
  <c r="GX438" i="1" s="1"/>
  <c r="C439" i="1"/>
  <c r="D439" i="1"/>
  <c r="I439" i="1"/>
  <c r="K439" i="1"/>
  <c r="AC439" i="1"/>
  <c r="AE439" i="1"/>
  <c r="AD439" i="1" s="1"/>
  <c r="AF439" i="1"/>
  <c r="CT439" i="1" s="1"/>
  <c r="S439" i="1" s="1"/>
  <c r="CY439" i="1" s="1"/>
  <c r="X439" i="1" s="1"/>
  <c r="AG439" i="1"/>
  <c r="AH439" i="1"/>
  <c r="CV439" i="1" s="1"/>
  <c r="U439" i="1" s="1"/>
  <c r="AI439" i="1"/>
  <c r="CW439" i="1" s="1"/>
  <c r="V439" i="1" s="1"/>
  <c r="AJ439" i="1"/>
  <c r="CR439" i="1"/>
  <c r="Q439" i="1" s="1"/>
  <c r="CU439" i="1"/>
  <c r="T439" i="1" s="1"/>
  <c r="CX439" i="1"/>
  <c r="W439" i="1" s="1"/>
  <c r="CZ439" i="1"/>
  <c r="Y439" i="1" s="1"/>
  <c r="FR439" i="1"/>
  <c r="GL439" i="1"/>
  <c r="GN439" i="1"/>
  <c r="GO439" i="1"/>
  <c r="GV439" i="1"/>
  <c r="HC439" i="1" s="1"/>
  <c r="GX439" i="1" s="1"/>
  <c r="C440" i="1"/>
  <c r="D440" i="1"/>
  <c r="R440" i="1"/>
  <c r="GK440" i="1" s="1"/>
  <c r="AC440" i="1"/>
  <c r="CQ440" i="1" s="1"/>
  <c r="P440" i="1" s="1"/>
  <c r="AE440" i="1"/>
  <c r="CS440" i="1" s="1"/>
  <c r="AF440" i="1"/>
  <c r="CT440" i="1" s="1"/>
  <c r="S440" i="1" s="1"/>
  <c r="AG440" i="1"/>
  <c r="AH440" i="1"/>
  <c r="CV440" i="1" s="1"/>
  <c r="U440" i="1" s="1"/>
  <c r="AI440" i="1"/>
  <c r="AJ440" i="1"/>
  <c r="CR440" i="1"/>
  <c r="Q440" i="1" s="1"/>
  <c r="CU440" i="1"/>
  <c r="T440" i="1" s="1"/>
  <c r="CW440" i="1"/>
  <c r="V440" i="1" s="1"/>
  <c r="CX440" i="1"/>
  <c r="W440" i="1" s="1"/>
  <c r="FR440" i="1"/>
  <c r="GL440" i="1"/>
  <c r="GN440" i="1"/>
  <c r="GO440" i="1"/>
  <c r="GV440" i="1"/>
  <c r="HC440" i="1" s="1"/>
  <c r="GX440" i="1" s="1"/>
  <c r="I441" i="1"/>
  <c r="Q441" i="1"/>
  <c r="AC441" i="1"/>
  <c r="CQ441" i="1" s="1"/>
  <c r="P441" i="1" s="1"/>
  <c r="CP441" i="1" s="1"/>
  <c r="O441" i="1" s="1"/>
  <c r="AD441" i="1"/>
  <c r="AE441" i="1"/>
  <c r="AF441" i="1"/>
  <c r="CT441" i="1" s="1"/>
  <c r="S441" i="1" s="1"/>
  <c r="AG441" i="1"/>
  <c r="AH441" i="1"/>
  <c r="CV441" i="1" s="1"/>
  <c r="U441" i="1" s="1"/>
  <c r="AI441" i="1"/>
  <c r="CW441" i="1" s="1"/>
  <c r="V441" i="1" s="1"/>
  <c r="AJ441" i="1"/>
  <c r="CR441" i="1"/>
  <c r="CS441" i="1"/>
  <c r="R441" i="1" s="1"/>
  <c r="GK441" i="1" s="1"/>
  <c r="CU441" i="1"/>
  <c r="T441" i="1" s="1"/>
  <c r="CX441" i="1"/>
  <c r="W441" i="1" s="1"/>
  <c r="FR441" i="1"/>
  <c r="GL441" i="1"/>
  <c r="BZ452" i="1" s="1"/>
  <c r="GN441" i="1"/>
  <c r="GO441" i="1"/>
  <c r="GV441" i="1"/>
  <c r="GX441" i="1"/>
  <c r="HC441" i="1"/>
  <c r="I442" i="1"/>
  <c r="Q442" i="1" s="1"/>
  <c r="AC442" i="1"/>
  <c r="AD442" i="1"/>
  <c r="AB442" i="1" s="1"/>
  <c r="AE442" i="1"/>
  <c r="AF442" i="1"/>
  <c r="AG442" i="1"/>
  <c r="CU442" i="1" s="1"/>
  <c r="T442" i="1" s="1"/>
  <c r="AH442" i="1"/>
  <c r="AI442" i="1"/>
  <c r="CW442" i="1" s="1"/>
  <c r="V442" i="1" s="1"/>
  <c r="AJ442" i="1"/>
  <c r="CX442" i="1" s="1"/>
  <c r="W442" i="1" s="1"/>
  <c r="CQ442" i="1"/>
  <c r="P442" i="1" s="1"/>
  <c r="CR442" i="1"/>
  <c r="CS442" i="1"/>
  <c r="CT442" i="1"/>
  <c r="CV442" i="1"/>
  <c r="U442" i="1" s="1"/>
  <c r="FR442" i="1"/>
  <c r="GL442" i="1"/>
  <c r="GN442" i="1"/>
  <c r="GO442" i="1"/>
  <c r="GV442" i="1"/>
  <c r="HC442" i="1"/>
  <c r="GX442" i="1" s="1"/>
  <c r="I443" i="1"/>
  <c r="AC443" i="1"/>
  <c r="AD443" i="1"/>
  <c r="AB443" i="1" s="1"/>
  <c r="AE443" i="1"/>
  <c r="CS443" i="1" s="1"/>
  <c r="R443" i="1" s="1"/>
  <c r="GK443" i="1" s="1"/>
  <c r="AF443" i="1"/>
  <c r="AG443" i="1"/>
  <c r="CU443" i="1" s="1"/>
  <c r="T443" i="1" s="1"/>
  <c r="AH443" i="1"/>
  <c r="CV443" i="1" s="1"/>
  <c r="U443" i="1" s="1"/>
  <c r="AI443" i="1"/>
  <c r="AJ443" i="1"/>
  <c r="CX443" i="1" s="1"/>
  <c r="W443" i="1" s="1"/>
  <c r="CQ443" i="1"/>
  <c r="P443" i="1" s="1"/>
  <c r="CR443" i="1"/>
  <c r="Q443" i="1" s="1"/>
  <c r="CT443" i="1"/>
  <c r="S443" i="1" s="1"/>
  <c r="CW443" i="1"/>
  <c r="V443" i="1" s="1"/>
  <c r="CY443" i="1"/>
  <c r="X443" i="1" s="1"/>
  <c r="CZ443" i="1"/>
  <c r="Y443" i="1" s="1"/>
  <c r="FR443" i="1"/>
  <c r="GL443" i="1"/>
  <c r="GN443" i="1"/>
  <c r="GO443" i="1"/>
  <c r="GV443" i="1"/>
  <c r="HC443" i="1" s="1"/>
  <c r="GX443" i="1" s="1"/>
  <c r="I444" i="1"/>
  <c r="S444" i="1"/>
  <c r="AC444" i="1"/>
  <c r="CQ444" i="1" s="1"/>
  <c r="P444" i="1" s="1"/>
  <c r="CP444" i="1" s="1"/>
  <c r="O444" i="1" s="1"/>
  <c r="AE444" i="1"/>
  <c r="CS444" i="1" s="1"/>
  <c r="R444" i="1" s="1"/>
  <c r="GK444" i="1" s="1"/>
  <c r="AF444" i="1"/>
  <c r="CT444" i="1" s="1"/>
  <c r="AG444" i="1"/>
  <c r="AH444" i="1"/>
  <c r="CV444" i="1" s="1"/>
  <c r="U444" i="1" s="1"/>
  <c r="AI444" i="1"/>
  <c r="AJ444" i="1"/>
  <c r="CX444" i="1" s="1"/>
  <c r="W444" i="1" s="1"/>
  <c r="CR444" i="1"/>
  <c r="Q444" i="1" s="1"/>
  <c r="CU444" i="1"/>
  <c r="T444" i="1" s="1"/>
  <c r="CW444" i="1"/>
  <c r="V444" i="1" s="1"/>
  <c r="FR444" i="1"/>
  <c r="GL444" i="1"/>
  <c r="GN444" i="1"/>
  <c r="GO444" i="1"/>
  <c r="GV444" i="1"/>
  <c r="HC444" i="1" s="1"/>
  <c r="GX444" i="1" s="1"/>
  <c r="C445" i="1"/>
  <c r="D445" i="1"/>
  <c r="I445" i="1"/>
  <c r="K445" i="1"/>
  <c r="U445" i="1"/>
  <c r="AC445" i="1"/>
  <c r="AE445" i="1"/>
  <c r="AD445" i="1" s="1"/>
  <c r="AF445" i="1"/>
  <c r="CT445" i="1" s="1"/>
  <c r="S445" i="1" s="1"/>
  <c r="CY445" i="1" s="1"/>
  <c r="X445" i="1" s="1"/>
  <c r="AG445" i="1"/>
  <c r="AH445" i="1"/>
  <c r="CV445" i="1" s="1"/>
  <c r="AI445" i="1"/>
  <c r="CW445" i="1" s="1"/>
  <c r="V445" i="1" s="1"/>
  <c r="AJ445" i="1"/>
  <c r="CU445" i="1"/>
  <c r="T445" i="1" s="1"/>
  <c r="CX445" i="1"/>
  <c r="W445" i="1" s="1"/>
  <c r="FR445" i="1"/>
  <c r="GL445" i="1"/>
  <c r="GN445" i="1"/>
  <c r="GO445" i="1"/>
  <c r="GV445" i="1"/>
  <c r="HC445" i="1" s="1"/>
  <c r="GX445" i="1"/>
  <c r="AC446" i="1"/>
  <c r="AD446" i="1"/>
  <c r="AE446" i="1"/>
  <c r="AF446" i="1"/>
  <c r="CT446" i="1" s="1"/>
  <c r="AG446" i="1"/>
  <c r="CU446" i="1" s="1"/>
  <c r="AH446" i="1"/>
  <c r="AI446" i="1"/>
  <c r="CW446" i="1" s="1"/>
  <c r="AJ446" i="1"/>
  <c r="CQ446" i="1"/>
  <c r="CR446" i="1"/>
  <c r="CS446" i="1"/>
  <c r="CV446" i="1"/>
  <c r="CX446" i="1"/>
  <c r="FR446" i="1"/>
  <c r="GL446" i="1"/>
  <c r="GN446" i="1"/>
  <c r="GO446" i="1"/>
  <c r="GV446" i="1"/>
  <c r="HC446" i="1"/>
  <c r="C447" i="1"/>
  <c r="D447" i="1"/>
  <c r="I447" i="1"/>
  <c r="K447" i="1"/>
  <c r="Q447" i="1"/>
  <c r="AC447" i="1"/>
  <c r="AD447" i="1"/>
  <c r="AE447" i="1"/>
  <c r="AF447" i="1"/>
  <c r="AG447" i="1"/>
  <c r="CU447" i="1" s="1"/>
  <c r="T447" i="1" s="1"/>
  <c r="AH447" i="1"/>
  <c r="AI447" i="1"/>
  <c r="CW447" i="1" s="1"/>
  <c r="V447" i="1" s="1"/>
  <c r="AJ447" i="1"/>
  <c r="CX447" i="1" s="1"/>
  <c r="W447" i="1" s="1"/>
  <c r="CQ447" i="1"/>
  <c r="P447" i="1" s="1"/>
  <c r="CP447" i="1" s="1"/>
  <c r="O447" i="1" s="1"/>
  <c r="CR447" i="1"/>
  <c r="CS447" i="1"/>
  <c r="R447" i="1" s="1"/>
  <c r="GK447" i="1" s="1"/>
  <c r="CT447" i="1"/>
  <c r="S447" i="1" s="1"/>
  <c r="CV447" i="1"/>
  <c r="U447" i="1" s="1"/>
  <c r="FR447" i="1"/>
  <c r="GL447" i="1"/>
  <c r="GN447" i="1"/>
  <c r="GO447" i="1"/>
  <c r="GV447" i="1"/>
  <c r="HC447" i="1"/>
  <c r="GX447" i="1" s="1"/>
  <c r="C448" i="1"/>
  <c r="D448" i="1"/>
  <c r="I448" i="1"/>
  <c r="CU184" i="3" s="1"/>
  <c r="K448" i="1"/>
  <c r="Q448" i="1"/>
  <c r="AB448" i="1"/>
  <c r="AC448" i="1"/>
  <c r="AD448" i="1"/>
  <c r="AE448" i="1"/>
  <c r="CS448" i="1" s="1"/>
  <c r="R448" i="1" s="1"/>
  <c r="GK448" i="1" s="1"/>
  <c r="AF448" i="1"/>
  <c r="AG448" i="1"/>
  <c r="CU448" i="1" s="1"/>
  <c r="T448" i="1" s="1"/>
  <c r="AH448" i="1"/>
  <c r="AI448" i="1"/>
  <c r="CW448" i="1" s="1"/>
  <c r="V448" i="1" s="1"/>
  <c r="AJ448" i="1"/>
  <c r="CX448" i="1" s="1"/>
  <c r="W448" i="1" s="1"/>
  <c r="CQ448" i="1"/>
  <c r="P448" i="1" s="1"/>
  <c r="CR448" i="1"/>
  <c r="CT448" i="1"/>
  <c r="S448" i="1" s="1"/>
  <c r="CV448" i="1"/>
  <c r="U448" i="1" s="1"/>
  <c r="FR448" i="1"/>
  <c r="GL448" i="1"/>
  <c r="GN448" i="1"/>
  <c r="GO448" i="1"/>
  <c r="GV448" i="1"/>
  <c r="HC448" i="1" s="1"/>
  <c r="GX448" i="1" s="1"/>
  <c r="C449" i="1"/>
  <c r="D449" i="1"/>
  <c r="I449" i="1"/>
  <c r="K449" i="1"/>
  <c r="T449" i="1"/>
  <c r="AC449" i="1"/>
  <c r="AE449" i="1"/>
  <c r="CS449" i="1" s="1"/>
  <c r="R449" i="1" s="1"/>
  <c r="GK449" i="1" s="1"/>
  <c r="AF449" i="1"/>
  <c r="AG449" i="1"/>
  <c r="CU449" i="1" s="1"/>
  <c r="AH449" i="1"/>
  <c r="CV449" i="1" s="1"/>
  <c r="U449" i="1" s="1"/>
  <c r="AI449" i="1"/>
  <c r="AJ449" i="1"/>
  <c r="CQ449" i="1"/>
  <c r="CT449" i="1"/>
  <c r="S449" i="1" s="1"/>
  <c r="CY449" i="1" s="1"/>
  <c r="X449" i="1" s="1"/>
  <c r="CW449" i="1"/>
  <c r="V449" i="1" s="1"/>
  <c r="CX449" i="1"/>
  <c r="FR449" i="1"/>
  <c r="GL449" i="1"/>
  <c r="GN449" i="1"/>
  <c r="GO449" i="1"/>
  <c r="GV449" i="1"/>
  <c r="HC449" i="1" s="1"/>
  <c r="GX449" i="1" s="1"/>
  <c r="AC450" i="1"/>
  <c r="CQ450" i="1" s="1"/>
  <c r="AE450" i="1"/>
  <c r="CS450" i="1" s="1"/>
  <c r="AF450" i="1"/>
  <c r="CT450" i="1" s="1"/>
  <c r="AG450" i="1"/>
  <c r="AH450" i="1"/>
  <c r="AI450" i="1"/>
  <c r="AJ450" i="1"/>
  <c r="CX450" i="1" s="1"/>
  <c r="CR450" i="1"/>
  <c r="CU450" i="1"/>
  <c r="CV450" i="1"/>
  <c r="CW450" i="1"/>
  <c r="FR450" i="1"/>
  <c r="GL450" i="1"/>
  <c r="GN450" i="1"/>
  <c r="GO450" i="1"/>
  <c r="GV450" i="1"/>
  <c r="HC450" i="1" s="1"/>
  <c r="B452" i="1"/>
  <c r="B436" i="1" s="1"/>
  <c r="C452" i="1"/>
  <c r="C436" i="1" s="1"/>
  <c r="D452" i="1"/>
  <c r="D436" i="1" s="1"/>
  <c r="F452" i="1"/>
  <c r="F436" i="1" s="1"/>
  <c r="G452" i="1"/>
  <c r="BX452" i="1"/>
  <c r="CK452" i="1"/>
  <c r="CK436" i="1" s="1"/>
  <c r="CL452" i="1"/>
  <c r="CL436" i="1" s="1"/>
  <c r="CM452" i="1"/>
  <c r="CM436" i="1" s="1"/>
  <c r="D482" i="1"/>
  <c r="E484" i="1"/>
  <c r="F484" i="1"/>
  <c r="Z484" i="1"/>
  <c r="AA484" i="1"/>
  <c r="AM484" i="1"/>
  <c r="AN484" i="1"/>
  <c r="BE484" i="1"/>
  <c r="BF484" i="1"/>
  <c r="BG484" i="1"/>
  <c r="BH484" i="1"/>
  <c r="BI484" i="1"/>
  <c r="BJ484" i="1"/>
  <c r="BK484" i="1"/>
  <c r="BL484" i="1"/>
  <c r="BM484" i="1"/>
  <c r="BN484" i="1"/>
  <c r="BO484" i="1"/>
  <c r="BP484" i="1"/>
  <c r="BQ484" i="1"/>
  <c r="BR484" i="1"/>
  <c r="BS484" i="1"/>
  <c r="BT484" i="1"/>
  <c r="BU484" i="1"/>
  <c r="BV484" i="1"/>
  <c r="BW484" i="1"/>
  <c r="BX484" i="1"/>
  <c r="CN484" i="1"/>
  <c r="CO484" i="1"/>
  <c r="CP484" i="1"/>
  <c r="CQ484" i="1"/>
  <c r="CR484" i="1"/>
  <c r="CS484" i="1"/>
  <c r="CT484" i="1"/>
  <c r="CU484" i="1"/>
  <c r="CV484" i="1"/>
  <c r="CW484" i="1"/>
  <c r="CX484" i="1"/>
  <c r="CY484" i="1"/>
  <c r="CZ484" i="1"/>
  <c r="DA484" i="1"/>
  <c r="DB484" i="1"/>
  <c r="DC484" i="1"/>
  <c r="DD484" i="1"/>
  <c r="DE484" i="1"/>
  <c r="DF484" i="1"/>
  <c r="DG484" i="1"/>
  <c r="DH484" i="1"/>
  <c r="DI484" i="1"/>
  <c r="DJ484" i="1"/>
  <c r="DK484" i="1"/>
  <c r="DL484" i="1"/>
  <c r="DM484" i="1"/>
  <c r="DN484" i="1"/>
  <c r="DO484" i="1"/>
  <c r="DP484" i="1"/>
  <c r="DQ484" i="1"/>
  <c r="DR484" i="1"/>
  <c r="DS484" i="1"/>
  <c r="DT484" i="1"/>
  <c r="DU484" i="1"/>
  <c r="DV484" i="1"/>
  <c r="DW484" i="1"/>
  <c r="DX484" i="1"/>
  <c r="DY484" i="1"/>
  <c r="DZ484" i="1"/>
  <c r="EA484" i="1"/>
  <c r="EB484" i="1"/>
  <c r="EC484" i="1"/>
  <c r="ED484" i="1"/>
  <c r="EE484" i="1"/>
  <c r="EF484" i="1"/>
  <c r="EG484" i="1"/>
  <c r="EH484" i="1"/>
  <c r="EI484" i="1"/>
  <c r="EJ484" i="1"/>
  <c r="EK484" i="1"/>
  <c r="EL484" i="1"/>
  <c r="EM484" i="1"/>
  <c r="EN484" i="1"/>
  <c r="EO484" i="1"/>
  <c r="EP484" i="1"/>
  <c r="EQ484" i="1"/>
  <c r="ER484" i="1"/>
  <c r="ES484" i="1"/>
  <c r="ET484" i="1"/>
  <c r="EU484" i="1"/>
  <c r="EV484" i="1"/>
  <c r="EW484" i="1"/>
  <c r="EX484" i="1"/>
  <c r="EY484" i="1"/>
  <c r="EZ484" i="1"/>
  <c r="FA484" i="1"/>
  <c r="FB484" i="1"/>
  <c r="FC484" i="1"/>
  <c r="FD484" i="1"/>
  <c r="FE484" i="1"/>
  <c r="FF484" i="1"/>
  <c r="FG484" i="1"/>
  <c r="FH484" i="1"/>
  <c r="FI484" i="1"/>
  <c r="FJ484" i="1"/>
  <c r="FK484" i="1"/>
  <c r="FL484" i="1"/>
  <c r="FM484" i="1"/>
  <c r="FN484" i="1"/>
  <c r="FO484" i="1"/>
  <c r="FP484" i="1"/>
  <c r="FQ484" i="1"/>
  <c r="FR484" i="1"/>
  <c r="FS484" i="1"/>
  <c r="FT484" i="1"/>
  <c r="FU484" i="1"/>
  <c r="FV484" i="1"/>
  <c r="FW484" i="1"/>
  <c r="FX484" i="1"/>
  <c r="FY484" i="1"/>
  <c r="FZ484" i="1"/>
  <c r="GA484" i="1"/>
  <c r="GB484" i="1"/>
  <c r="GC484" i="1"/>
  <c r="GD484" i="1"/>
  <c r="GE484" i="1"/>
  <c r="GF484" i="1"/>
  <c r="GG484" i="1"/>
  <c r="GH484" i="1"/>
  <c r="GI484" i="1"/>
  <c r="GJ484" i="1"/>
  <c r="GK484" i="1"/>
  <c r="GL484" i="1"/>
  <c r="GM484" i="1"/>
  <c r="GN484" i="1"/>
  <c r="GO484" i="1"/>
  <c r="GP484" i="1"/>
  <c r="GQ484" i="1"/>
  <c r="GR484" i="1"/>
  <c r="GS484" i="1"/>
  <c r="GT484" i="1"/>
  <c r="GU484" i="1"/>
  <c r="GV484" i="1"/>
  <c r="GW484" i="1"/>
  <c r="GX484" i="1"/>
  <c r="C486" i="1"/>
  <c r="D486" i="1"/>
  <c r="I486" i="1"/>
  <c r="K486" i="1"/>
  <c r="P486" i="1"/>
  <c r="Q486" i="1"/>
  <c r="AC486" i="1"/>
  <c r="AB486" i="1" s="1"/>
  <c r="AD486" i="1"/>
  <c r="AE486" i="1"/>
  <c r="AF486" i="1"/>
  <c r="AG486" i="1"/>
  <c r="AH486" i="1"/>
  <c r="AI486" i="1"/>
  <c r="CW486" i="1" s="1"/>
  <c r="V486" i="1" s="1"/>
  <c r="AJ486" i="1"/>
  <c r="CQ486" i="1"/>
  <c r="CR486" i="1"/>
  <c r="CS486" i="1"/>
  <c r="R486" i="1" s="1"/>
  <c r="CT486" i="1"/>
  <c r="S486" i="1" s="1"/>
  <c r="CU486" i="1"/>
  <c r="T486" i="1" s="1"/>
  <c r="CV486" i="1"/>
  <c r="U486" i="1" s="1"/>
  <c r="CX486" i="1"/>
  <c r="W486" i="1" s="1"/>
  <c r="FR486" i="1"/>
  <c r="GL486" i="1"/>
  <c r="GN486" i="1"/>
  <c r="GO486" i="1"/>
  <c r="GV486" i="1"/>
  <c r="GX486" i="1"/>
  <c r="HC486" i="1"/>
  <c r="I487" i="1"/>
  <c r="V487" i="1"/>
  <c r="AC487" i="1"/>
  <c r="AD487" i="1"/>
  <c r="AE487" i="1"/>
  <c r="AF487" i="1"/>
  <c r="AG487" i="1"/>
  <c r="CU487" i="1" s="1"/>
  <c r="T487" i="1" s="1"/>
  <c r="AG490" i="1" s="1"/>
  <c r="AH487" i="1"/>
  <c r="AI487" i="1"/>
  <c r="AJ487" i="1"/>
  <c r="CX487" i="1" s="1"/>
  <c r="W487" i="1" s="1"/>
  <c r="CQ487" i="1"/>
  <c r="CR487" i="1"/>
  <c r="CS487" i="1"/>
  <c r="R487" i="1" s="1"/>
  <c r="CT487" i="1"/>
  <c r="S487" i="1" s="1"/>
  <c r="CV487" i="1"/>
  <c r="U487" i="1" s="1"/>
  <c r="CW487" i="1"/>
  <c r="FR487" i="1"/>
  <c r="GK487" i="1"/>
  <c r="GL487" i="1"/>
  <c r="GN487" i="1"/>
  <c r="GO487" i="1"/>
  <c r="GV487" i="1"/>
  <c r="GX487" i="1"/>
  <c r="HC487" i="1"/>
  <c r="I488" i="1"/>
  <c r="T488" i="1"/>
  <c r="AC488" i="1"/>
  <c r="AD488" i="1"/>
  <c r="AE488" i="1"/>
  <c r="CS488" i="1" s="1"/>
  <c r="R488" i="1" s="1"/>
  <c r="GK488" i="1" s="1"/>
  <c r="AF488" i="1"/>
  <c r="AG488" i="1"/>
  <c r="AH488" i="1"/>
  <c r="CV488" i="1" s="1"/>
  <c r="U488" i="1" s="1"/>
  <c r="AI488" i="1"/>
  <c r="AJ488" i="1"/>
  <c r="CQ488" i="1"/>
  <c r="P488" i="1" s="1"/>
  <c r="CR488" i="1"/>
  <c r="Q488" i="1" s="1"/>
  <c r="CT488" i="1"/>
  <c r="S488" i="1" s="1"/>
  <c r="CZ488" i="1" s="1"/>
  <c r="Y488" i="1" s="1"/>
  <c r="CU488" i="1"/>
  <c r="CW488" i="1"/>
  <c r="V488" i="1" s="1"/>
  <c r="CX488" i="1"/>
  <c r="W488" i="1" s="1"/>
  <c r="CY488" i="1"/>
  <c r="X488" i="1" s="1"/>
  <c r="FR488" i="1"/>
  <c r="GL488" i="1"/>
  <c r="GN488" i="1"/>
  <c r="GO488" i="1"/>
  <c r="GV488" i="1"/>
  <c r="HC488" i="1" s="1"/>
  <c r="GX488" i="1" s="1"/>
  <c r="B490" i="1"/>
  <c r="B484" i="1" s="1"/>
  <c r="C490" i="1"/>
  <c r="C484" i="1" s="1"/>
  <c r="D490" i="1"/>
  <c r="D484" i="1" s="1"/>
  <c r="F490" i="1"/>
  <c r="G490" i="1"/>
  <c r="G484" i="1" s="1"/>
  <c r="AF490" i="1"/>
  <c r="BX490" i="1"/>
  <c r="AO490" i="1" s="1"/>
  <c r="AO484" i="1" s="1"/>
  <c r="BY490" i="1"/>
  <c r="BY484" i="1" s="1"/>
  <c r="BZ490" i="1"/>
  <c r="BZ484" i="1" s="1"/>
  <c r="CB490" i="1"/>
  <c r="AS490" i="1" s="1"/>
  <c r="F507" i="1" s="1"/>
  <c r="CC490" i="1"/>
  <c r="AT490" i="1" s="1"/>
  <c r="CK490" i="1"/>
  <c r="BB490" i="1" s="1"/>
  <c r="CL490" i="1"/>
  <c r="BC490" i="1" s="1"/>
  <c r="CM490" i="1"/>
  <c r="BD490" i="1" s="1"/>
  <c r="F494" i="1"/>
  <c r="D520" i="1"/>
  <c r="E522" i="1"/>
  <c r="Z522" i="1"/>
  <c r="AA522" i="1"/>
  <c r="AD522" i="1"/>
  <c r="AM522" i="1"/>
  <c r="AN522" i="1"/>
  <c r="BC522" i="1"/>
  <c r="BE522" i="1"/>
  <c r="BF522" i="1"/>
  <c r="BG522" i="1"/>
  <c r="BH522" i="1"/>
  <c r="BI522" i="1"/>
  <c r="BJ522" i="1"/>
  <c r="BK522" i="1"/>
  <c r="BL522" i="1"/>
  <c r="BM522" i="1"/>
  <c r="BN522" i="1"/>
  <c r="BO522" i="1"/>
  <c r="BP522" i="1"/>
  <c r="BQ522" i="1"/>
  <c r="BR522" i="1"/>
  <c r="BS522" i="1"/>
  <c r="BT522" i="1"/>
  <c r="BU522" i="1"/>
  <c r="BV522" i="1"/>
  <c r="BW522" i="1"/>
  <c r="CN522" i="1"/>
  <c r="CO522" i="1"/>
  <c r="CP522" i="1"/>
  <c r="CQ522" i="1"/>
  <c r="CR522" i="1"/>
  <c r="CS522" i="1"/>
  <c r="CT522" i="1"/>
  <c r="CU522" i="1"/>
  <c r="CV522" i="1"/>
  <c r="CW522" i="1"/>
  <c r="CX522" i="1"/>
  <c r="CY522" i="1"/>
  <c r="CZ522" i="1"/>
  <c r="DA522" i="1"/>
  <c r="DB522" i="1"/>
  <c r="DC522" i="1"/>
  <c r="DD522" i="1"/>
  <c r="DE522" i="1"/>
  <c r="DF522" i="1"/>
  <c r="DG522" i="1"/>
  <c r="DH522" i="1"/>
  <c r="DI522" i="1"/>
  <c r="DJ522" i="1"/>
  <c r="DK522" i="1"/>
  <c r="DL522" i="1"/>
  <c r="DM522" i="1"/>
  <c r="DN522" i="1"/>
  <c r="DO522" i="1"/>
  <c r="DP522" i="1"/>
  <c r="DQ522" i="1"/>
  <c r="DR522" i="1"/>
  <c r="DS522" i="1"/>
  <c r="DT522" i="1"/>
  <c r="DU522" i="1"/>
  <c r="DV522" i="1"/>
  <c r="DW522" i="1"/>
  <c r="DX522" i="1"/>
  <c r="DY522" i="1"/>
  <c r="DZ522" i="1"/>
  <c r="EA522" i="1"/>
  <c r="EB522" i="1"/>
  <c r="EC522" i="1"/>
  <c r="ED522" i="1"/>
  <c r="EE522" i="1"/>
  <c r="EF522" i="1"/>
  <c r="EG522" i="1"/>
  <c r="EH522" i="1"/>
  <c r="EI522" i="1"/>
  <c r="EJ522" i="1"/>
  <c r="EK522" i="1"/>
  <c r="EL522" i="1"/>
  <c r="EM522" i="1"/>
  <c r="EN522" i="1"/>
  <c r="EO522" i="1"/>
  <c r="EP522" i="1"/>
  <c r="EQ522" i="1"/>
  <c r="ER522" i="1"/>
  <c r="ES522" i="1"/>
  <c r="ET522" i="1"/>
  <c r="EU522" i="1"/>
  <c r="EV522" i="1"/>
  <c r="EW522" i="1"/>
  <c r="EX522" i="1"/>
  <c r="EY522" i="1"/>
  <c r="EZ522" i="1"/>
  <c r="FA522" i="1"/>
  <c r="FB522" i="1"/>
  <c r="FC522" i="1"/>
  <c r="FD522" i="1"/>
  <c r="FE522" i="1"/>
  <c r="FF522" i="1"/>
  <c r="FG522" i="1"/>
  <c r="FH522" i="1"/>
  <c r="FI522" i="1"/>
  <c r="FJ522" i="1"/>
  <c r="FK522" i="1"/>
  <c r="FL522" i="1"/>
  <c r="FM522" i="1"/>
  <c r="FN522" i="1"/>
  <c r="FO522" i="1"/>
  <c r="FP522" i="1"/>
  <c r="FQ522" i="1"/>
  <c r="FR522" i="1"/>
  <c r="FS522" i="1"/>
  <c r="FT522" i="1"/>
  <c r="FU522" i="1"/>
  <c r="FV522" i="1"/>
  <c r="FW522" i="1"/>
  <c r="FX522" i="1"/>
  <c r="FY522" i="1"/>
  <c r="FZ522" i="1"/>
  <c r="GA522" i="1"/>
  <c r="GB522" i="1"/>
  <c r="GC522" i="1"/>
  <c r="GD522" i="1"/>
  <c r="GE522" i="1"/>
  <c r="GF522" i="1"/>
  <c r="GG522" i="1"/>
  <c r="GH522" i="1"/>
  <c r="GI522" i="1"/>
  <c r="GJ522" i="1"/>
  <c r="GK522" i="1"/>
  <c r="GL522" i="1"/>
  <c r="GM522" i="1"/>
  <c r="GN522" i="1"/>
  <c r="GO522" i="1"/>
  <c r="GP522" i="1"/>
  <c r="GQ522" i="1"/>
  <c r="GR522" i="1"/>
  <c r="GS522" i="1"/>
  <c r="GT522" i="1"/>
  <c r="GU522" i="1"/>
  <c r="GV522" i="1"/>
  <c r="GW522" i="1"/>
  <c r="GX522" i="1"/>
  <c r="C524" i="1"/>
  <c r="D524" i="1"/>
  <c r="I524" i="1"/>
  <c r="K524" i="1"/>
  <c r="R524" i="1"/>
  <c r="S524" i="1"/>
  <c r="AC524" i="1"/>
  <c r="CQ524" i="1" s="1"/>
  <c r="P524" i="1" s="1"/>
  <c r="CP524" i="1" s="1"/>
  <c r="O524" i="1" s="1"/>
  <c r="AE524" i="1"/>
  <c r="AD524" i="1" s="1"/>
  <c r="AB524" i="1" s="1"/>
  <c r="AF524" i="1"/>
  <c r="CT524" i="1" s="1"/>
  <c r="AG524" i="1"/>
  <c r="AH524" i="1"/>
  <c r="CV524" i="1" s="1"/>
  <c r="U524" i="1" s="1"/>
  <c r="AI524" i="1"/>
  <c r="AJ524" i="1"/>
  <c r="CX524" i="1" s="1"/>
  <c r="W524" i="1" s="1"/>
  <c r="AJ528" i="1" s="1"/>
  <c r="CR524" i="1"/>
  <c r="Q524" i="1" s="1"/>
  <c r="CS524" i="1"/>
  <c r="CU524" i="1"/>
  <c r="T524" i="1" s="1"/>
  <c r="AG528" i="1" s="1"/>
  <c r="CW524" i="1"/>
  <c r="V524" i="1" s="1"/>
  <c r="FR524" i="1"/>
  <c r="GL524" i="1"/>
  <c r="GN524" i="1"/>
  <c r="GO524" i="1"/>
  <c r="CC528" i="1" s="1"/>
  <c r="GV524" i="1"/>
  <c r="HC524" i="1" s="1"/>
  <c r="GX524" i="1" s="1"/>
  <c r="I525" i="1"/>
  <c r="P525" i="1"/>
  <c r="Q525" i="1"/>
  <c r="Y525" i="1"/>
  <c r="AC525" i="1"/>
  <c r="AD525" i="1"/>
  <c r="AE525" i="1"/>
  <c r="AF525" i="1"/>
  <c r="CT525" i="1" s="1"/>
  <c r="S525" i="1" s="1"/>
  <c r="CZ525" i="1" s="1"/>
  <c r="AG525" i="1"/>
  <c r="AH525" i="1"/>
  <c r="AI525" i="1"/>
  <c r="CW525" i="1" s="1"/>
  <c r="V525" i="1" s="1"/>
  <c r="AJ525" i="1"/>
  <c r="CQ525" i="1"/>
  <c r="CR525" i="1"/>
  <c r="CS525" i="1"/>
  <c r="R525" i="1" s="1"/>
  <c r="GK525" i="1" s="1"/>
  <c r="CU525" i="1"/>
  <c r="T525" i="1" s="1"/>
  <c r="CV525" i="1"/>
  <c r="U525" i="1" s="1"/>
  <c r="CX525" i="1"/>
  <c r="W525" i="1" s="1"/>
  <c r="CY525" i="1"/>
  <c r="X525" i="1" s="1"/>
  <c r="FR525" i="1"/>
  <c r="GL525" i="1"/>
  <c r="GN525" i="1"/>
  <c r="GO525" i="1"/>
  <c r="GV525" i="1"/>
  <c r="GX525" i="1"/>
  <c r="HC525" i="1"/>
  <c r="I526" i="1"/>
  <c r="Q526" i="1"/>
  <c r="T526" i="1"/>
  <c r="W526" i="1"/>
  <c r="AC526" i="1"/>
  <c r="AD526" i="1"/>
  <c r="AB526" i="1" s="1"/>
  <c r="AE526" i="1"/>
  <c r="AF526" i="1"/>
  <c r="AG526" i="1"/>
  <c r="CU526" i="1" s="1"/>
  <c r="AH526" i="1"/>
  <c r="AI526" i="1"/>
  <c r="CW526" i="1" s="1"/>
  <c r="V526" i="1" s="1"/>
  <c r="AI528" i="1" s="1"/>
  <c r="AJ526" i="1"/>
  <c r="CX526" i="1" s="1"/>
  <c r="CQ526" i="1"/>
  <c r="P526" i="1" s="1"/>
  <c r="CR526" i="1"/>
  <c r="CS526" i="1"/>
  <c r="R526" i="1" s="1"/>
  <c r="GK526" i="1" s="1"/>
  <c r="CT526" i="1"/>
  <c r="S526" i="1" s="1"/>
  <c r="CZ526" i="1" s="1"/>
  <c r="Y526" i="1" s="1"/>
  <c r="CV526" i="1"/>
  <c r="CY526" i="1"/>
  <c r="X526" i="1" s="1"/>
  <c r="FR526" i="1"/>
  <c r="GL526" i="1"/>
  <c r="GN526" i="1"/>
  <c r="GO526" i="1"/>
  <c r="GV526" i="1"/>
  <c r="HC526" i="1"/>
  <c r="GX526" i="1" s="1"/>
  <c r="CJ528" i="1" s="1"/>
  <c r="B528" i="1"/>
  <c r="B522" i="1" s="1"/>
  <c r="C528" i="1"/>
  <c r="C522" i="1" s="1"/>
  <c r="D528" i="1"/>
  <c r="D522" i="1" s="1"/>
  <c r="F528" i="1"/>
  <c r="F522" i="1" s="1"/>
  <c r="G528" i="1"/>
  <c r="G522" i="1" s="1"/>
  <c r="AC528" i="1"/>
  <c r="CH528" i="1" s="1"/>
  <c r="AD528" i="1"/>
  <c r="Q528" i="1" s="1"/>
  <c r="AV528" i="1"/>
  <c r="AV522" i="1" s="1"/>
  <c r="BC528" i="1"/>
  <c r="F544" i="1" s="1"/>
  <c r="BX528" i="1"/>
  <c r="AO528" i="1" s="1"/>
  <c r="AO522" i="1" s="1"/>
  <c r="BY528" i="1"/>
  <c r="BY522" i="1" s="1"/>
  <c r="BZ528" i="1"/>
  <c r="AQ528" i="1" s="1"/>
  <c r="CB528" i="1"/>
  <c r="CB522" i="1" s="1"/>
  <c r="CE528" i="1"/>
  <c r="CE522" i="1" s="1"/>
  <c r="CK528" i="1"/>
  <c r="CK522" i="1" s="1"/>
  <c r="CL528" i="1"/>
  <c r="CL522" i="1" s="1"/>
  <c r="CM528" i="1"/>
  <c r="CM522" i="1" s="1"/>
  <c r="F532" i="1"/>
  <c r="B558" i="1"/>
  <c r="B271" i="1" s="1"/>
  <c r="C558" i="1"/>
  <c r="C271" i="1" s="1"/>
  <c r="D558" i="1"/>
  <c r="D271" i="1" s="1"/>
  <c r="F558" i="1"/>
  <c r="F271" i="1" s="1"/>
  <c r="G558" i="1"/>
  <c r="G271" i="1" s="1"/>
  <c r="D588" i="1"/>
  <c r="D590" i="1"/>
  <c r="E590" i="1"/>
  <c r="Z590" i="1"/>
  <c r="AA590" i="1"/>
  <c r="AM590" i="1"/>
  <c r="AN590" i="1"/>
  <c r="BE590" i="1"/>
  <c r="BF590" i="1"/>
  <c r="BG590" i="1"/>
  <c r="BH590" i="1"/>
  <c r="BI590" i="1"/>
  <c r="BJ590" i="1"/>
  <c r="BK590" i="1"/>
  <c r="BL590" i="1"/>
  <c r="BM590" i="1"/>
  <c r="BN590" i="1"/>
  <c r="BO590" i="1"/>
  <c r="BP590" i="1"/>
  <c r="BQ590" i="1"/>
  <c r="BR590" i="1"/>
  <c r="BS590" i="1"/>
  <c r="BT590" i="1"/>
  <c r="BU590" i="1"/>
  <c r="BV590" i="1"/>
  <c r="BW590" i="1"/>
  <c r="BX590" i="1"/>
  <c r="CM590" i="1"/>
  <c r="CN590" i="1"/>
  <c r="CO590" i="1"/>
  <c r="CP590" i="1"/>
  <c r="CQ590" i="1"/>
  <c r="CR590" i="1"/>
  <c r="CS590" i="1"/>
  <c r="CT590" i="1"/>
  <c r="CU590" i="1"/>
  <c r="CV590" i="1"/>
  <c r="CW590" i="1"/>
  <c r="CX590" i="1"/>
  <c r="CY590" i="1"/>
  <c r="CZ590" i="1"/>
  <c r="DA590" i="1"/>
  <c r="DB590" i="1"/>
  <c r="DC590" i="1"/>
  <c r="DD590" i="1"/>
  <c r="DE590" i="1"/>
  <c r="DF590" i="1"/>
  <c r="DG590" i="1"/>
  <c r="DH590" i="1"/>
  <c r="DI590" i="1"/>
  <c r="DJ590" i="1"/>
  <c r="DK590" i="1"/>
  <c r="DL590" i="1"/>
  <c r="DM590" i="1"/>
  <c r="DN590" i="1"/>
  <c r="DO590" i="1"/>
  <c r="DP590" i="1"/>
  <c r="DQ590" i="1"/>
  <c r="DR590" i="1"/>
  <c r="DS590" i="1"/>
  <c r="DT590" i="1"/>
  <c r="DU590" i="1"/>
  <c r="DV590" i="1"/>
  <c r="DW590" i="1"/>
  <c r="DX590" i="1"/>
  <c r="DY590" i="1"/>
  <c r="DZ590" i="1"/>
  <c r="EA590" i="1"/>
  <c r="EB590" i="1"/>
  <c r="EC590" i="1"/>
  <c r="ED590" i="1"/>
  <c r="EE590" i="1"/>
  <c r="EF590" i="1"/>
  <c r="EG590" i="1"/>
  <c r="EH590" i="1"/>
  <c r="EI590" i="1"/>
  <c r="EJ590" i="1"/>
  <c r="EK590" i="1"/>
  <c r="EL590" i="1"/>
  <c r="EM590" i="1"/>
  <c r="EN590" i="1"/>
  <c r="EO590" i="1"/>
  <c r="EP590" i="1"/>
  <c r="EQ590" i="1"/>
  <c r="ER590" i="1"/>
  <c r="ES590" i="1"/>
  <c r="ET590" i="1"/>
  <c r="EU590" i="1"/>
  <c r="EV590" i="1"/>
  <c r="EW590" i="1"/>
  <c r="EX590" i="1"/>
  <c r="EY590" i="1"/>
  <c r="EZ590" i="1"/>
  <c r="FA590" i="1"/>
  <c r="FB590" i="1"/>
  <c r="FC590" i="1"/>
  <c r="FD590" i="1"/>
  <c r="FE590" i="1"/>
  <c r="FF590" i="1"/>
  <c r="FG590" i="1"/>
  <c r="FH590" i="1"/>
  <c r="FI590" i="1"/>
  <c r="FJ590" i="1"/>
  <c r="FK590" i="1"/>
  <c r="FL590" i="1"/>
  <c r="FM590" i="1"/>
  <c r="FN590" i="1"/>
  <c r="FO590" i="1"/>
  <c r="FP590" i="1"/>
  <c r="FQ590" i="1"/>
  <c r="FR590" i="1"/>
  <c r="FS590" i="1"/>
  <c r="FT590" i="1"/>
  <c r="FU590" i="1"/>
  <c r="FV590" i="1"/>
  <c r="FW590" i="1"/>
  <c r="FX590" i="1"/>
  <c r="FY590" i="1"/>
  <c r="FZ590" i="1"/>
  <c r="GA590" i="1"/>
  <c r="GB590" i="1"/>
  <c r="GC590" i="1"/>
  <c r="GD590" i="1"/>
  <c r="GE590" i="1"/>
  <c r="GF590" i="1"/>
  <c r="GG590" i="1"/>
  <c r="GH590" i="1"/>
  <c r="GI590" i="1"/>
  <c r="GJ590" i="1"/>
  <c r="GK590" i="1"/>
  <c r="GL590" i="1"/>
  <c r="GM590" i="1"/>
  <c r="GN590" i="1"/>
  <c r="GO590" i="1"/>
  <c r="GP590" i="1"/>
  <c r="GQ590" i="1"/>
  <c r="GR590" i="1"/>
  <c r="GS590" i="1"/>
  <c r="GT590" i="1"/>
  <c r="GU590" i="1"/>
  <c r="GV590" i="1"/>
  <c r="GW590" i="1"/>
  <c r="GX590" i="1"/>
  <c r="C592" i="1"/>
  <c r="D592" i="1"/>
  <c r="I592" i="1"/>
  <c r="K592" i="1"/>
  <c r="W592" i="1"/>
  <c r="AC592" i="1"/>
  <c r="AB592" i="1" s="1"/>
  <c r="AD592" i="1"/>
  <c r="AE592" i="1"/>
  <c r="CS592" i="1" s="1"/>
  <c r="R592" i="1" s="1"/>
  <c r="AF592" i="1"/>
  <c r="AG592" i="1"/>
  <c r="AH592" i="1"/>
  <c r="CV592" i="1" s="1"/>
  <c r="U592" i="1" s="1"/>
  <c r="AI592" i="1"/>
  <c r="AJ592" i="1"/>
  <c r="CR592" i="1"/>
  <c r="Q592" i="1" s="1"/>
  <c r="CT592" i="1"/>
  <c r="S592" i="1" s="1"/>
  <c r="CU592" i="1"/>
  <c r="T592" i="1" s="1"/>
  <c r="CW592" i="1"/>
  <c r="V592" i="1" s="1"/>
  <c r="CX592" i="1"/>
  <c r="FR592" i="1"/>
  <c r="GL592" i="1"/>
  <c r="BZ596" i="1" s="1"/>
  <c r="GN592" i="1"/>
  <c r="GO592" i="1"/>
  <c r="GV592" i="1"/>
  <c r="HC592" i="1"/>
  <c r="GX592" i="1" s="1"/>
  <c r="I593" i="1"/>
  <c r="U593" i="1" s="1"/>
  <c r="AC593" i="1"/>
  <c r="CQ593" i="1" s="1"/>
  <c r="P593" i="1" s="1"/>
  <c r="AE593" i="1"/>
  <c r="AD593" i="1" s="1"/>
  <c r="AB593" i="1" s="1"/>
  <c r="AF593" i="1"/>
  <c r="CT593" i="1" s="1"/>
  <c r="S593" i="1" s="1"/>
  <c r="AG593" i="1"/>
  <c r="AH593" i="1"/>
  <c r="AI593" i="1"/>
  <c r="CW593" i="1" s="1"/>
  <c r="V593" i="1" s="1"/>
  <c r="AJ593" i="1"/>
  <c r="CX593" i="1" s="1"/>
  <c r="W593" i="1" s="1"/>
  <c r="CS593" i="1"/>
  <c r="R593" i="1" s="1"/>
  <c r="GK593" i="1" s="1"/>
  <c r="CU593" i="1"/>
  <c r="T593" i="1" s="1"/>
  <c r="CV593" i="1"/>
  <c r="FR593" i="1"/>
  <c r="GL593" i="1"/>
  <c r="GN593" i="1"/>
  <c r="GO593" i="1"/>
  <c r="GV593" i="1"/>
  <c r="HC593" i="1" s="1"/>
  <c r="GX593" i="1" s="1"/>
  <c r="I594" i="1"/>
  <c r="Q594" i="1"/>
  <c r="S594" i="1"/>
  <c r="CZ594" i="1" s="1"/>
  <c r="Y594" i="1" s="1"/>
  <c r="AC594" i="1"/>
  <c r="AB594" i="1" s="1"/>
  <c r="AD594" i="1"/>
  <c r="AE594" i="1"/>
  <c r="AF594" i="1"/>
  <c r="AG594" i="1"/>
  <c r="CU594" i="1" s="1"/>
  <c r="T594" i="1" s="1"/>
  <c r="AH594" i="1"/>
  <c r="CV594" i="1" s="1"/>
  <c r="U594" i="1" s="1"/>
  <c r="AI594" i="1"/>
  <c r="CW594" i="1" s="1"/>
  <c r="V594" i="1" s="1"/>
  <c r="AJ594" i="1"/>
  <c r="CQ594" i="1"/>
  <c r="P594" i="1" s="1"/>
  <c r="CP594" i="1" s="1"/>
  <c r="O594" i="1" s="1"/>
  <c r="CR594" i="1"/>
  <c r="CS594" i="1"/>
  <c r="R594" i="1" s="1"/>
  <c r="GK594" i="1" s="1"/>
  <c r="CT594" i="1"/>
  <c r="CX594" i="1"/>
  <c r="W594" i="1" s="1"/>
  <c r="CY594" i="1"/>
  <c r="X594" i="1" s="1"/>
  <c r="FR594" i="1"/>
  <c r="GL594" i="1"/>
  <c r="GN594" i="1"/>
  <c r="GO594" i="1"/>
  <c r="CC596" i="1" s="1"/>
  <c r="GV594" i="1"/>
  <c r="HC594" i="1"/>
  <c r="GX594" i="1" s="1"/>
  <c r="B596" i="1"/>
  <c r="B590" i="1" s="1"/>
  <c r="C596" i="1"/>
  <c r="C590" i="1" s="1"/>
  <c r="D596" i="1"/>
  <c r="F596" i="1"/>
  <c r="F590" i="1" s="1"/>
  <c r="G596" i="1"/>
  <c r="G590" i="1" s="1"/>
  <c r="BX596" i="1"/>
  <c r="AO596" i="1" s="1"/>
  <c r="BY596" i="1"/>
  <c r="CI596" i="1" s="1"/>
  <c r="CB596" i="1"/>
  <c r="AS596" i="1" s="1"/>
  <c r="CK596" i="1"/>
  <c r="BB596" i="1" s="1"/>
  <c r="CL596" i="1"/>
  <c r="BC596" i="1" s="1"/>
  <c r="CM596" i="1"/>
  <c r="BD596" i="1" s="1"/>
  <c r="D626" i="1"/>
  <c r="E628" i="1"/>
  <c r="Z628" i="1"/>
  <c r="AA628" i="1"/>
  <c r="AM628" i="1"/>
  <c r="AN628" i="1"/>
  <c r="BE628" i="1"/>
  <c r="BF628" i="1"/>
  <c r="BG628" i="1"/>
  <c r="BH628" i="1"/>
  <c r="BI628" i="1"/>
  <c r="BJ628" i="1"/>
  <c r="BK628" i="1"/>
  <c r="BL628" i="1"/>
  <c r="BM628" i="1"/>
  <c r="BN628" i="1"/>
  <c r="BO628" i="1"/>
  <c r="BP628" i="1"/>
  <c r="BQ628" i="1"/>
  <c r="BR628" i="1"/>
  <c r="BS628" i="1"/>
  <c r="BT628" i="1"/>
  <c r="BU628" i="1"/>
  <c r="BV628" i="1"/>
  <c r="BW628" i="1"/>
  <c r="CN628" i="1"/>
  <c r="CO628" i="1"/>
  <c r="CP628" i="1"/>
  <c r="CQ628" i="1"/>
  <c r="CR628" i="1"/>
  <c r="CS628" i="1"/>
  <c r="CT628" i="1"/>
  <c r="CU628" i="1"/>
  <c r="CV628" i="1"/>
  <c r="CW628" i="1"/>
  <c r="CX628" i="1"/>
  <c r="CY628" i="1"/>
  <c r="CZ628" i="1"/>
  <c r="DA628" i="1"/>
  <c r="DB628" i="1"/>
  <c r="DC628" i="1"/>
  <c r="DD628" i="1"/>
  <c r="DE628" i="1"/>
  <c r="DF628" i="1"/>
  <c r="DG628" i="1"/>
  <c r="DH628" i="1"/>
  <c r="DI628" i="1"/>
  <c r="DJ628" i="1"/>
  <c r="DK628" i="1"/>
  <c r="DL628" i="1"/>
  <c r="DM628" i="1"/>
  <c r="DN628" i="1"/>
  <c r="DO628" i="1"/>
  <c r="DP628" i="1"/>
  <c r="DQ628" i="1"/>
  <c r="DR628" i="1"/>
  <c r="DS628" i="1"/>
  <c r="DT628" i="1"/>
  <c r="DU628" i="1"/>
  <c r="DV628" i="1"/>
  <c r="DW628" i="1"/>
  <c r="DX628" i="1"/>
  <c r="DY628" i="1"/>
  <c r="DZ628" i="1"/>
  <c r="EA628" i="1"/>
  <c r="EB628" i="1"/>
  <c r="EC628" i="1"/>
  <c r="ED628" i="1"/>
  <c r="EE628" i="1"/>
  <c r="EF628" i="1"/>
  <c r="EG628" i="1"/>
  <c r="EH628" i="1"/>
  <c r="EI628" i="1"/>
  <c r="EJ628" i="1"/>
  <c r="EK628" i="1"/>
  <c r="EL628" i="1"/>
  <c r="EM628" i="1"/>
  <c r="EN628" i="1"/>
  <c r="EO628" i="1"/>
  <c r="EP628" i="1"/>
  <c r="EQ628" i="1"/>
  <c r="ER628" i="1"/>
  <c r="ES628" i="1"/>
  <c r="ET628" i="1"/>
  <c r="EU628" i="1"/>
  <c r="EV628" i="1"/>
  <c r="EW628" i="1"/>
  <c r="EX628" i="1"/>
  <c r="EY628" i="1"/>
  <c r="EZ628" i="1"/>
  <c r="FA628" i="1"/>
  <c r="FB628" i="1"/>
  <c r="FC628" i="1"/>
  <c r="FD628" i="1"/>
  <c r="FE628" i="1"/>
  <c r="FF628" i="1"/>
  <c r="FG628" i="1"/>
  <c r="FH628" i="1"/>
  <c r="FI628" i="1"/>
  <c r="FJ628" i="1"/>
  <c r="FK628" i="1"/>
  <c r="FL628" i="1"/>
  <c r="FM628" i="1"/>
  <c r="FN628" i="1"/>
  <c r="FO628" i="1"/>
  <c r="FP628" i="1"/>
  <c r="FQ628" i="1"/>
  <c r="FR628" i="1"/>
  <c r="FS628" i="1"/>
  <c r="FT628" i="1"/>
  <c r="FU628" i="1"/>
  <c r="FV628" i="1"/>
  <c r="FW628" i="1"/>
  <c r="FX628" i="1"/>
  <c r="FY628" i="1"/>
  <c r="FZ628" i="1"/>
  <c r="GA628" i="1"/>
  <c r="GB628" i="1"/>
  <c r="GC628" i="1"/>
  <c r="GD628" i="1"/>
  <c r="GE628" i="1"/>
  <c r="GF628" i="1"/>
  <c r="GG628" i="1"/>
  <c r="GH628" i="1"/>
  <c r="GI628" i="1"/>
  <c r="GJ628" i="1"/>
  <c r="GK628" i="1"/>
  <c r="GL628" i="1"/>
  <c r="GM628" i="1"/>
  <c r="GN628" i="1"/>
  <c r="GO628" i="1"/>
  <c r="GP628" i="1"/>
  <c r="GQ628" i="1"/>
  <c r="GR628" i="1"/>
  <c r="GS628" i="1"/>
  <c r="GT628" i="1"/>
  <c r="GU628" i="1"/>
  <c r="GV628" i="1"/>
  <c r="GW628" i="1"/>
  <c r="GX628" i="1"/>
  <c r="C630" i="1"/>
  <c r="D630" i="1"/>
  <c r="Q630" i="1"/>
  <c r="S630" i="1"/>
  <c r="CZ630" i="1" s="1"/>
  <c r="Y630" i="1" s="1"/>
  <c r="AC630" i="1"/>
  <c r="AB630" i="1" s="1"/>
  <c r="AD630" i="1"/>
  <c r="AE630" i="1"/>
  <c r="AF630" i="1"/>
  <c r="AG630" i="1"/>
  <c r="CU630" i="1" s="1"/>
  <c r="T630" i="1" s="1"/>
  <c r="AH630" i="1"/>
  <c r="CV630" i="1" s="1"/>
  <c r="U630" i="1" s="1"/>
  <c r="AI630" i="1"/>
  <c r="CW630" i="1" s="1"/>
  <c r="V630" i="1" s="1"/>
  <c r="AI634" i="1" s="1"/>
  <c r="AJ630" i="1"/>
  <c r="CQ630" i="1"/>
  <c r="P630" i="1" s="1"/>
  <c r="CR630" i="1"/>
  <c r="CS630" i="1"/>
  <c r="R630" i="1" s="1"/>
  <c r="CT630" i="1"/>
  <c r="CX630" i="1"/>
  <c r="W630" i="1" s="1"/>
  <c r="AJ634" i="1" s="1"/>
  <c r="CY630" i="1"/>
  <c r="X630" i="1" s="1"/>
  <c r="FR630" i="1"/>
  <c r="GL630" i="1"/>
  <c r="BZ634" i="1" s="1"/>
  <c r="GN630" i="1"/>
  <c r="GO630" i="1"/>
  <c r="CC634" i="1" s="1"/>
  <c r="GV630" i="1"/>
  <c r="HC630" i="1"/>
  <c r="GX630" i="1" s="1"/>
  <c r="CJ634" i="1" s="1"/>
  <c r="C631" i="1"/>
  <c r="D631" i="1"/>
  <c r="I631" i="1"/>
  <c r="K631" i="1"/>
  <c r="V631" i="1"/>
  <c r="AC631" i="1"/>
  <c r="CQ631" i="1" s="1"/>
  <c r="P631" i="1" s="1"/>
  <c r="AD631" i="1"/>
  <c r="AE631" i="1"/>
  <c r="AF631" i="1"/>
  <c r="AB631" i="1" s="1"/>
  <c r="AG631" i="1"/>
  <c r="CU631" i="1" s="1"/>
  <c r="T631" i="1" s="1"/>
  <c r="AH631" i="1"/>
  <c r="AI631" i="1"/>
  <c r="AJ631" i="1"/>
  <c r="CX631" i="1" s="1"/>
  <c r="W631" i="1" s="1"/>
  <c r="CR631" i="1"/>
  <c r="Q631" i="1" s="1"/>
  <c r="CS631" i="1"/>
  <c r="R631" i="1" s="1"/>
  <c r="CT631" i="1"/>
  <c r="S631" i="1" s="1"/>
  <c r="CV631" i="1"/>
  <c r="U631" i="1" s="1"/>
  <c r="CW631" i="1"/>
  <c r="FR631" i="1"/>
  <c r="GL631" i="1"/>
  <c r="GN631" i="1"/>
  <c r="GO631" i="1"/>
  <c r="GV631" i="1"/>
  <c r="HC631" i="1"/>
  <c r="GX631" i="1" s="1"/>
  <c r="C632" i="1"/>
  <c r="D632" i="1"/>
  <c r="I632" i="1"/>
  <c r="K632" i="1"/>
  <c r="R632" i="1"/>
  <c r="AC632" i="1"/>
  <c r="AE632" i="1"/>
  <c r="AD632" i="1" s="1"/>
  <c r="AF632" i="1"/>
  <c r="CT632" i="1" s="1"/>
  <c r="S632" i="1" s="1"/>
  <c r="AG632" i="1"/>
  <c r="CU632" i="1" s="1"/>
  <c r="T632" i="1" s="1"/>
  <c r="AH632" i="1"/>
  <c r="CV632" i="1" s="1"/>
  <c r="U632" i="1" s="1"/>
  <c r="AI632" i="1"/>
  <c r="AJ632" i="1"/>
  <c r="CR632" i="1"/>
  <c r="Q632" i="1" s="1"/>
  <c r="CS632" i="1"/>
  <c r="CW632" i="1"/>
  <c r="V632" i="1" s="1"/>
  <c r="CX632" i="1"/>
  <c r="W632" i="1" s="1"/>
  <c r="FR632" i="1"/>
  <c r="GL632" i="1"/>
  <c r="GN632" i="1"/>
  <c r="GO632" i="1"/>
  <c r="GV632" i="1"/>
  <c r="HC632" i="1"/>
  <c r="GX632" i="1" s="1"/>
  <c r="B634" i="1"/>
  <c r="B628" i="1" s="1"/>
  <c r="C634" i="1"/>
  <c r="C628" i="1" s="1"/>
  <c r="D634" i="1"/>
  <c r="D628" i="1" s="1"/>
  <c r="F634" i="1"/>
  <c r="F628" i="1" s="1"/>
  <c r="G634" i="1"/>
  <c r="G628" i="1" s="1"/>
  <c r="BX634" i="1"/>
  <c r="BX628" i="1" s="1"/>
  <c r="BY634" i="1"/>
  <c r="CI634" i="1" s="1"/>
  <c r="CB634" i="1"/>
  <c r="CB628" i="1" s="1"/>
  <c r="CK634" i="1"/>
  <c r="CK628" i="1" s="1"/>
  <c r="CL634" i="1"/>
  <c r="CL628" i="1" s="1"/>
  <c r="CM634" i="1"/>
  <c r="CM628" i="1" s="1"/>
  <c r="B664" i="1"/>
  <c r="B22" i="1" s="1"/>
  <c r="C664" i="1"/>
  <c r="C22" i="1" s="1"/>
  <c r="D664" i="1"/>
  <c r="D22" i="1" s="1"/>
  <c r="F664" i="1"/>
  <c r="F22" i="1" s="1"/>
  <c r="G664" i="1"/>
  <c r="G22" i="1" s="1"/>
  <c r="B694" i="1"/>
  <c r="B18" i="1" s="1"/>
  <c r="C694" i="1"/>
  <c r="C18" i="1" s="1"/>
  <c r="D694" i="1"/>
  <c r="D18" i="1" s="1"/>
  <c r="F694" i="1"/>
  <c r="F18" i="1" s="1"/>
  <c r="G694" i="1"/>
  <c r="G18" i="1" s="1"/>
  <c r="F725" i="1"/>
  <c r="F12" i="6"/>
  <c r="G12" i="6"/>
  <c r="CY12" i="6"/>
  <c r="T56" i="10" l="1"/>
  <c r="R24" i="10"/>
  <c r="M31" i="10"/>
  <c r="F17" i="9" s="1"/>
  <c r="O152" i="10"/>
  <c r="M152" i="10"/>
  <c r="F175" i="9" s="1"/>
  <c r="T155" i="10"/>
  <c r="R155" i="10"/>
  <c r="R9" i="10"/>
  <c r="O13" i="10"/>
  <c r="M14" i="10"/>
  <c r="F25" i="9" s="1"/>
  <c r="T16" i="10"/>
  <c r="R17" i="10"/>
  <c r="O21" i="10"/>
  <c r="M22" i="10"/>
  <c r="F16" i="9" s="1"/>
  <c r="R25" i="10"/>
  <c r="M32" i="10"/>
  <c r="F14" i="9" s="1"/>
  <c r="R34" i="10"/>
  <c r="O46" i="10"/>
  <c r="M47" i="10"/>
  <c r="F64" i="9" s="1"/>
  <c r="T49" i="10"/>
  <c r="R50" i="10"/>
  <c r="O54" i="10"/>
  <c r="M55" i="10"/>
  <c r="F51" i="9" s="1"/>
  <c r="E52" i="9" s="1"/>
  <c r="M56" i="10"/>
  <c r="F66" i="9" s="1"/>
  <c r="M57" i="10"/>
  <c r="F68" i="9" s="1"/>
  <c r="T59" i="10"/>
  <c r="R60" i="10"/>
  <c r="O65" i="10"/>
  <c r="T76" i="10"/>
  <c r="R79" i="10"/>
  <c r="O83" i="10"/>
  <c r="M84" i="10"/>
  <c r="F104" i="9" s="1"/>
  <c r="T86" i="10"/>
  <c r="R87" i="10"/>
  <c r="O91" i="10"/>
  <c r="M92" i="10"/>
  <c r="F100" i="9" s="1"/>
  <c r="M95" i="10"/>
  <c r="F88" i="9" s="1"/>
  <c r="E92" i="9" s="1"/>
  <c r="R108" i="10"/>
  <c r="T109" i="10"/>
  <c r="O122" i="10"/>
  <c r="O130" i="10"/>
  <c r="M158" i="10"/>
  <c r="F174" i="9" s="1"/>
  <c r="E176" i="9" s="1"/>
  <c r="R10" i="10"/>
  <c r="M15" i="10"/>
  <c r="F19" i="9" s="1"/>
  <c r="R18" i="10"/>
  <c r="M23" i="10"/>
  <c r="F13" i="9" s="1"/>
  <c r="R28" i="10"/>
  <c r="R35" i="10"/>
  <c r="O39" i="10"/>
  <c r="M40" i="10"/>
  <c r="F41" i="9" s="1"/>
  <c r="E48" i="9" s="1"/>
  <c r="M41" i="10"/>
  <c r="F45" i="9" s="1"/>
  <c r="R43" i="10"/>
  <c r="D56" i="9"/>
  <c r="M48" i="10"/>
  <c r="F63" i="9" s="1"/>
  <c r="R51" i="10"/>
  <c r="M58" i="10"/>
  <c r="R62" i="10"/>
  <c r="M68" i="10"/>
  <c r="F74" i="9" s="1"/>
  <c r="M69" i="10"/>
  <c r="F73" i="9" s="1"/>
  <c r="R71" i="10"/>
  <c r="M75" i="10"/>
  <c r="F90" i="9" s="1"/>
  <c r="R80" i="10"/>
  <c r="M85" i="10"/>
  <c r="F102" i="9" s="1"/>
  <c r="R88" i="10"/>
  <c r="O93" i="10"/>
  <c r="O100" i="10"/>
  <c r="O115" i="10"/>
  <c r="M115" i="10"/>
  <c r="O141" i="10"/>
  <c r="M149" i="10"/>
  <c r="F162" i="9" s="1"/>
  <c r="E164" i="9" s="1"/>
  <c r="O160" i="10"/>
  <c r="M160" i="10"/>
  <c r="F179" i="9" s="1"/>
  <c r="E182" i="9" s="1"/>
  <c r="T163" i="10"/>
  <c r="R163" i="10"/>
  <c r="O96" i="10"/>
  <c r="O56" i="10"/>
  <c r="O57" i="10"/>
  <c r="T72" i="10"/>
  <c r="M77" i="10"/>
  <c r="F106" i="9" s="1"/>
  <c r="M78" i="10"/>
  <c r="F103" i="9" s="1"/>
  <c r="F151" i="9"/>
  <c r="D140" i="9"/>
  <c r="D150" i="9"/>
  <c r="M134" i="10"/>
  <c r="F150" i="9" s="1"/>
  <c r="O135" i="10"/>
  <c r="T137" i="10"/>
  <c r="R137" i="10"/>
  <c r="D152" i="9"/>
  <c r="E129" i="9"/>
  <c r="M116" i="10"/>
  <c r="F129" i="9" s="1"/>
  <c r="O124" i="10"/>
  <c r="M124" i="10"/>
  <c r="F149" i="9" s="1"/>
  <c r="T127" i="10"/>
  <c r="R127" i="10"/>
  <c r="O132" i="10"/>
  <c r="M132" i="10"/>
  <c r="F138" i="9" s="1"/>
  <c r="M66" i="10"/>
  <c r="F61" i="9" s="1"/>
  <c r="M9" i="10"/>
  <c r="F18" i="9" s="1"/>
  <c r="R12" i="10"/>
  <c r="M17" i="10"/>
  <c r="F12" i="9" s="1"/>
  <c r="R20" i="10"/>
  <c r="M25" i="10"/>
  <c r="F23" i="9" s="1"/>
  <c r="M26" i="10"/>
  <c r="F34" i="9" s="1"/>
  <c r="M27" i="10"/>
  <c r="F31" i="9" s="1"/>
  <c r="R30" i="10"/>
  <c r="M34" i="10"/>
  <c r="F38" i="9" s="1"/>
  <c r="E39" i="9" s="1"/>
  <c r="R37" i="10"/>
  <c r="R45" i="10"/>
  <c r="M50" i="10"/>
  <c r="F59" i="9" s="1"/>
  <c r="R53" i="10"/>
  <c r="M60" i="10"/>
  <c r="F56" i="9" s="1"/>
  <c r="E70" i="9" s="1"/>
  <c r="M61" i="10"/>
  <c r="F69" i="9" s="1"/>
  <c r="R64" i="10"/>
  <c r="M79" i="10"/>
  <c r="F105" i="9" s="1"/>
  <c r="R82" i="10"/>
  <c r="M87" i="10"/>
  <c r="F97" i="9" s="1"/>
  <c r="E107" i="9" s="1"/>
  <c r="R90" i="10"/>
  <c r="T96" i="10"/>
  <c r="M140" i="10"/>
  <c r="F144" i="9" s="1"/>
  <c r="R143" i="10"/>
  <c r="R152" i="10"/>
  <c r="T153" i="10"/>
  <c r="M157" i="10"/>
  <c r="F167" i="9" s="1"/>
  <c r="D180" i="9"/>
  <c r="T57" i="10"/>
  <c r="O38" i="10"/>
  <c r="F67" i="9"/>
  <c r="D63" i="9"/>
  <c r="F58" i="9"/>
  <c r="R56" i="10"/>
  <c r="M72" i="10"/>
  <c r="F79" i="9" s="1"/>
  <c r="E80" i="9" s="1"/>
  <c r="O108" i="10"/>
  <c r="M108" i="10"/>
  <c r="F124" i="9" s="1"/>
  <c r="T111" i="10"/>
  <c r="R111" i="10"/>
  <c r="O134" i="10"/>
  <c r="M144" i="10"/>
  <c r="F145" i="9" s="1"/>
  <c r="E145" i="9"/>
  <c r="O102" i="10"/>
  <c r="M102" i="10"/>
  <c r="F112" i="9" s="1"/>
  <c r="O143" i="10"/>
  <c r="M143" i="10"/>
  <c r="F142" i="9" s="1"/>
  <c r="E35" i="9"/>
  <c r="R41" i="10"/>
  <c r="T66" i="10"/>
  <c r="R68" i="10"/>
  <c r="R69" i="10"/>
  <c r="E117" i="9"/>
  <c r="D131" i="9"/>
  <c r="E157" i="9"/>
  <c r="M110" i="10"/>
  <c r="F122" i="9" s="1"/>
  <c r="E126" i="9" s="1"/>
  <c r="M118" i="10"/>
  <c r="R121" i="10"/>
  <c r="M126" i="10"/>
  <c r="F147" i="9" s="1"/>
  <c r="R129" i="10"/>
  <c r="M136" i="10"/>
  <c r="R140" i="10"/>
  <c r="M146" i="10"/>
  <c r="F158" i="9" s="1"/>
  <c r="E159" i="9" s="1"/>
  <c r="R149" i="10"/>
  <c r="M154" i="10"/>
  <c r="F170" i="9" s="1"/>
  <c r="R157" i="10"/>
  <c r="M162" i="10"/>
  <c r="F180" i="9" s="1"/>
  <c r="I52" i="7"/>
  <c r="I479" i="7"/>
  <c r="I112" i="7"/>
  <c r="I124" i="7"/>
  <c r="I173" i="7"/>
  <c r="I220" i="7"/>
  <c r="I270" i="7"/>
  <c r="K291" i="7"/>
  <c r="P291" i="7"/>
  <c r="I320" i="7"/>
  <c r="K359" i="7"/>
  <c r="P359" i="7"/>
  <c r="I450" i="7"/>
  <c r="I500" i="7"/>
  <c r="I44" i="7"/>
  <c r="I334" i="7"/>
  <c r="K59" i="7"/>
  <c r="P59" i="7"/>
  <c r="K131" i="7"/>
  <c r="P131" i="7"/>
  <c r="I159" i="7"/>
  <c r="I182" i="7"/>
  <c r="I190" i="7"/>
  <c r="I253" i="7"/>
  <c r="I260" i="7"/>
  <c r="K298" i="7"/>
  <c r="P298" i="7"/>
  <c r="I384" i="7"/>
  <c r="K396" i="7"/>
  <c r="P396" i="7"/>
  <c r="I417" i="7"/>
  <c r="I441" i="7"/>
  <c r="K101" i="7"/>
  <c r="P101" i="7"/>
  <c r="I375" i="7"/>
  <c r="K510" i="7"/>
  <c r="P510" i="7"/>
  <c r="I520" i="7" s="1"/>
  <c r="I235" i="7"/>
  <c r="I347" i="7"/>
  <c r="I366" i="7"/>
  <c r="I464" i="7"/>
  <c r="P140" i="7"/>
  <c r="K140" i="7"/>
  <c r="I70" i="7"/>
  <c r="I91" i="7"/>
  <c r="I206" i="7"/>
  <c r="I280" i="7"/>
  <c r="I403" i="7"/>
  <c r="P518" i="7"/>
  <c r="K518" i="7"/>
  <c r="I81" i="7"/>
  <c r="K152" i="7"/>
  <c r="P152" i="7"/>
  <c r="I197" i="7"/>
  <c r="K309" i="7"/>
  <c r="P309" i="7"/>
  <c r="I426" i="7"/>
  <c r="I434" i="7"/>
  <c r="CJ628" i="1"/>
  <c r="BA634" i="1"/>
  <c r="AZ596" i="1"/>
  <c r="CI590" i="1"/>
  <c r="AH634" i="1"/>
  <c r="BB590" i="1"/>
  <c r="F609" i="1"/>
  <c r="CJ596" i="1"/>
  <c r="AG596" i="1"/>
  <c r="AE596" i="1"/>
  <c r="GK592" i="1"/>
  <c r="CH522" i="1"/>
  <c r="AY528" i="1"/>
  <c r="AJ628" i="1"/>
  <c r="W634" i="1"/>
  <c r="AG634" i="1"/>
  <c r="F613" i="1"/>
  <c r="AS590" i="1"/>
  <c r="CY592" i="1"/>
  <c r="X592" i="1" s="1"/>
  <c r="CZ592" i="1"/>
  <c r="Y592" i="1" s="1"/>
  <c r="AF596" i="1"/>
  <c r="AJ522" i="1"/>
  <c r="W528" i="1"/>
  <c r="CZ632" i="1"/>
  <c r="Y632" i="1" s="1"/>
  <c r="CY632" i="1"/>
  <c r="X632" i="1" s="1"/>
  <c r="AQ522" i="1"/>
  <c r="F538" i="1"/>
  <c r="AG484" i="1"/>
  <c r="T490" i="1"/>
  <c r="CZ440" i="1"/>
  <c r="Y440" i="1" s="1"/>
  <c r="CY440" i="1"/>
  <c r="X440" i="1" s="1"/>
  <c r="CY631" i="1"/>
  <c r="X631" i="1" s="1"/>
  <c r="AK634" i="1" s="1"/>
  <c r="CZ631" i="1"/>
  <c r="Y631" i="1" s="1"/>
  <c r="AL634" i="1" s="1"/>
  <c r="AF634" i="1"/>
  <c r="GK630" i="1"/>
  <c r="AE634" i="1"/>
  <c r="AO590" i="1"/>
  <c r="F600" i="1"/>
  <c r="AT596" i="1"/>
  <c r="CC590" i="1"/>
  <c r="AJ596" i="1"/>
  <c r="AI522" i="1"/>
  <c r="V528" i="1"/>
  <c r="AB632" i="1"/>
  <c r="AD634" i="1"/>
  <c r="CP631" i="1"/>
  <c r="O631" i="1" s="1"/>
  <c r="CC628" i="1"/>
  <c r="AT634" i="1"/>
  <c r="GM594" i="1"/>
  <c r="GP594" i="1" s="1"/>
  <c r="CZ593" i="1"/>
  <c r="Y593" i="1" s="1"/>
  <c r="CY593" i="1"/>
  <c r="X593" i="1" s="1"/>
  <c r="BZ590" i="1"/>
  <c r="CG596" i="1"/>
  <c r="AQ596" i="1"/>
  <c r="CP440" i="1"/>
  <c r="O440" i="1" s="1"/>
  <c r="GM440" i="1" s="1"/>
  <c r="GP440" i="1" s="1"/>
  <c r="AZ634" i="1"/>
  <c r="CI628" i="1"/>
  <c r="AH596" i="1"/>
  <c r="CP630" i="1"/>
  <c r="O630" i="1" s="1"/>
  <c r="BZ628" i="1"/>
  <c r="AQ634" i="1"/>
  <c r="CG634" i="1"/>
  <c r="BD590" i="1"/>
  <c r="F621" i="1"/>
  <c r="CJ522" i="1"/>
  <c r="BA528" i="1"/>
  <c r="AG522" i="1"/>
  <c r="T528" i="1"/>
  <c r="AI628" i="1"/>
  <c r="V634" i="1"/>
  <c r="BC590" i="1"/>
  <c r="F612" i="1"/>
  <c r="AI596" i="1"/>
  <c r="Q522" i="1"/>
  <c r="F540" i="1"/>
  <c r="AH528" i="1"/>
  <c r="AO634" i="1"/>
  <c r="CR593" i="1"/>
  <c r="Q593" i="1" s="1"/>
  <c r="CP593" i="1" s="1"/>
  <c r="O593" i="1" s="1"/>
  <c r="GM593" i="1" s="1"/>
  <c r="GP593" i="1" s="1"/>
  <c r="AS634" i="1"/>
  <c r="CQ632" i="1"/>
  <c r="P632" i="1" s="1"/>
  <c r="CP632" i="1" s="1"/>
  <c r="O632" i="1" s="1"/>
  <c r="GM632" i="1" s="1"/>
  <c r="GP632" i="1" s="1"/>
  <c r="BY590" i="1"/>
  <c r="AB525" i="1"/>
  <c r="P487" i="1"/>
  <c r="CY486" i="1"/>
  <c r="X486" i="1" s="1"/>
  <c r="CZ486" i="1"/>
  <c r="Y486" i="1" s="1"/>
  <c r="AS484" i="1"/>
  <c r="AB447" i="1"/>
  <c r="CZ445" i="1"/>
  <c r="Y445" i="1" s="1"/>
  <c r="R442" i="1"/>
  <c r="GK442" i="1" s="1"/>
  <c r="CY441" i="1"/>
  <c r="X441" i="1" s="1"/>
  <c r="GM441" i="1" s="1"/>
  <c r="GP441" i="1" s="1"/>
  <c r="CZ441" i="1"/>
  <c r="Y441" i="1" s="1"/>
  <c r="CZ438" i="1"/>
  <c r="Y438" i="1" s="1"/>
  <c r="CY438" i="1"/>
  <c r="X438" i="1" s="1"/>
  <c r="S402" i="1"/>
  <c r="AB399" i="1"/>
  <c r="S325" i="1"/>
  <c r="CZ524" i="1"/>
  <c r="Y524" i="1" s="1"/>
  <c r="AL528" i="1" s="1"/>
  <c r="CY524" i="1"/>
  <c r="X524" i="1" s="1"/>
  <c r="AK528" i="1" s="1"/>
  <c r="AF484" i="1"/>
  <c r="S490" i="1"/>
  <c r="GK486" i="1"/>
  <c r="AE490" i="1"/>
  <c r="CJ275" i="1"/>
  <c r="BA290" i="1"/>
  <c r="GK524" i="1"/>
  <c r="AE528" i="1"/>
  <c r="CI490" i="1"/>
  <c r="CR449" i="1"/>
  <c r="Q449" i="1" s="1"/>
  <c r="AD449" i="1"/>
  <c r="CY448" i="1"/>
  <c r="X448" i="1" s="1"/>
  <c r="CZ448" i="1"/>
  <c r="Y448" i="1" s="1"/>
  <c r="CP443" i="1"/>
  <c r="O443" i="1" s="1"/>
  <c r="GM443" i="1" s="1"/>
  <c r="GP443" i="1" s="1"/>
  <c r="CP438" i="1"/>
  <c r="O438" i="1" s="1"/>
  <c r="P402" i="1"/>
  <c r="CP402" i="1" s="1"/>
  <c r="O402" i="1" s="1"/>
  <c r="CY401" i="1"/>
  <c r="X401" i="1" s="1"/>
  <c r="CZ401" i="1"/>
  <c r="Y401" i="1" s="1"/>
  <c r="CP361" i="1"/>
  <c r="O361" i="1" s="1"/>
  <c r="AC363" i="1"/>
  <c r="CI528" i="1"/>
  <c r="BD634" i="1"/>
  <c r="CW207" i="3"/>
  <c r="CX207" i="3"/>
  <c r="CL590" i="1"/>
  <c r="F533" i="1"/>
  <c r="U526" i="1"/>
  <c r="BC484" i="1"/>
  <c r="F506" i="1"/>
  <c r="BX436" i="1"/>
  <c r="CG452" i="1"/>
  <c r="P449" i="1"/>
  <c r="CP449" i="1" s="1"/>
  <c r="O449" i="1" s="1"/>
  <c r="AB449" i="1"/>
  <c r="CS445" i="1"/>
  <c r="R445" i="1" s="1"/>
  <c r="GK445" i="1" s="1"/>
  <c r="AB445" i="1"/>
  <c r="W402" i="1"/>
  <c r="BY628" i="1"/>
  <c r="BC634" i="1"/>
  <c r="CW201" i="3"/>
  <c r="CX204" i="3"/>
  <c r="CX201" i="3"/>
  <c r="CX203" i="3"/>
  <c r="CW199" i="3"/>
  <c r="CU197" i="3"/>
  <c r="CW198" i="3"/>
  <c r="CX199" i="3"/>
  <c r="CX205" i="3"/>
  <c r="CK590" i="1"/>
  <c r="CG528" i="1"/>
  <c r="BD528" i="1"/>
  <c r="AS528" i="1"/>
  <c r="CP525" i="1"/>
  <c r="O525" i="1" s="1"/>
  <c r="GM525" i="1" s="1"/>
  <c r="GP525" i="1" s="1"/>
  <c r="BB484" i="1"/>
  <c r="F503" i="1"/>
  <c r="CJ490" i="1"/>
  <c r="BD452" i="1"/>
  <c r="CP448" i="1"/>
  <c r="O448" i="1" s="1"/>
  <c r="GM448" i="1" s="1"/>
  <c r="GP448" i="1" s="1"/>
  <c r="CR445" i="1"/>
  <c r="Q445" i="1" s="1"/>
  <c r="CZ444" i="1"/>
  <c r="Y444" i="1" s="1"/>
  <c r="CY444" i="1"/>
  <c r="X444" i="1" s="1"/>
  <c r="GM444" i="1" s="1"/>
  <c r="GP444" i="1" s="1"/>
  <c r="BY452" i="1"/>
  <c r="BD395" i="1"/>
  <c r="F429" i="1"/>
  <c r="BB634" i="1"/>
  <c r="CQ592" i="1"/>
  <c r="P592" i="1" s="1"/>
  <c r="CB590" i="1"/>
  <c r="AF528" i="1"/>
  <c r="BZ522" i="1"/>
  <c r="CY487" i="1"/>
  <c r="X487" i="1" s="1"/>
  <c r="CZ487" i="1"/>
  <c r="Y487" i="1" s="1"/>
  <c r="AJ490" i="1"/>
  <c r="AI490" i="1"/>
  <c r="CZ449" i="1"/>
  <c r="Y449" i="1" s="1"/>
  <c r="AQ452" i="1"/>
  <c r="BZ436" i="1"/>
  <c r="CC452" i="1"/>
  <c r="BC395" i="1"/>
  <c r="F420" i="1"/>
  <c r="CP401" i="1"/>
  <c r="O401" i="1" s="1"/>
  <c r="AP634" i="1"/>
  <c r="AP596" i="1"/>
  <c r="BD484" i="1"/>
  <c r="F515" i="1"/>
  <c r="CG490" i="1"/>
  <c r="AQ490" i="1"/>
  <c r="AH490" i="1"/>
  <c r="AD490" i="1"/>
  <c r="CY447" i="1"/>
  <c r="X447" i="1" s="1"/>
  <c r="GM447" i="1" s="1"/>
  <c r="GP447" i="1" s="1"/>
  <c r="CZ447" i="1"/>
  <c r="Y447" i="1" s="1"/>
  <c r="CB452" i="1"/>
  <c r="V402" i="1"/>
  <c r="T402" i="1"/>
  <c r="CC395" i="1"/>
  <c r="AT404" i="1"/>
  <c r="CY399" i="1"/>
  <c r="X399" i="1" s="1"/>
  <c r="CZ399" i="1"/>
  <c r="Y399" i="1" s="1"/>
  <c r="F331" i="1"/>
  <c r="AO322" i="1"/>
  <c r="CW209" i="3"/>
  <c r="CX209" i="3"/>
  <c r="AP528" i="1"/>
  <c r="CF528" i="1"/>
  <c r="AC522" i="1"/>
  <c r="P528" i="1"/>
  <c r="CP526" i="1"/>
  <c r="O526" i="1" s="1"/>
  <c r="GM526" i="1" s="1"/>
  <c r="GP526" i="1" s="1"/>
  <c r="CC522" i="1"/>
  <c r="AT528" i="1"/>
  <c r="F508" i="1"/>
  <c r="AT484" i="1"/>
  <c r="AP490" i="1"/>
  <c r="CP488" i="1"/>
  <c r="O488" i="1" s="1"/>
  <c r="GM488" i="1" s="1"/>
  <c r="GP488" i="1" s="1"/>
  <c r="AB488" i="1"/>
  <c r="Q487" i="1"/>
  <c r="AB487" i="1"/>
  <c r="CP486" i="1"/>
  <c r="O486" i="1" s="1"/>
  <c r="AC490" i="1"/>
  <c r="AO452" i="1"/>
  <c r="CX187" i="3"/>
  <c r="CX189" i="3"/>
  <c r="CX186" i="3"/>
  <c r="CU185" i="3"/>
  <c r="CV185" i="3"/>
  <c r="CX188" i="3"/>
  <c r="W449" i="1"/>
  <c r="I450" i="1"/>
  <c r="U450" i="1" s="1"/>
  <c r="AB446" i="1"/>
  <c r="CX180" i="3"/>
  <c r="CX179" i="3"/>
  <c r="CU177" i="3"/>
  <c r="CX181" i="3"/>
  <c r="I446" i="1"/>
  <c r="R446" i="1" s="1"/>
  <c r="GK446" i="1" s="1"/>
  <c r="S442" i="1"/>
  <c r="AB439" i="1"/>
  <c r="BB528" i="1"/>
  <c r="AD450" i="1"/>
  <c r="AB450" i="1" s="1"/>
  <c r="AD444" i="1"/>
  <c r="AB444" i="1" s="1"/>
  <c r="AB441" i="1"/>
  <c r="AD440" i="1"/>
  <c r="AB440" i="1" s="1"/>
  <c r="AD438" i="1"/>
  <c r="AB438" i="1" s="1"/>
  <c r="CI404" i="1"/>
  <c r="CS402" i="1"/>
  <c r="R402" i="1" s="1"/>
  <c r="GK402" i="1" s="1"/>
  <c r="CU145" i="3"/>
  <c r="CX145" i="3"/>
  <c r="CX147" i="3"/>
  <c r="F387" i="1"/>
  <c r="BB363" i="1"/>
  <c r="AG359" i="1"/>
  <c r="T363" i="1"/>
  <c r="F345" i="1"/>
  <c r="S324" i="1"/>
  <c r="R324" i="1"/>
  <c r="CY287" i="1"/>
  <c r="X287" i="1" s="1"/>
  <c r="CZ287" i="1"/>
  <c r="Y287" i="1" s="1"/>
  <c r="CZ284" i="1"/>
  <c r="Y284" i="1" s="1"/>
  <c r="CY284" i="1"/>
  <c r="X284" i="1" s="1"/>
  <c r="CP282" i="1"/>
  <c r="O282" i="1" s="1"/>
  <c r="CS439" i="1"/>
  <c r="R439" i="1" s="1"/>
  <c r="AQ404" i="1"/>
  <c r="CU148" i="3"/>
  <c r="CX150" i="3"/>
  <c r="CV148" i="3"/>
  <c r="CX149" i="3"/>
  <c r="CX151" i="3"/>
  <c r="AE363" i="1"/>
  <c r="GK361" i="1"/>
  <c r="AO275" i="1"/>
  <c r="F294" i="1"/>
  <c r="CY286" i="1"/>
  <c r="X286" i="1" s="1"/>
  <c r="CZ286" i="1"/>
  <c r="Y286" i="1" s="1"/>
  <c r="CY285" i="1"/>
  <c r="X285" i="1" s="1"/>
  <c r="CZ285" i="1"/>
  <c r="Y285" i="1" s="1"/>
  <c r="BY203" i="1"/>
  <c r="AP209" i="1"/>
  <c r="CI209" i="1"/>
  <c r="AH171" i="1"/>
  <c r="CU158" i="3"/>
  <c r="CV158" i="3"/>
  <c r="CX161" i="3"/>
  <c r="CX158" i="3"/>
  <c r="AX404" i="1"/>
  <c r="AP404" i="1"/>
  <c r="T399" i="1"/>
  <c r="F381" i="1"/>
  <c r="AT359" i="1"/>
  <c r="T325" i="1"/>
  <c r="AG327" i="1" s="1"/>
  <c r="CP324" i="1"/>
  <c r="O324" i="1" s="1"/>
  <c r="BD275" i="1"/>
  <c r="F315" i="1"/>
  <c r="AB284" i="1"/>
  <c r="CP281" i="1"/>
  <c r="O281" i="1" s="1"/>
  <c r="GM281" i="1" s="1"/>
  <c r="GP281" i="1" s="1"/>
  <c r="AP290" i="1"/>
  <c r="BY275" i="1"/>
  <c r="CY279" i="1"/>
  <c r="X279" i="1" s="1"/>
  <c r="CZ279" i="1"/>
  <c r="Y279" i="1" s="1"/>
  <c r="AC209" i="1"/>
  <c r="CM484" i="1"/>
  <c r="BC452" i="1"/>
  <c r="CX183" i="3"/>
  <c r="CU182" i="3"/>
  <c r="CQ445" i="1"/>
  <c r="P445" i="1" s="1"/>
  <c r="CP445" i="1" s="1"/>
  <c r="O445" i="1" s="1"/>
  <c r="CQ439" i="1"/>
  <c r="P439" i="1" s="1"/>
  <c r="CP439" i="1" s="1"/>
  <c r="O439" i="1" s="1"/>
  <c r="AO404" i="1"/>
  <c r="CX153" i="3"/>
  <c r="CU152" i="3"/>
  <c r="CX154" i="3"/>
  <c r="CQ399" i="1"/>
  <c r="P399" i="1" s="1"/>
  <c r="CP399" i="1" s="1"/>
  <c r="O399" i="1" s="1"/>
  <c r="GM399" i="1" s="1"/>
  <c r="GP399" i="1" s="1"/>
  <c r="CR398" i="1"/>
  <c r="Q398" i="1" s="1"/>
  <c r="AD398" i="1"/>
  <c r="AB398" i="1" s="1"/>
  <c r="AB397" i="1"/>
  <c r="W324" i="1"/>
  <c r="F306" i="1"/>
  <c r="BC275" i="1"/>
  <c r="CP287" i="1"/>
  <c r="O287" i="1" s="1"/>
  <c r="AB285" i="1"/>
  <c r="CY282" i="1"/>
  <c r="X282" i="1" s="1"/>
  <c r="CZ282" i="1"/>
  <c r="Y282" i="1" s="1"/>
  <c r="AB279" i="1"/>
  <c r="CY278" i="1"/>
  <c r="X278" i="1" s="1"/>
  <c r="GM278" i="1" s="1"/>
  <c r="GP278" i="1" s="1"/>
  <c r="CZ278" i="1"/>
  <c r="Y278" i="1" s="1"/>
  <c r="CP277" i="1"/>
  <c r="O277" i="1" s="1"/>
  <c r="AD290" i="1"/>
  <c r="CY207" i="1"/>
  <c r="X207" i="1" s="1"/>
  <c r="CZ207" i="1"/>
  <c r="Y207" i="1" s="1"/>
  <c r="CB203" i="1"/>
  <c r="AS209" i="1"/>
  <c r="GK167" i="1"/>
  <c r="AE171" i="1"/>
  <c r="BX522" i="1"/>
  <c r="CL484" i="1"/>
  <c r="BB452" i="1"/>
  <c r="CP397" i="1"/>
  <c r="O397" i="1" s="1"/>
  <c r="AQ363" i="1"/>
  <c r="BZ359" i="1"/>
  <c r="V363" i="1"/>
  <c r="AI359" i="1"/>
  <c r="AJ359" i="1"/>
  <c r="BX322" i="1"/>
  <c r="CG327" i="1"/>
  <c r="CY280" i="1"/>
  <c r="X280" i="1" s="1"/>
  <c r="CZ280" i="1"/>
  <c r="Y280" i="1" s="1"/>
  <c r="CG290" i="1"/>
  <c r="AQ290" i="1"/>
  <c r="BZ275" i="1"/>
  <c r="AB278" i="1"/>
  <c r="AJ203" i="1"/>
  <c r="W209" i="1"/>
  <c r="CG171" i="1"/>
  <c r="AQ171" i="1"/>
  <c r="CI171" i="1"/>
  <c r="BZ165" i="1"/>
  <c r="CU190" i="3"/>
  <c r="CV190" i="3"/>
  <c r="CX190" i="3"/>
  <c r="CX192" i="3"/>
  <c r="CK484" i="1"/>
  <c r="CC484" i="1"/>
  <c r="V399" i="1"/>
  <c r="CZ398" i="1"/>
  <c r="Y398" i="1" s="1"/>
  <c r="CZ397" i="1"/>
  <c r="Y397" i="1" s="1"/>
  <c r="AP359" i="1"/>
  <c r="F372" i="1"/>
  <c r="Q363" i="1"/>
  <c r="AD359" i="1"/>
  <c r="BD327" i="1"/>
  <c r="CY283" i="1"/>
  <c r="X283" i="1" s="1"/>
  <c r="CZ283" i="1"/>
  <c r="Y283" i="1" s="1"/>
  <c r="CY277" i="1"/>
  <c r="X277" i="1" s="1"/>
  <c r="CZ277" i="1"/>
  <c r="Y277" i="1" s="1"/>
  <c r="AF290" i="1"/>
  <c r="AH209" i="1"/>
  <c r="AI203" i="1"/>
  <c r="V209" i="1"/>
  <c r="AG209" i="1"/>
  <c r="CB484" i="1"/>
  <c r="BB404" i="1"/>
  <c r="AO359" i="1"/>
  <c r="F367" i="1"/>
  <c r="BC322" i="1"/>
  <c r="F343" i="1"/>
  <c r="CX129" i="3"/>
  <c r="CX134" i="3"/>
  <c r="CU127" i="3"/>
  <c r="CX131" i="3"/>
  <c r="I325" i="1"/>
  <c r="R325" i="1" s="1"/>
  <c r="GK325" i="1" s="1"/>
  <c r="CC322" i="1"/>
  <c r="CI290" i="1"/>
  <c r="CP286" i="1"/>
  <c r="O286" i="1" s="1"/>
  <c r="GM286" i="1" s="1"/>
  <c r="GP286" i="1" s="1"/>
  <c r="AB280" i="1"/>
  <c r="AI290" i="1"/>
  <c r="GM207" i="1"/>
  <c r="GP207" i="1" s="1"/>
  <c r="CJ209" i="1"/>
  <c r="CZ205" i="1"/>
  <c r="Y205" i="1" s="1"/>
  <c r="AL209" i="1" s="1"/>
  <c r="CY205" i="1"/>
  <c r="X205" i="1" s="1"/>
  <c r="GM205" i="1" s="1"/>
  <c r="AF209" i="1"/>
  <c r="T131" i="1"/>
  <c r="CX194" i="3"/>
  <c r="CU193" i="3"/>
  <c r="CX195" i="3"/>
  <c r="AS404" i="1"/>
  <c r="I400" i="1"/>
  <c r="V400" i="1" s="1"/>
  <c r="BC363" i="1"/>
  <c r="U363" i="1"/>
  <c r="AH359" i="1"/>
  <c r="CY361" i="1"/>
  <c r="X361" i="1" s="1"/>
  <c r="AK363" i="1" s="1"/>
  <c r="AF363" i="1"/>
  <c r="CZ361" i="1"/>
  <c r="Y361" i="1" s="1"/>
  <c r="AL363" i="1" s="1"/>
  <c r="F340" i="1"/>
  <c r="BB322" i="1"/>
  <c r="U325" i="1"/>
  <c r="AH327" i="1" s="1"/>
  <c r="CB322" i="1"/>
  <c r="CB275" i="1"/>
  <c r="AS290" i="1"/>
  <c r="CY288" i="1"/>
  <c r="X288" i="1" s="1"/>
  <c r="GM288" i="1" s="1"/>
  <c r="GP288" i="1" s="1"/>
  <c r="CZ288" i="1"/>
  <c r="Y288" i="1" s="1"/>
  <c r="CP283" i="1"/>
  <c r="O283" i="1" s="1"/>
  <c r="GM283" i="1" s="1"/>
  <c r="GP283" i="1" s="1"/>
  <c r="CC275" i="1"/>
  <c r="AT290" i="1"/>
  <c r="AH290" i="1"/>
  <c r="AE209" i="1"/>
  <c r="GK205" i="1"/>
  <c r="AI165" i="1"/>
  <c r="V171" i="1"/>
  <c r="S131" i="1"/>
  <c r="BY117" i="1"/>
  <c r="AP133" i="1"/>
  <c r="BD363" i="1"/>
  <c r="AB361" i="1"/>
  <c r="AP327" i="1"/>
  <c r="AD325" i="1"/>
  <c r="AB325" i="1" s="1"/>
  <c r="CL322" i="1"/>
  <c r="BB290" i="1"/>
  <c r="CX114" i="3"/>
  <c r="CX116" i="3"/>
  <c r="CW112" i="3"/>
  <c r="CU111" i="3"/>
  <c r="CV111" i="3"/>
  <c r="CX112" i="3"/>
  <c r="CX115" i="3"/>
  <c r="CX118" i="3"/>
  <c r="CQ284" i="1"/>
  <c r="P284" i="1" s="1"/>
  <c r="CP284" i="1" s="1"/>
  <c r="O284" i="1" s="1"/>
  <c r="GM284" i="1" s="1"/>
  <c r="GP284" i="1" s="1"/>
  <c r="T284" i="1"/>
  <c r="CS283" i="1"/>
  <c r="R283" i="1" s="1"/>
  <c r="GK283" i="1" s="1"/>
  <c r="W280" i="1"/>
  <c r="CS278" i="1"/>
  <c r="R278" i="1" s="1"/>
  <c r="GK278" i="1" s="1"/>
  <c r="BD165" i="1"/>
  <c r="F196" i="1"/>
  <c r="CY167" i="1"/>
  <c r="X167" i="1" s="1"/>
  <c r="CZ167" i="1"/>
  <c r="Y167" i="1" s="1"/>
  <c r="AF171" i="1"/>
  <c r="P127" i="1"/>
  <c r="Q124" i="1"/>
  <c r="CY120" i="1"/>
  <c r="X120" i="1" s="1"/>
  <c r="CZ120" i="1"/>
  <c r="Y120" i="1" s="1"/>
  <c r="BY77" i="1"/>
  <c r="AP85" i="1"/>
  <c r="CI85" i="1"/>
  <c r="CY82" i="1"/>
  <c r="X82" i="1" s="1"/>
  <c r="CZ82" i="1"/>
  <c r="Y82" i="1" s="1"/>
  <c r="AG77" i="1"/>
  <c r="T85" i="1"/>
  <c r="AJ85" i="1"/>
  <c r="CU94" i="3"/>
  <c r="CV94" i="3"/>
  <c r="CX94" i="3"/>
  <c r="F187" i="1"/>
  <c r="BC165" i="1"/>
  <c r="CB165" i="1"/>
  <c r="AS171" i="1"/>
  <c r="CZ129" i="1"/>
  <c r="Y129" i="1" s="1"/>
  <c r="CY129" i="1"/>
  <c r="X129" i="1" s="1"/>
  <c r="GM129" i="1" s="1"/>
  <c r="GP129" i="1" s="1"/>
  <c r="CY128" i="1"/>
  <c r="X128" i="1" s="1"/>
  <c r="GM128" i="1" s="1"/>
  <c r="GP128" i="1" s="1"/>
  <c r="CZ128" i="1"/>
  <c r="Y128" i="1" s="1"/>
  <c r="CP124" i="1"/>
  <c r="O124" i="1" s="1"/>
  <c r="CY122" i="1"/>
  <c r="X122" i="1" s="1"/>
  <c r="CZ122" i="1"/>
  <c r="Y122" i="1" s="1"/>
  <c r="CY121" i="1"/>
  <c r="X121" i="1" s="1"/>
  <c r="CZ121" i="1"/>
  <c r="Y121" i="1" s="1"/>
  <c r="CY80" i="1"/>
  <c r="X80" i="1" s="1"/>
  <c r="AK85" i="1" s="1"/>
  <c r="CZ80" i="1"/>
  <c r="Y80" i="1" s="1"/>
  <c r="AL85" i="1" s="1"/>
  <c r="AF85" i="1"/>
  <c r="CJ77" i="1"/>
  <c r="BA85" i="1"/>
  <c r="V85" i="1"/>
  <c r="AI77" i="1"/>
  <c r="CW106" i="3"/>
  <c r="CX106" i="3"/>
  <c r="CW105" i="3"/>
  <c r="CX105" i="3"/>
  <c r="CU103" i="3"/>
  <c r="CW104" i="3"/>
  <c r="CX104" i="3"/>
  <c r="T278" i="1"/>
  <c r="AQ209" i="1"/>
  <c r="CR169" i="1"/>
  <c r="Q169" i="1" s="1"/>
  <c r="CP169" i="1" s="1"/>
  <c r="O169" i="1" s="1"/>
  <c r="GM169" i="1" s="1"/>
  <c r="GP169" i="1" s="1"/>
  <c r="AB169" i="1"/>
  <c r="F146" i="1"/>
  <c r="BB117" i="1"/>
  <c r="AO117" i="1"/>
  <c r="F137" i="1"/>
  <c r="AB131" i="1"/>
  <c r="AT133" i="1"/>
  <c r="CC117" i="1"/>
  <c r="AB80" i="1"/>
  <c r="CU142" i="3"/>
  <c r="CX143" i="3"/>
  <c r="BA363" i="1"/>
  <c r="AS363" i="1"/>
  <c r="CW120" i="3"/>
  <c r="CU119" i="3"/>
  <c r="CX120" i="3"/>
  <c r="CX123" i="3"/>
  <c r="CW122" i="3"/>
  <c r="CX122" i="3"/>
  <c r="CX125" i="3"/>
  <c r="CQ285" i="1"/>
  <c r="P285" i="1" s="1"/>
  <c r="CP285" i="1" s="1"/>
  <c r="O285" i="1" s="1"/>
  <c r="GM285" i="1" s="1"/>
  <c r="GP285" i="1" s="1"/>
  <c r="CX102" i="3"/>
  <c r="CU100" i="3"/>
  <c r="CV100" i="3"/>
  <c r="CQ280" i="1"/>
  <c r="P280" i="1" s="1"/>
  <c r="CP280" i="1" s="1"/>
  <c r="O280" i="1" s="1"/>
  <c r="BX275" i="1"/>
  <c r="CG209" i="1"/>
  <c r="AJ171" i="1"/>
  <c r="AF133" i="1"/>
  <c r="CU80" i="3"/>
  <c r="CX81" i="3"/>
  <c r="CX84" i="3"/>
  <c r="I131" i="1"/>
  <c r="T130" i="1"/>
  <c r="AG133" i="1" s="1"/>
  <c r="CY126" i="1"/>
  <c r="X126" i="1" s="1"/>
  <c r="CZ126" i="1"/>
  <c r="Y126" i="1" s="1"/>
  <c r="CP125" i="1"/>
  <c r="O125" i="1" s="1"/>
  <c r="AB125" i="1"/>
  <c r="CY123" i="1"/>
  <c r="X123" i="1" s="1"/>
  <c r="GM123" i="1" s="1"/>
  <c r="GP123" i="1" s="1"/>
  <c r="CZ123" i="1"/>
  <c r="Y123" i="1" s="1"/>
  <c r="CB133" i="1"/>
  <c r="CP120" i="1"/>
  <c r="O120" i="1" s="1"/>
  <c r="CY83" i="1"/>
  <c r="X83" i="1" s="1"/>
  <c r="CZ83" i="1"/>
  <c r="Y83" i="1" s="1"/>
  <c r="BZ77" i="1"/>
  <c r="CG85" i="1"/>
  <c r="AQ85" i="1"/>
  <c r="AB81" i="1"/>
  <c r="CI363" i="1"/>
  <c r="BZ322" i="1"/>
  <c r="CX98" i="3"/>
  <c r="CU96" i="3"/>
  <c r="CM275" i="1"/>
  <c r="AO209" i="1"/>
  <c r="F184" i="1"/>
  <c r="W131" i="1"/>
  <c r="W130" i="1"/>
  <c r="GX127" i="1"/>
  <c r="W127" i="1"/>
  <c r="U124" i="1"/>
  <c r="AH133" i="1" s="1"/>
  <c r="CP121" i="1"/>
  <c r="O121" i="1" s="1"/>
  <c r="GM121" i="1" s="1"/>
  <c r="GP121" i="1" s="1"/>
  <c r="CP81" i="1"/>
  <c r="O81" i="1" s="1"/>
  <c r="GM81" i="1" s="1"/>
  <c r="GP81" i="1" s="1"/>
  <c r="AD85" i="1"/>
  <c r="AB79" i="1"/>
  <c r="CU135" i="3"/>
  <c r="CX141" i="3"/>
  <c r="CV135" i="3"/>
  <c r="CX135" i="3"/>
  <c r="CX140" i="3"/>
  <c r="CX137" i="3"/>
  <c r="CU109" i="3"/>
  <c r="CV109" i="3"/>
  <c r="CX109" i="3"/>
  <c r="CQ279" i="1"/>
  <c r="P279" i="1" s="1"/>
  <c r="CP279" i="1" s="1"/>
  <c r="O279" i="1" s="1"/>
  <c r="GM279" i="1" s="1"/>
  <c r="GP279" i="1" s="1"/>
  <c r="CS277" i="1"/>
  <c r="R277" i="1" s="1"/>
  <c r="CL275" i="1"/>
  <c r="BD209" i="1"/>
  <c r="CR206" i="1"/>
  <c r="Q206" i="1" s="1"/>
  <c r="AD209" i="1" s="1"/>
  <c r="AD206" i="1"/>
  <c r="AB206" i="1" s="1"/>
  <c r="AP165" i="1"/>
  <c r="F180" i="1"/>
  <c r="V131" i="1"/>
  <c r="S130" i="1"/>
  <c r="V127" i="1"/>
  <c r="AI133" i="1" s="1"/>
  <c r="CY125" i="1"/>
  <c r="X125" i="1" s="1"/>
  <c r="W124" i="1"/>
  <c r="CP119" i="1"/>
  <c r="O119" i="1" s="1"/>
  <c r="AB83" i="1"/>
  <c r="CP79" i="1"/>
  <c r="O79" i="1" s="1"/>
  <c r="CG363" i="1"/>
  <c r="CI327" i="1"/>
  <c r="CV92" i="3"/>
  <c r="CX92" i="3"/>
  <c r="CU92" i="3"/>
  <c r="BC209" i="1"/>
  <c r="AG165" i="1"/>
  <c r="T171" i="1"/>
  <c r="CZ169" i="1"/>
  <c r="Y169" i="1" s="1"/>
  <c r="AD171" i="1"/>
  <c r="U131" i="1"/>
  <c r="R127" i="1"/>
  <c r="GK127" i="1" s="1"/>
  <c r="CP126" i="1"/>
  <c r="O126" i="1" s="1"/>
  <c r="GM126" i="1" s="1"/>
  <c r="GP126" i="1" s="1"/>
  <c r="S124" i="1"/>
  <c r="CP122" i="1"/>
  <c r="O122" i="1" s="1"/>
  <c r="GM122" i="1" s="1"/>
  <c r="GP122" i="1" s="1"/>
  <c r="CP83" i="1"/>
  <c r="O83" i="1" s="1"/>
  <c r="GM83" i="1" s="1"/>
  <c r="GP83" i="1" s="1"/>
  <c r="W278" i="1"/>
  <c r="AJ290" i="1" s="1"/>
  <c r="T277" i="1"/>
  <c r="AG290" i="1" s="1"/>
  <c r="BB209" i="1"/>
  <c r="AT209" i="1"/>
  <c r="F175" i="1"/>
  <c r="CY168" i="1"/>
  <c r="X168" i="1" s="1"/>
  <c r="GM168" i="1" s="1"/>
  <c r="GP168" i="1" s="1"/>
  <c r="CZ168" i="1"/>
  <c r="Y168" i="1" s="1"/>
  <c r="CJ171" i="1"/>
  <c r="AC171" i="1"/>
  <c r="AB130" i="1"/>
  <c r="Q127" i="1"/>
  <c r="AD127" i="1"/>
  <c r="AB127" i="1" s="1"/>
  <c r="R124" i="1"/>
  <c r="GK124" i="1" s="1"/>
  <c r="BZ133" i="1"/>
  <c r="CI133" i="1" s="1"/>
  <c r="AJ133" i="1"/>
  <c r="CU88" i="3"/>
  <c r="CX89" i="3"/>
  <c r="CX91" i="3"/>
  <c r="CV88" i="3"/>
  <c r="CX88" i="3"/>
  <c r="CP167" i="1"/>
  <c r="O167" i="1" s="1"/>
  <c r="AD129" i="1"/>
  <c r="AB129" i="1" s="1"/>
  <c r="CU51" i="3"/>
  <c r="CV51" i="3"/>
  <c r="CX51" i="3"/>
  <c r="CK117" i="1"/>
  <c r="AS85" i="1"/>
  <c r="CS81" i="1"/>
  <c r="R81" i="1" s="1"/>
  <c r="GK81" i="1" s="1"/>
  <c r="CS79" i="1"/>
  <c r="R79" i="1" s="1"/>
  <c r="F62" i="1"/>
  <c r="AS30" i="1"/>
  <c r="CP38" i="1"/>
  <c r="O38" i="1" s="1"/>
  <c r="CY37" i="1"/>
  <c r="X37" i="1" s="1"/>
  <c r="CZ37" i="1"/>
  <c r="Y37" i="1" s="1"/>
  <c r="CP34" i="1"/>
  <c r="O34" i="1" s="1"/>
  <c r="F55" i="1"/>
  <c r="AQ30" i="1"/>
  <c r="GM39" i="1"/>
  <c r="GP39" i="1" s="1"/>
  <c r="CY35" i="1"/>
  <c r="X35" i="1" s="1"/>
  <c r="CZ35" i="1"/>
  <c r="Y35" i="1" s="1"/>
  <c r="AI45" i="1"/>
  <c r="AG45" i="1"/>
  <c r="CX178" i="3"/>
  <c r="U83" i="1"/>
  <c r="AH85" i="1" s="1"/>
  <c r="F70" i="1"/>
  <c r="BD30" i="1"/>
  <c r="F54" i="1"/>
  <c r="AP30" i="1"/>
  <c r="CY43" i="1"/>
  <c r="X43" i="1" s="1"/>
  <c r="CZ43" i="1"/>
  <c r="Y43" i="1" s="1"/>
  <c r="CY42" i="1"/>
  <c r="X42" i="1" s="1"/>
  <c r="CZ42" i="1"/>
  <c r="Y42" i="1" s="1"/>
  <c r="CP40" i="1"/>
  <c r="O40" i="1" s="1"/>
  <c r="DF164" i="3"/>
  <c r="DJ164" i="3" s="1"/>
  <c r="DI164" i="3"/>
  <c r="DG164" i="3"/>
  <c r="DH164" i="3"/>
  <c r="BX165" i="1"/>
  <c r="BD133" i="1"/>
  <c r="CU72" i="3"/>
  <c r="CV72" i="3"/>
  <c r="CX75" i="3"/>
  <c r="CX72" i="3"/>
  <c r="CX74" i="3"/>
  <c r="CX55" i="3"/>
  <c r="CX54" i="3"/>
  <c r="CX56" i="3"/>
  <c r="CU53" i="3"/>
  <c r="CV53" i="3"/>
  <c r="CX53" i="3"/>
  <c r="AO30" i="1"/>
  <c r="F49" i="1"/>
  <c r="CY38" i="1"/>
  <c r="X38" i="1" s="1"/>
  <c r="CZ38" i="1"/>
  <c r="Y38" i="1" s="1"/>
  <c r="GM37" i="1"/>
  <c r="GP37" i="1" s="1"/>
  <c r="CY36" i="1"/>
  <c r="X36" i="1" s="1"/>
  <c r="CZ36" i="1"/>
  <c r="Y36" i="1" s="1"/>
  <c r="AF45" i="1"/>
  <c r="CY33" i="1"/>
  <c r="X33" i="1" s="1"/>
  <c r="CZ33" i="1"/>
  <c r="Y33" i="1" s="1"/>
  <c r="CJ45" i="1"/>
  <c r="CM165" i="1"/>
  <c r="BC133" i="1"/>
  <c r="CU77" i="3"/>
  <c r="CV77" i="3"/>
  <c r="CX77" i="3"/>
  <c r="AO85" i="1"/>
  <c r="CX48" i="3"/>
  <c r="CU43" i="3"/>
  <c r="CX50" i="3"/>
  <c r="CX44" i="3"/>
  <c r="CU38" i="3"/>
  <c r="CV38" i="3"/>
  <c r="CX38" i="3"/>
  <c r="BC45" i="1"/>
  <c r="CP42" i="1"/>
  <c r="O42" i="1" s="1"/>
  <c r="AH45" i="1"/>
  <c r="CP32" i="1"/>
  <c r="O32" i="1" s="1"/>
  <c r="CL165" i="1"/>
  <c r="BD85" i="1"/>
  <c r="CQ82" i="1"/>
  <c r="P82" i="1" s="1"/>
  <c r="CP82" i="1" s="1"/>
  <c r="O82" i="1" s="1"/>
  <c r="GM82" i="1" s="1"/>
  <c r="GP82" i="1" s="1"/>
  <c r="CQ80" i="1"/>
  <c r="P80" i="1" s="1"/>
  <c r="CP80" i="1" s="1"/>
  <c r="O80" i="1" s="1"/>
  <c r="AX30" i="1"/>
  <c r="F52" i="1"/>
  <c r="CY39" i="1"/>
  <c r="X39" i="1" s="1"/>
  <c r="CZ39" i="1"/>
  <c r="Y39" i="1" s="1"/>
  <c r="AB36" i="1"/>
  <c r="CP33" i="1"/>
  <c r="O33" i="1" s="1"/>
  <c r="AD45" i="1"/>
  <c r="CX202" i="3"/>
  <c r="CX157" i="3"/>
  <c r="CX86" i="3"/>
  <c r="CX87" i="3"/>
  <c r="CU85" i="3"/>
  <c r="CX85" i="3"/>
  <c r="CK165" i="1"/>
  <c r="CC165" i="1"/>
  <c r="BC85" i="1"/>
  <c r="CP43" i="1"/>
  <c r="O43" i="1" s="1"/>
  <c r="CY34" i="1"/>
  <c r="X34" i="1" s="1"/>
  <c r="CZ34" i="1"/>
  <c r="Y34" i="1" s="1"/>
  <c r="CW208" i="3"/>
  <c r="BB85" i="1"/>
  <c r="AT85" i="1"/>
  <c r="CY41" i="1"/>
  <c r="X41" i="1" s="1"/>
  <c r="CZ41" i="1"/>
  <c r="Y41" i="1" s="1"/>
  <c r="AB40" i="1"/>
  <c r="CX11" i="3"/>
  <c r="CW10" i="3"/>
  <c r="CX13" i="3"/>
  <c r="CX10" i="3"/>
  <c r="CW9" i="3"/>
  <c r="CX9" i="3"/>
  <c r="CW8" i="3"/>
  <c r="CU7" i="3"/>
  <c r="CX12" i="3"/>
  <c r="AB34" i="1"/>
  <c r="CY32" i="1"/>
  <c r="X32" i="1" s="1"/>
  <c r="CB30" i="1"/>
  <c r="CX198" i="3"/>
  <c r="CX184" i="3"/>
  <c r="CV184" i="3"/>
  <c r="CV177" i="3"/>
  <c r="CX177" i="3"/>
  <c r="DF175" i="3"/>
  <c r="DJ175" i="3" s="1"/>
  <c r="DG175" i="3"/>
  <c r="CX93" i="3"/>
  <c r="BB45" i="1"/>
  <c r="AT45" i="1"/>
  <c r="W41" i="1"/>
  <c r="AJ45" i="1" s="1"/>
  <c r="CS39" i="1"/>
  <c r="R39" i="1" s="1"/>
  <c r="GK39" i="1" s="1"/>
  <c r="CQ35" i="1"/>
  <c r="P35" i="1" s="1"/>
  <c r="CP35" i="1" s="1"/>
  <c r="O35" i="1" s="1"/>
  <c r="GM35" i="1" s="1"/>
  <c r="GP35" i="1" s="1"/>
  <c r="CS33" i="1"/>
  <c r="R33" i="1" s="1"/>
  <c r="CW4" i="3"/>
  <c r="CU3" i="3"/>
  <c r="CX4" i="3"/>
  <c r="BZ30" i="1"/>
  <c r="DF168" i="3"/>
  <c r="DJ168" i="3" s="1"/>
  <c r="DG168" i="3"/>
  <c r="DH168" i="3"/>
  <c r="DI168" i="3"/>
  <c r="CI45" i="1"/>
  <c r="CX20" i="3"/>
  <c r="CW16" i="3"/>
  <c r="CU15" i="3"/>
  <c r="CX16" i="3"/>
  <c r="CV15" i="3"/>
  <c r="CX15" i="3"/>
  <c r="CX19" i="3"/>
  <c r="CG30" i="1"/>
  <c r="BY30" i="1"/>
  <c r="DI169" i="3"/>
  <c r="DH169" i="3"/>
  <c r="DF167" i="3"/>
  <c r="DJ167" i="3" s="1"/>
  <c r="DG167" i="3"/>
  <c r="CU30" i="3"/>
  <c r="CV30" i="3"/>
  <c r="CX30" i="3"/>
  <c r="CX33" i="3"/>
  <c r="CW33" i="3"/>
  <c r="CX35" i="3"/>
  <c r="CW32" i="3"/>
  <c r="CX32" i="3"/>
  <c r="CQ41" i="1"/>
  <c r="P41" i="1" s="1"/>
  <c r="CP41" i="1" s="1"/>
  <c r="O41" i="1" s="1"/>
  <c r="GM41" i="1" s="1"/>
  <c r="GP41" i="1" s="1"/>
  <c r="CS40" i="1"/>
  <c r="R40" i="1" s="1"/>
  <c r="GK40" i="1" s="1"/>
  <c r="CQ36" i="1"/>
  <c r="P36" i="1" s="1"/>
  <c r="CP36" i="1" s="1"/>
  <c r="O36" i="1" s="1"/>
  <c r="GM36" i="1" s="1"/>
  <c r="GP36" i="1" s="1"/>
  <c r="CS34" i="1"/>
  <c r="R34" i="1" s="1"/>
  <c r="GK34" i="1" s="1"/>
  <c r="BX30" i="1"/>
  <c r="CW210" i="3"/>
  <c r="DI167" i="3"/>
  <c r="CX128" i="3"/>
  <c r="CU27" i="3"/>
  <c r="CX28" i="3"/>
  <c r="CX29" i="3"/>
  <c r="CX6" i="3"/>
  <c r="CU5" i="3"/>
  <c r="CV5" i="3"/>
  <c r="CX5" i="3"/>
  <c r="CM30" i="1"/>
  <c r="CW200" i="3"/>
  <c r="DG169" i="3"/>
  <c r="DH167" i="3"/>
  <c r="CX159" i="3"/>
  <c r="CX146" i="3"/>
  <c r="CX97" i="3"/>
  <c r="CX24" i="3"/>
  <c r="CU23" i="3"/>
  <c r="CX23" i="3"/>
  <c r="CX25" i="3"/>
  <c r="CX196" i="3"/>
  <c r="DF169" i="3"/>
  <c r="DJ169" i="3" s="1"/>
  <c r="CX160" i="3"/>
  <c r="CX155" i="3"/>
  <c r="S40" i="1"/>
  <c r="CW2" i="3"/>
  <c r="CU1" i="3"/>
  <c r="CX208" i="3"/>
  <c r="CV197" i="3"/>
  <c r="CX197" i="3"/>
  <c r="CV193" i="3"/>
  <c r="CX191" i="3"/>
  <c r="CX185" i="3"/>
  <c r="CV182" i="3"/>
  <c r="DF176" i="3"/>
  <c r="DJ176" i="3" s="1"/>
  <c r="DG176" i="3"/>
  <c r="DH176" i="3"/>
  <c r="DI176" i="3"/>
  <c r="DF172" i="3"/>
  <c r="DJ172" i="3" s="1"/>
  <c r="DI172" i="3"/>
  <c r="CV156" i="3"/>
  <c r="CX156" i="3"/>
  <c r="CV152" i="3"/>
  <c r="DF171" i="3"/>
  <c r="DJ171" i="3" s="1"/>
  <c r="DG166" i="3"/>
  <c r="DF163" i="3"/>
  <c r="CX138" i="3"/>
  <c r="CX132" i="3"/>
  <c r="CX126" i="3"/>
  <c r="CX100" i="3"/>
  <c r="CX99" i="3"/>
  <c r="DF60" i="3"/>
  <c r="DJ60" i="3" s="1"/>
  <c r="DG60" i="3"/>
  <c r="DH60" i="3"/>
  <c r="DI60" i="3"/>
  <c r="CX139" i="3"/>
  <c r="CX133" i="3"/>
  <c r="CV127" i="3"/>
  <c r="CX127" i="3"/>
  <c r="CW93" i="3"/>
  <c r="DI62" i="3"/>
  <c r="DF62" i="3"/>
  <c r="DJ62" i="3" s="1"/>
  <c r="DG62" i="3"/>
  <c r="DH62" i="3"/>
  <c r="CX142" i="3"/>
  <c r="CV142" i="3"/>
  <c r="CX136" i="3"/>
  <c r="CX130" i="3"/>
  <c r="CX124" i="3"/>
  <c r="CV119" i="3"/>
  <c r="CW113" i="3"/>
  <c r="CX182" i="3"/>
  <c r="CX121" i="3"/>
  <c r="CW121" i="3"/>
  <c r="CW114" i="3"/>
  <c r="CX210" i="3"/>
  <c r="CX206" i="3"/>
  <c r="CX200" i="3"/>
  <c r="CX193" i="3"/>
  <c r="DG170" i="3"/>
  <c r="CX162" i="3"/>
  <c r="CX152" i="3"/>
  <c r="CX117" i="3"/>
  <c r="CX76" i="3"/>
  <c r="DI171" i="3"/>
  <c r="CV145" i="3"/>
  <c r="CX108" i="3"/>
  <c r="CX107" i="3"/>
  <c r="CX83" i="3"/>
  <c r="DI70" i="3"/>
  <c r="DF70" i="3"/>
  <c r="DJ70" i="3" s="1"/>
  <c r="DG70" i="3"/>
  <c r="DH70" i="3"/>
  <c r="CX144" i="3"/>
  <c r="CX111" i="3"/>
  <c r="CX110" i="3"/>
  <c r="CX101" i="3"/>
  <c r="CX95" i="3"/>
  <c r="CX90" i="3"/>
  <c r="CX78" i="3"/>
  <c r="CX49" i="3"/>
  <c r="CX148" i="3"/>
  <c r="CX103" i="3"/>
  <c r="CV103" i="3"/>
  <c r="CV96" i="3"/>
  <c r="CX96" i="3"/>
  <c r="CX80" i="3"/>
  <c r="CV80" i="3"/>
  <c r="CV79" i="3"/>
  <c r="CX79" i="3"/>
  <c r="DH68" i="3"/>
  <c r="DI67" i="3"/>
  <c r="DH67" i="3"/>
  <c r="CV23" i="3"/>
  <c r="CV7" i="3"/>
  <c r="DF66" i="3"/>
  <c r="DJ66" i="3" s="1"/>
  <c r="DG66" i="3"/>
  <c r="DH66" i="3"/>
  <c r="DF63" i="3"/>
  <c r="DJ63" i="3" s="1"/>
  <c r="DG63" i="3"/>
  <c r="CX22" i="3"/>
  <c r="CX8" i="3"/>
  <c r="CX2" i="3"/>
  <c r="DI59" i="3"/>
  <c r="DH59" i="3"/>
  <c r="CX47" i="3"/>
  <c r="CX31" i="3"/>
  <c r="CW31" i="3"/>
  <c r="CX21" i="3"/>
  <c r="CX3" i="3"/>
  <c r="CX119" i="3"/>
  <c r="CX82" i="3"/>
  <c r="DI66" i="3"/>
  <c r="DI63" i="3"/>
  <c r="DG59" i="3"/>
  <c r="CX46" i="3"/>
  <c r="CX45" i="3"/>
  <c r="DF40" i="3"/>
  <c r="DI40" i="3"/>
  <c r="DJ40" i="3" s="1"/>
  <c r="DH36" i="3"/>
  <c r="CW17" i="3"/>
  <c r="CX113" i="3"/>
  <c r="CV85" i="3"/>
  <c r="DH63" i="3"/>
  <c r="DF59" i="3"/>
  <c r="DJ59" i="3" s="1"/>
  <c r="DF58" i="3"/>
  <c r="DG58" i="3"/>
  <c r="DJ58" i="3" s="1"/>
  <c r="DH58" i="3"/>
  <c r="CX52" i="3"/>
  <c r="DF36" i="3"/>
  <c r="CV27" i="3"/>
  <c r="CX27" i="3"/>
  <c r="CX26" i="3"/>
  <c r="CX18" i="3"/>
  <c r="CW18" i="3"/>
  <c r="CX73" i="3"/>
  <c r="DI58" i="3"/>
  <c r="DH40" i="3"/>
  <c r="DG40" i="3"/>
  <c r="CX34" i="3"/>
  <c r="CX14" i="3"/>
  <c r="DF71" i="3"/>
  <c r="DJ71" i="3" s="1"/>
  <c r="DG71" i="3"/>
  <c r="DI68" i="3"/>
  <c r="CX43" i="3"/>
  <c r="CV43" i="3"/>
  <c r="DG42" i="3"/>
  <c r="DH42" i="3"/>
  <c r="DI42" i="3"/>
  <c r="DF42" i="3"/>
  <c r="DJ42" i="3" s="1"/>
  <c r="CX39" i="3"/>
  <c r="DF37" i="3"/>
  <c r="DG37" i="3"/>
  <c r="DJ37" i="3" s="1"/>
  <c r="DI37" i="3"/>
  <c r="CV1" i="3"/>
  <c r="DF69" i="3"/>
  <c r="DJ69" i="3" s="1"/>
  <c r="DF61" i="3"/>
  <c r="DJ61" i="3" s="1"/>
  <c r="CV3" i="3"/>
  <c r="CX1" i="3"/>
  <c r="DI69" i="3"/>
  <c r="DI61" i="3"/>
  <c r="CX17" i="3"/>
  <c r="CX7" i="3"/>
  <c r="E154" i="9" l="1"/>
  <c r="E20" i="9"/>
  <c r="E171" i="9"/>
  <c r="F130" i="9"/>
  <c r="E132" i="9" s="1"/>
  <c r="E75" i="9"/>
  <c r="K403" i="7"/>
  <c r="P403" i="7"/>
  <c r="K366" i="7"/>
  <c r="P366" i="7"/>
  <c r="K441" i="7"/>
  <c r="P441" i="7"/>
  <c r="K253" i="7"/>
  <c r="P253" i="7"/>
  <c r="K334" i="7"/>
  <c r="P334" i="7"/>
  <c r="I336" i="7" s="1"/>
  <c r="K280" i="7"/>
  <c r="P280" i="7"/>
  <c r="K347" i="7"/>
  <c r="P347" i="7"/>
  <c r="I349" i="7" s="1"/>
  <c r="K270" i="7"/>
  <c r="P270" i="7"/>
  <c r="K197" i="7"/>
  <c r="P197" i="7"/>
  <c r="K206" i="7"/>
  <c r="P206" i="7"/>
  <c r="K235" i="7"/>
  <c r="P235" i="7"/>
  <c r="I237" i="7" s="1"/>
  <c r="K182" i="7"/>
  <c r="P182" i="7"/>
  <c r="K500" i="7"/>
  <c r="P500" i="7"/>
  <c r="I502" i="7" s="1"/>
  <c r="K220" i="7"/>
  <c r="P220" i="7"/>
  <c r="I222" i="7" s="1"/>
  <c r="K417" i="7"/>
  <c r="P417" i="7"/>
  <c r="I452" i="7" s="1"/>
  <c r="K91" i="7"/>
  <c r="P91" i="7"/>
  <c r="K159" i="7"/>
  <c r="P159" i="7"/>
  <c r="K450" i="7"/>
  <c r="P450" i="7"/>
  <c r="K173" i="7"/>
  <c r="P173" i="7"/>
  <c r="I208" i="7" s="1"/>
  <c r="K190" i="7"/>
  <c r="P190" i="7"/>
  <c r="P70" i="7"/>
  <c r="K70" i="7"/>
  <c r="K384" i="7"/>
  <c r="P384" i="7"/>
  <c r="I386" i="7"/>
  <c r="K124" i="7"/>
  <c r="P124" i="7"/>
  <c r="I142" i="7" s="1"/>
  <c r="K44" i="7"/>
  <c r="P44" i="7"/>
  <c r="K81" i="7"/>
  <c r="P81" i="7"/>
  <c r="P375" i="7"/>
  <c r="K375" i="7"/>
  <c r="K112" i="7"/>
  <c r="P112" i="7"/>
  <c r="K320" i="7"/>
  <c r="P320" i="7"/>
  <c r="K479" i="7"/>
  <c r="P479" i="7"/>
  <c r="I481" i="7" s="1"/>
  <c r="K434" i="7"/>
  <c r="P434" i="7"/>
  <c r="K426" i="7"/>
  <c r="P426" i="7"/>
  <c r="K464" i="7"/>
  <c r="P464" i="7"/>
  <c r="I466" i="7" s="1"/>
  <c r="K260" i="7"/>
  <c r="P260" i="7"/>
  <c r="K52" i="7"/>
  <c r="P52" i="7"/>
  <c r="AH322" i="1"/>
  <c r="U327" i="1"/>
  <c r="AI117" i="1"/>
  <c r="V133" i="1"/>
  <c r="AH117" i="1"/>
  <c r="U133" i="1"/>
  <c r="X634" i="1"/>
  <c r="AK628" i="1"/>
  <c r="AL77" i="1"/>
  <c r="Y85" i="1"/>
  <c r="T133" i="1"/>
  <c r="AG117" i="1"/>
  <c r="AK77" i="1"/>
  <c r="X85" i="1"/>
  <c r="AJ30" i="1"/>
  <c r="W45" i="1"/>
  <c r="AZ133" i="1"/>
  <c r="CI117" i="1"/>
  <c r="AI404" i="1"/>
  <c r="T327" i="1"/>
  <c r="AG322" i="1"/>
  <c r="GP205" i="1"/>
  <c r="AJ275" i="1"/>
  <c r="W290" i="1"/>
  <c r="AH77" i="1"/>
  <c r="U85" i="1"/>
  <c r="Y634" i="1"/>
  <c r="AL628" i="1"/>
  <c r="DF113" i="3"/>
  <c r="DG113" i="3"/>
  <c r="DJ113" i="3" s="1"/>
  <c r="DH113" i="3"/>
  <c r="DI113" i="3"/>
  <c r="DF159" i="3"/>
  <c r="DJ159" i="3" s="1"/>
  <c r="DG159" i="3"/>
  <c r="DH159" i="3"/>
  <c r="DI159" i="3"/>
  <c r="DI52" i="3"/>
  <c r="DH52" i="3"/>
  <c r="DF52" i="3"/>
  <c r="DJ52" i="3" s="1"/>
  <c r="DG52" i="3"/>
  <c r="DF13" i="3"/>
  <c r="DJ13" i="3" s="1"/>
  <c r="DG13" i="3"/>
  <c r="DH13" i="3"/>
  <c r="DI13" i="3"/>
  <c r="DG7" i="3"/>
  <c r="DH7" i="3"/>
  <c r="DI7" i="3"/>
  <c r="DJ7" i="3" s="1"/>
  <c r="DF7" i="3"/>
  <c r="DH31" i="3"/>
  <c r="DI31" i="3"/>
  <c r="DG31" i="3"/>
  <c r="DJ31" i="3" s="1"/>
  <c r="DF31" i="3"/>
  <c r="DH103" i="3"/>
  <c r="DI103" i="3"/>
  <c r="DJ103" i="3" s="1"/>
  <c r="DG103" i="3"/>
  <c r="DF103" i="3"/>
  <c r="DI111" i="3"/>
  <c r="DJ111" i="3" s="1"/>
  <c r="DH111" i="3"/>
  <c r="DF111" i="3"/>
  <c r="DG111" i="3"/>
  <c r="DF108" i="3"/>
  <c r="DJ108" i="3" s="1"/>
  <c r="DG108" i="3"/>
  <c r="DH108" i="3"/>
  <c r="DI108" i="3"/>
  <c r="DF193" i="3"/>
  <c r="DG193" i="3"/>
  <c r="DH193" i="3"/>
  <c r="DI193" i="3"/>
  <c r="DJ193" i="3" s="1"/>
  <c r="DF138" i="3"/>
  <c r="DJ138" i="3" s="1"/>
  <c r="DG138" i="3"/>
  <c r="DH138" i="3"/>
  <c r="DI138" i="3"/>
  <c r="DI160" i="3"/>
  <c r="DH160" i="3"/>
  <c r="DG160" i="3"/>
  <c r="DF160" i="3"/>
  <c r="DJ160" i="3" s="1"/>
  <c r="DI146" i="3"/>
  <c r="DF146" i="3"/>
  <c r="DJ146" i="3" s="1"/>
  <c r="DG146" i="3"/>
  <c r="DH146" i="3"/>
  <c r="DF4" i="3"/>
  <c r="DG4" i="3"/>
  <c r="DJ4" i="3" s="1"/>
  <c r="DH4" i="3"/>
  <c r="DI4" i="3"/>
  <c r="F58" i="1"/>
  <c r="BB30" i="1"/>
  <c r="BB239" i="1"/>
  <c r="DI198" i="3"/>
  <c r="DH198" i="3"/>
  <c r="DF198" i="3"/>
  <c r="DG198" i="3"/>
  <c r="DJ198" i="3" s="1"/>
  <c r="AT77" i="1"/>
  <c r="F103" i="1"/>
  <c r="BC77" i="1"/>
  <c r="F101" i="1"/>
  <c r="DF202" i="3"/>
  <c r="DJ202" i="3" s="1"/>
  <c r="DI202" i="3"/>
  <c r="DG202" i="3"/>
  <c r="DH202" i="3"/>
  <c r="GM80" i="1"/>
  <c r="GP80" i="1" s="1"/>
  <c r="BC30" i="1"/>
  <c r="F61" i="1"/>
  <c r="BC239" i="1"/>
  <c r="AO77" i="1"/>
  <c r="F89" i="1"/>
  <c r="AO239" i="1"/>
  <c r="DF72" i="3"/>
  <c r="DG72" i="3"/>
  <c r="DH72" i="3"/>
  <c r="DI72" i="3"/>
  <c r="DJ72" i="3" s="1"/>
  <c r="CJ165" i="1"/>
  <c r="BA171" i="1"/>
  <c r="AD203" i="1"/>
  <c r="Q209" i="1"/>
  <c r="DF137" i="3"/>
  <c r="DJ137" i="3" s="1"/>
  <c r="DG137" i="3"/>
  <c r="DH137" i="3"/>
  <c r="DI137" i="3"/>
  <c r="AQ77" i="1"/>
  <c r="F95" i="1"/>
  <c r="DG81" i="3"/>
  <c r="DH81" i="3"/>
  <c r="DI81" i="3"/>
  <c r="DF81" i="3"/>
  <c r="DJ81" i="3" s="1"/>
  <c r="GM280" i="1"/>
  <c r="GP280" i="1" s="1"/>
  <c r="DF123" i="3"/>
  <c r="DJ123" i="3" s="1"/>
  <c r="DG123" i="3"/>
  <c r="DH123" i="3"/>
  <c r="DI123" i="3"/>
  <c r="DF105" i="3"/>
  <c r="DG105" i="3"/>
  <c r="DJ105" i="3" s="1"/>
  <c r="DH105" i="3"/>
  <c r="DI105" i="3"/>
  <c r="AF77" i="1"/>
  <c r="S85" i="1"/>
  <c r="T77" i="1"/>
  <c r="F106" i="1"/>
  <c r="AL171" i="1"/>
  <c r="DG114" i="3"/>
  <c r="DJ114" i="3" s="1"/>
  <c r="DH114" i="3"/>
  <c r="DI114" i="3"/>
  <c r="DF114" i="3"/>
  <c r="F308" i="1"/>
  <c r="AT275" i="1"/>
  <c r="DF129" i="3"/>
  <c r="DJ129" i="3" s="1"/>
  <c r="DG129" i="3"/>
  <c r="DH129" i="3"/>
  <c r="DI129" i="3"/>
  <c r="F232" i="1"/>
  <c r="V203" i="1"/>
  <c r="CI165" i="1"/>
  <c r="AZ171" i="1"/>
  <c r="F300" i="1"/>
  <c r="AQ275" i="1"/>
  <c r="AQ558" i="1"/>
  <c r="R171" i="1"/>
  <c r="AE165" i="1"/>
  <c r="AC290" i="1"/>
  <c r="GM445" i="1"/>
  <c r="GP445" i="1" s="1"/>
  <c r="DF158" i="3"/>
  <c r="DG158" i="3"/>
  <c r="DI158" i="3"/>
  <c r="DJ158" i="3" s="1"/>
  <c r="DH158" i="3"/>
  <c r="CY442" i="1"/>
  <c r="X442" i="1" s="1"/>
  <c r="CZ442" i="1"/>
  <c r="Y442" i="1" s="1"/>
  <c r="CE490" i="1"/>
  <c r="CF490" i="1"/>
  <c r="P490" i="1"/>
  <c r="AC484" i="1"/>
  <c r="CH490" i="1"/>
  <c r="DF209" i="3"/>
  <c r="DG209" i="3"/>
  <c r="DJ209" i="3" s="1"/>
  <c r="DH209" i="3"/>
  <c r="DI209" i="3"/>
  <c r="AP590" i="1"/>
  <c r="F605" i="1"/>
  <c r="CC436" i="1"/>
  <c r="AT452" i="1"/>
  <c r="BD522" i="1"/>
  <c r="F553" i="1"/>
  <c r="DF203" i="3"/>
  <c r="DJ203" i="3" s="1"/>
  <c r="DG203" i="3"/>
  <c r="DH203" i="3"/>
  <c r="DI203" i="3"/>
  <c r="CG436" i="1"/>
  <c r="AX452" i="1"/>
  <c r="CI484" i="1"/>
  <c r="AZ490" i="1"/>
  <c r="AL522" i="1"/>
  <c r="Y528" i="1"/>
  <c r="CP487" i="1"/>
  <c r="O487" i="1" s="1"/>
  <c r="GM487" i="1" s="1"/>
  <c r="GP487" i="1" s="1"/>
  <c r="GM524" i="1"/>
  <c r="U596" i="1"/>
  <c r="AH590" i="1"/>
  <c r="F551" i="1"/>
  <c r="V522" i="1"/>
  <c r="F511" i="1"/>
  <c r="T484" i="1"/>
  <c r="F552" i="1"/>
  <c r="W522" i="1"/>
  <c r="F658" i="1"/>
  <c r="W628" i="1"/>
  <c r="DF144" i="3"/>
  <c r="DJ144" i="3" s="1"/>
  <c r="DH144" i="3"/>
  <c r="DI144" i="3"/>
  <c r="DG144" i="3"/>
  <c r="DF6" i="3"/>
  <c r="DJ6" i="3" s="1"/>
  <c r="DG6" i="3"/>
  <c r="DH6" i="3"/>
  <c r="DI6" i="3"/>
  <c r="DF38" i="3"/>
  <c r="DG38" i="3"/>
  <c r="DH38" i="3"/>
  <c r="DI38" i="3"/>
  <c r="DJ38" i="3" s="1"/>
  <c r="DG75" i="3"/>
  <c r="DH75" i="3"/>
  <c r="DI75" i="3"/>
  <c r="DF75" i="3"/>
  <c r="DJ75" i="3" s="1"/>
  <c r="AJ117" i="1"/>
  <c r="W133" i="1"/>
  <c r="Q171" i="1"/>
  <c r="AD165" i="1"/>
  <c r="AZ327" i="1"/>
  <c r="CI322" i="1"/>
  <c r="F234" i="1"/>
  <c r="BD203" i="1"/>
  <c r="DF140" i="3"/>
  <c r="DJ140" i="3" s="1"/>
  <c r="DG140" i="3"/>
  <c r="DH140" i="3"/>
  <c r="DI140" i="3"/>
  <c r="AO203" i="1"/>
  <c r="F213" i="1"/>
  <c r="CG77" i="1"/>
  <c r="AX85" i="1"/>
  <c r="DF120" i="3"/>
  <c r="DG120" i="3"/>
  <c r="DJ120" i="3" s="1"/>
  <c r="DH120" i="3"/>
  <c r="DI120" i="3"/>
  <c r="AK171" i="1"/>
  <c r="DF118" i="3"/>
  <c r="DJ118" i="3" s="1"/>
  <c r="DG118" i="3"/>
  <c r="DH118" i="3"/>
  <c r="DI118" i="3"/>
  <c r="BB275" i="1"/>
  <c r="F303" i="1"/>
  <c r="BB558" i="1"/>
  <c r="F385" i="1"/>
  <c r="U359" i="1"/>
  <c r="F352" i="1"/>
  <c r="BD322" i="1"/>
  <c r="BD558" i="1"/>
  <c r="AQ165" i="1"/>
  <c r="F181" i="1"/>
  <c r="AX290" i="1"/>
  <c r="CG275" i="1"/>
  <c r="V359" i="1"/>
  <c r="F386" i="1"/>
  <c r="DF161" i="3"/>
  <c r="DJ161" i="3" s="1"/>
  <c r="DG161" i="3"/>
  <c r="DH161" i="3"/>
  <c r="DI161" i="3"/>
  <c r="DF150" i="3"/>
  <c r="DJ150" i="3" s="1"/>
  <c r="DI150" i="3"/>
  <c r="DG150" i="3"/>
  <c r="DH150" i="3"/>
  <c r="DG147" i="3"/>
  <c r="DF147" i="3"/>
  <c r="DJ147" i="3" s="1"/>
  <c r="DH147" i="3"/>
  <c r="DI147" i="3"/>
  <c r="GX446" i="1"/>
  <c r="Q446" i="1"/>
  <c r="S446" i="1"/>
  <c r="T446" i="1"/>
  <c r="DF188" i="3"/>
  <c r="DJ188" i="3" s="1"/>
  <c r="DI188" i="3"/>
  <c r="DH188" i="3"/>
  <c r="DG188" i="3"/>
  <c r="AB490" i="1"/>
  <c r="GM486" i="1"/>
  <c r="F546" i="1"/>
  <c r="AT522" i="1"/>
  <c r="AT395" i="1"/>
  <c r="F422" i="1"/>
  <c r="AP628" i="1"/>
  <c r="F643" i="1"/>
  <c r="AF522" i="1"/>
  <c r="S528" i="1"/>
  <c r="CG522" i="1"/>
  <c r="AX528" i="1"/>
  <c r="DG201" i="3"/>
  <c r="DJ201" i="3" s="1"/>
  <c r="DH201" i="3"/>
  <c r="DI201" i="3"/>
  <c r="DF201" i="3"/>
  <c r="BD628" i="1"/>
  <c r="F659" i="1"/>
  <c r="W446" i="1"/>
  <c r="R528" i="1"/>
  <c r="AE522" i="1"/>
  <c r="CZ325" i="1"/>
  <c r="Y325" i="1" s="1"/>
  <c r="CY325" i="1"/>
  <c r="X325" i="1" s="1"/>
  <c r="AH522" i="1"/>
  <c r="U528" i="1"/>
  <c r="T522" i="1"/>
  <c r="F549" i="1"/>
  <c r="AX634" i="1"/>
  <c r="CG628" i="1"/>
  <c r="AF628" i="1"/>
  <c r="S634" i="1"/>
  <c r="BZ117" i="1"/>
  <c r="AQ133" i="1"/>
  <c r="AQ239" i="1" s="1"/>
  <c r="DF135" i="3"/>
  <c r="DG135" i="3"/>
  <c r="DH135" i="3"/>
  <c r="DI135" i="3"/>
  <c r="DJ135" i="3" s="1"/>
  <c r="S133" i="1"/>
  <c r="AF117" i="1"/>
  <c r="AT117" i="1"/>
  <c r="F151" i="1"/>
  <c r="DF106" i="3"/>
  <c r="DG106" i="3"/>
  <c r="DJ106" i="3" s="1"/>
  <c r="DH106" i="3"/>
  <c r="DI106" i="3"/>
  <c r="DF115" i="3"/>
  <c r="DJ115" i="3" s="1"/>
  <c r="DI115" i="3"/>
  <c r="DG115" i="3"/>
  <c r="DH115" i="3"/>
  <c r="CZ131" i="1"/>
  <c r="Y131" i="1" s="1"/>
  <c r="CY131" i="1"/>
  <c r="X131" i="1" s="1"/>
  <c r="BC359" i="1"/>
  <c r="F379" i="1"/>
  <c r="BC558" i="1"/>
  <c r="S209" i="1"/>
  <c r="AF203" i="1"/>
  <c r="AZ290" i="1"/>
  <c r="CI275" i="1"/>
  <c r="AH203" i="1"/>
  <c r="U209" i="1"/>
  <c r="AX171" i="1"/>
  <c r="CG165" i="1"/>
  <c r="AS203" i="1"/>
  <c r="F226" i="1"/>
  <c r="DF154" i="3"/>
  <c r="DJ154" i="3" s="1"/>
  <c r="DG154" i="3"/>
  <c r="DH154" i="3"/>
  <c r="DI154" i="3"/>
  <c r="DG183" i="3"/>
  <c r="DH183" i="3"/>
  <c r="DI183" i="3"/>
  <c r="DF183" i="3"/>
  <c r="DJ183" i="3" s="1"/>
  <c r="F299" i="1"/>
  <c r="AP275" i="1"/>
  <c r="CI203" i="1"/>
  <c r="AZ209" i="1"/>
  <c r="GK324" i="1"/>
  <c r="AE327" i="1"/>
  <c r="DG145" i="3"/>
  <c r="DI145" i="3"/>
  <c r="DJ145" i="3" s="1"/>
  <c r="DF145" i="3"/>
  <c r="DH145" i="3"/>
  <c r="DF181" i="3"/>
  <c r="DJ181" i="3" s="1"/>
  <c r="DG181" i="3"/>
  <c r="DH181" i="3"/>
  <c r="DI181" i="3"/>
  <c r="Q490" i="1"/>
  <c r="AD484" i="1"/>
  <c r="AQ436" i="1"/>
  <c r="F462" i="1"/>
  <c r="BD436" i="1"/>
  <c r="F477" i="1"/>
  <c r="DH204" i="3"/>
  <c r="DI204" i="3"/>
  <c r="DG204" i="3"/>
  <c r="DF204" i="3"/>
  <c r="DJ204" i="3" s="1"/>
  <c r="AZ528" i="1"/>
  <c r="CI522" i="1"/>
  <c r="V446" i="1"/>
  <c r="AQ628" i="1"/>
  <c r="F644" i="1"/>
  <c r="F645" i="1"/>
  <c r="AZ628" i="1"/>
  <c r="AT628" i="1"/>
  <c r="F652" i="1"/>
  <c r="AJ590" i="1"/>
  <c r="W596" i="1"/>
  <c r="AF590" i="1"/>
  <c r="S596" i="1"/>
  <c r="AY522" i="1"/>
  <c r="F536" i="1"/>
  <c r="U634" i="1"/>
  <c r="AH628" i="1"/>
  <c r="DF47" i="3"/>
  <c r="DJ47" i="3" s="1"/>
  <c r="DH47" i="3"/>
  <c r="DG47" i="3"/>
  <c r="DI47" i="3"/>
  <c r="DF200" i="3"/>
  <c r="DG200" i="3"/>
  <c r="DJ200" i="3" s="1"/>
  <c r="DH200" i="3"/>
  <c r="DI200" i="3"/>
  <c r="AD30" i="1"/>
  <c r="Q45" i="1"/>
  <c r="DI53" i="3"/>
  <c r="DJ53" i="3" s="1"/>
  <c r="DF53" i="3"/>
  <c r="DG53" i="3"/>
  <c r="DH53" i="3"/>
  <c r="BD77" i="1"/>
  <c r="F110" i="1"/>
  <c r="BD239" i="1"/>
  <c r="AB171" i="1"/>
  <c r="GM167" i="1"/>
  <c r="GM125" i="1"/>
  <c r="GP125" i="1" s="1"/>
  <c r="DI73" i="3"/>
  <c r="DH73" i="3"/>
  <c r="DF73" i="3"/>
  <c r="DJ73" i="3" s="1"/>
  <c r="DG73" i="3"/>
  <c r="DF82" i="3"/>
  <c r="DJ82" i="3" s="1"/>
  <c r="DH82" i="3"/>
  <c r="DG82" i="3"/>
  <c r="DI82" i="3"/>
  <c r="DF78" i="3"/>
  <c r="DJ78" i="3" s="1"/>
  <c r="DG78" i="3"/>
  <c r="DH78" i="3"/>
  <c r="DI78" i="3"/>
  <c r="DI76" i="3"/>
  <c r="DF76" i="3"/>
  <c r="DJ76" i="3" s="1"/>
  <c r="DG76" i="3"/>
  <c r="DH76" i="3"/>
  <c r="DF210" i="3"/>
  <c r="DG210" i="3"/>
  <c r="DJ210" i="3" s="1"/>
  <c r="DH210" i="3"/>
  <c r="DI210" i="3"/>
  <c r="DH130" i="3"/>
  <c r="DI130" i="3"/>
  <c r="DG130" i="3"/>
  <c r="DF130" i="3"/>
  <c r="DJ130" i="3" s="1"/>
  <c r="DI208" i="3"/>
  <c r="DH208" i="3"/>
  <c r="DF208" i="3"/>
  <c r="DG208" i="3"/>
  <c r="DJ208" i="3" s="1"/>
  <c r="DG25" i="3"/>
  <c r="DH25" i="3"/>
  <c r="DI25" i="3"/>
  <c r="DF25" i="3"/>
  <c r="DJ25" i="3" s="1"/>
  <c r="DF28" i="3"/>
  <c r="DJ28" i="3" s="1"/>
  <c r="DI28" i="3"/>
  <c r="DG28" i="3"/>
  <c r="DH28" i="3"/>
  <c r="DG19" i="3"/>
  <c r="DF19" i="3"/>
  <c r="DJ19" i="3" s="1"/>
  <c r="DH19" i="3"/>
  <c r="DI19" i="3"/>
  <c r="AE45" i="1"/>
  <c r="GK33" i="1"/>
  <c r="DG85" i="3"/>
  <c r="DF85" i="3"/>
  <c r="DH85" i="3"/>
  <c r="DI85" i="3"/>
  <c r="DJ85" i="3" s="1"/>
  <c r="DF88" i="3"/>
  <c r="DI88" i="3"/>
  <c r="DJ88" i="3" s="1"/>
  <c r="DG88" i="3"/>
  <c r="DH88" i="3"/>
  <c r="T165" i="1"/>
  <c r="F192" i="1"/>
  <c r="AB85" i="1"/>
  <c r="CY130" i="1"/>
  <c r="X130" i="1" s="1"/>
  <c r="CZ130" i="1"/>
  <c r="Y130" i="1" s="1"/>
  <c r="AE290" i="1"/>
  <c r="GK277" i="1"/>
  <c r="CG133" i="1"/>
  <c r="DG102" i="3"/>
  <c r="DH102" i="3"/>
  <c r="DI102" i="3"/>
  <c r="DF102" i="3"/>
  <c r="DJ102" i="3" s="1"/>
  <c r="AQ203" i="1"/>
  <c r="F219" i="1"/>
  <c r="DF94" i="3"/>
  <c r="DG94" i="3"/>
  <c r="DH94" i="3"/>
  <c r="DI94" i="3"/>
  <c r="DJ94" i="3" s="1"/>
  <c r="DF112" i="3"/>
  <c r="DG112" i="3"/>
  <c r="DJ112" i="3" s="1"/>
  <c r="DH112" i="3"/>
  <c r="DI112" i="3"/>
  <c r="F194" i="1"/>
  <c r="V165" i="1"/>
  <c r="GX400" i="1"/>
  <c r="CJ404" i="1" s="1"/>
  <c r="Q400" i="1"/>
  <c r="AD404" i="1" s="1"/>
  <c r="T400" i="1"/>
  <c r="AG404" i="1" s="1"/>
  <c r="AK209" i="1"/>
  <c r="AF275" i="1"/>
  <c r="S290" i="1"/>
  <c r="Q359" i="1"/>
  <c r="F375" i="1"/>
  <c r="DF192" i="3"/>
  <c r="DJ192" i="3" s="1"/>
  <c r="DG192" i="3"/>
  <c r="DH192" i="3"/>
  <c r="DI192" i="3"/>
  <c r="F233" i="1"/>
  <c r="W203" i="1"/>
  <c r="F373" i="1"/>
  <c r="AQ359" i="1"/>
  <c r="P325" i="1"/>
  <c r="F468" i="1"/>
  <c r="BC436" i="1"/>
  <c r="AP203" i="1"/>
  <c r="F218" i="1"/>
  <c r="V325" i="1"/>
  <c r="AI327" i="1" s="1"/>
  <c r="F414" i="1"/>
  <c r="AQ395" i="1"/>
  <c r="AF327" i="1"/>
  <c r="CY324" i="1"/>
  <c r="X324" i="1" s="1"/>
  <c r="AK327" i="1" s="1"/>
  <c r="CZ324" i="1"/>
  <c r="Y324" i="1" s="1"/>
  <c r="AL327" i="1" s="1"/>
  <c r="F541" i="1"/>
  <c r="BB522" i="1"/>
  <c r="AH484" i="1"/>
  <c r="U490" i="1"/>
  <c r="CP592" i="1"/>
  <c r="O592" i="1" s="1"/>
  <c r="AC596" i="1"/>
  <c r="BA490" i="1"/>
  <c r="CJ484" i="1"/>
  <c r="DF205" i="3"/>
  <c r="DJ205" i="3" s="1"/>
  <c r="DG205" i="3"/>
  <c r="DI205" i="3"/>
  <c r="DH205" i="3"/>
  <c r="U446" i="1"/>
  <c r="AH452" i="1" s="1"/>
  <c r="GM438" i="1"/>
  <c r="F310" i="1"/>
  <c r="BA275" i="1"/>
  <c r="AE484" i="1"/>
  <c r="R490" i="1"/>
  <c r="CY402" i="1"/>
  <c r="X402" i="1" s="1"/>
  <c r="CZ402" i="1"/>
  <c r="Y402" i="1" s="1"/>
  <c r="GM402" i="1" s="1"/>
  <c r="GP402" i="1" s="1"/>
  <c r="BA522" i="1"/>
  <c r="F548" i="1"/>
  <c r="AL596" i="1"/>
  <c r="DF10" i="3"/>
  <c r="DG10" i="3"/>
  <c r="DJ10" i="3" s="1"/>
  <c r="DH10" i="3"/>
  <c r="DI10" i="3"/>
  <c r="DH43" i="3"/>
  <c r="DI43" i="3"/>
  <c r="DJ43" i="3" s="1"/>
  <c r="DG43" i="3"/>
  <c r="DF43" i="3"/>
  <c r="DF206" i="3"/>
  <c r="DG206" i="3"/>
  <c r="DJ206" i="3" s="1"/>
  <c r="DH206" i="3"/>
  <c r="DI206" i="3"/>
  <c r="DF196" i="3"/>
  <c r="DJ196" i="3" s="1"/>
  <c r="DG196" i="3"/>
  <c r="DH196" i="3"/>
  <c r="DI196" i="3"/>
  <c r="AZ45" i="1"/>
  <c r="CI30" i="1"/>
  <c r="GK79" i="1"/>
  <c r="GM79" i="1" s="1"/>
  <c r="AE85" i="1"/>
  <c r="AX363" i="1"/>
  <c r="CG359" i="1"/>
  <c r="DI39" i="3"/>
  <c r="DH39" i="3"/>
  <c r="DF39" i="3"/>
  <c r="DJ39" i="3" s="1"/>
  <c r="DG39" i="3"/>
  <c r="DH80" i="3"/>
  <c r="DI80" i="3"/>
  <c r="DJ80" i="3" s="1"/>
  <c r="DG80" i="3"/>
  <c r="DF80" i="3"/>
  <c r="DI90" i="3"/>
  <c r="DH90" i="3"/>
  <c r="DF90" i="3"/>
  <c r="DJ90" i="3" s="1"/>
  <c r="DG90" i="3"/>
  <c r="DH117" i="3"/>
  <c r="DI117" i="3"/>
  <c r="DG117" i="3"/>
  <c r="DF117" i="3"/>
  <c r="DJ117" i="3" s="1"/>
  <c r="DH136" i="3"/>
  <c r="DI136" i="3"/>
  <c r="DG136" i="3"/>
  <c r="DF136" i="3"/>
  <c r="DJ136" i="3" s="1"/>
  <c r="DG127" i="3"/>
  <c r="DH127" i="3"/>
  <c r="DI127" i="3"/>
  <c r="DJ127" i="3" s="1"/>
  <c r="DF127" i="3"/>
  <c r="DH99" i="3"/>
  <c r="DI99" i="3"/>
  <c r="DG99" i="3"/>
  <c r="DF99" i="3"/>
  <c r="DJ99" i="3" s="1"/>
  <c r="DF23" i="3"/>
  <c r="DG23" i="3"/>
  <c r="DI23" i="3"/>
  <c r="DJ23" i="3" s="1"/>
  <c r="DH23" i="3"/>
  <c r="DF15" i="3"/>
  <c r="DI15" i="3"/>
  <c r="DJ15" i="3" s="1"/>
  <c r="DG15" i="3"/>
  <c r="DH15" i="3"/>
  <c r="DG177" i="3"/>
  <c r="DH177" i="3"/>
  <c r="DI177" i="3"/>
  <c r="DJ177" i="3" s="1"/>
  <c r="DF177" i="3"/>
  <c r="DF12" i="3"/>
  <c r="DJ12" i="3" s="1"/>
  <c r="DG12" i="3"/>
  <c r="DI12" i="3"/>
  <c r="DH12" i="3"/>
  <c r="DH11" i="3"/>
  <c r="DI11" i="3"/>
  <c r="DG11" i="3"/>
  <c r="DF11" i="3"/>
  <c r="DJ11" i="3" s="1"/>
  <c r="AC45" i="1"/>
  <c r="DG44" i="3"/>
  <c r="DF44" i="3"/>
  <c r="DJ44" i="3" s="1"/>
  <c r="DH44" i="3"/>
  <c r="DI44" i="3"/>
  <c r="F149" i="1"/>
  <c r="BC117" i="1"/>
  <c r="DF56" i="3"/>
  <c r="DJ56" i="3" s="1"/>
  <c r="DG56" i="3"/>
  <c r="DH56" i="3"/>
  <c r="DI56" i="3"/>
  <c r="F158" i="1"/>
  <c r="BD117" i="1"/>
  <c r="DF178" i="3"/>
  <c r="DJ178" i="3" s="1"/>
  <c r="DI178" i="3"/>
  <c r="DG178" i="3"/>
  <c r="DH178" i="3"/>
  <c r="GM34" i="1"/>
  <c r="GP34" i="1" s="1"/>
  <c r="AS77" i="1"/>
  <c r="F102" i="1"/>
  <c r="F227" i="1"/>
  <c r="AT203" i="1"/>
  <c r="AC85" i="1"/>
  <c r="DG141" i="3"/>
  <c r="DH141" i="3"/>
  <c r="DI141" i="3"/>
  <c r="DF141" i="3"/>
  <c r="DJ141" i="3" s="1"/>
  <c r="DF98" i="3"/>
  <c r="DJ98" i="3" s="1"/>
  <c r="DG98" i="3"/>
  <c r="DH98" i="3"/>
  <c r="DI98" i="3"/>
  <c r="AJ165" i="1"/>
  <c r="W171" i="1"/>
  <c r="F380" i="1"/>
  <c r="AS359" i="1"/>
  <c r="CI77" i="1"/>
  <c r="AZ85" i="1"/>
  <c r="AP322" i="1"/>
  <c r="F336" i="1"/>
  <c r="AS395" i="1"/>
  <c r="F421" i="1"/>
  <c r="AL203" i="1"/>
  <c r="Y209" i="1"/>
  <c r="AL290" i="1"/>
  <c r="DF190" i="3"/>
  <c r="DG190" i="3"/>
  <c r="DH190" i="3"/>
  <c r="DI190" i="3"/>
  <c r="DJ190" i="3" s="1"/>
  <c r="GM397" i="1"/>
  <c r="Q325" i="1"/>
  <c r="AD327" i="1" s="1"/>
  <c r="DH153" i="3"/>
  <c r="DI153" i="3"/>
  <c r="DG153" i="3"/>
  <c r="DF153" i="3"/>
  <c r="DJ153" i="3" s="1"/>
  <c r="GK439" i="1"/>
  <c r="DF179" i="3"/>
  <c r="DJ179" i="3" s="1"/>
  <c r="DG179" i="3"/>
  <c r="DH179" i="3"/>
  <c r="DI179" i="3"/>
  <c r="DF186" i="3"/>
  <c r="DJ186" i="3" s="1"/>
  <c r="DG186" i="3"/>
  <c r="DH186" i="3"/>
  <c r="DI186" i="3"/>
  <c r="P522" i="1"/>
  <c r="F531" i="1"/>
  <c r="AQ484" i="1"/>
  <c r="F500" i="1"/>
  <c r="R400" i="1"/>
  <c r="AI484" i="1"/>
  <c r="V490" i="1"/>
  <c r="F647" i="1"/>
  <c r="BB628" i="1"/>
  <c r="CI452" i="1"/>
  <c r="BY436" i="1"/>
  <c r="AP452" i="1"/>
  <c r="AP558" i="1" s="1"/>
  <c r="DF199" i="3"/>
  <c r="DG199" i="3"/>
  <c r="DJ199" i="3" s="1"/>
  <c r="DI199" i="3"/>
  <c r="DH199" i="3"/>
  <c r="F650" i="1"/>
  <c r="BC628" i="1"/>
  <c r="CF363" i="1"/>
  <c r="CH363" i="1"/>
  <c r="P363" i="1"/>
  <c r="CE363" i="1"/>
  <c r="AC359" i="1"/>
  <c r="V450" i="1"/>
  <c r="F651" i="1"/>
  <c r="AS628" i="1"/>
  <c r="V596" i="1"/>
  <c r="AI590" i="1"/>
  <c r="AB634" i="1"/>
  <c r="GM630" i="1"/>
  <c r="AQ590" i="1"/>
  <c r="F606" i="1"/>
  <c r="GM631" i="1"/>
  <c r="GP631" i="1" s="1"/>
  <c r="AT590" i="1"/>
  <c r="F614" i="1"/>
  <c r="AD596" i="1"/>
  <c r="AK596" i="1"/>
  <c r="DF148" i="3"/>
  <c r="DH148" i="3"/>
  <c r="DI148" i="3"/>
  <c r="DJ148" i="3" s="1"/>
  <c r="DG148" i="3"/>
  <c r="DF33" i="3"/>
  <c r="DH33" i="3"/>
  <c r="DG33" i="3"/>
  <c r="DJ33" i="3" s="1"/>
  <c r="DI33" i="3"/>
  <c r="AF30" i="1"/>
  <c r="S45" i="1"/>
  <c r="DF1" i="3"/>
  <c r="DG1" i="3"/>
  <c r="DH1" i="3"/>
  <c r="DI1" i="3"/>
  <c r="DJ1" i="3" s="1"/>
  <c r="DF119" i="3"/>
  <c r="DG119" i="3"/>
  <c r="DH119" i="3"/>
  <c r="DI119" i="3"/>
  <c r="DJ119" i="3" s="1"/>
  <c r="DH18" i="3"/>
  <c r="DI18" i="3"/>
  <c r="DG18" i="3"/>
  <c r="DJ18" i="3" s="1"/>
  <c r="DF18" i="3"/>
  <c r="DH3" i="3"/>
  <c r="DI3" i="3"/>
  <c r="DJ3" i="3" s="1"/>
  <c r="DF3" i="3"/>
  <c r="DG3" i="3"/>
  <c r="DI8" i="3"/>
  <c r="DF8" i="3"/>
  <c r="DG8" i="3"/>
  <c r="DJ8" i="3" s="1"/>
  <c r="DH8" i="3"/>
  <c r="DG96" i="3"/>
  <c r="DH96" i="3"/>
  <c r="DI96" i="3"/>
  <c r="DJ96" i="3" s="1"/>
  <c r="DF96" i="3"/>
  <c r="DF95" i="3"/>
  <c r="DJ95" i="3" s="1"/>
  <c r="DG95" i="3"/>
  <c r="DH95" i="3"/>
  <c r="DI95" i="3"/>
  <c r="DF152" i="3"/>
  <c r="DG152" i="3"/>
  <c r="DH152" i="3"/>
  <c r="DI152" i="3"/>
  <c r="DJ152" i="3" s="1"/>
  <c r="DI100" i="3"/>
  <c r="DJ100" i="3" s="1"/>
  <c r="DH100" i="3"/>
  <c r="DF100" i="3"/>
  <c r="DG100" i="3"/>
  <c r="DG156" i="3"/>
  <c r="DH156" i="3"/>
  <c r="DI156" i="3"/>
  <c r="DJ156" i="3" s="1"/>
  <c r="DF156" i="3"/>
  <c r="DF128" i="3"/>
  <c r="DJ128" i="3" s="1"/>
  <c r="DI128" i="3"/>
  <c r="DG128" i="3"/>
  <c r="DH128" i="3"/>
  <c r="DF32" i="3"/>
  <c r="DI32" i="3"/>
  <c r="DG32" i="3"/>
  <c r="DJ32" i="3" s="1"/>
  <c r="DH32" i="3"/>
  <c r="DG87" i="3"/>
  <c r="DH87" i="3"/>
  <c r="DI87" i="3"/>
  <c r="DF87" i="3"/>
  <c r="DJ87" i="3" s="1"/>
  <c r="GM32" i="1"/>
  <c r="AB45" i="1"/>
  <c r="DF50" i="3"/>
  <c r="DJ50" i="3" s="1"/>
  <c r="DG50" i="3"/>
  <c r="DH50" i="3"/>
  <c r="DI50" i="3"/>
  <c r="DF54" i="3"/>
  <c r="DJ54" i="3" s="1"/>
  <c r="DG54" i="3"/>
  <c r="DH54" i="3"/>
  <c r="DI54" i="3"/>
  <c r="AG30" i="1"/>
  <c r="T45" i="1"/>
  <c r="DF91" i="3"/>
  <c r="DJ91" i="3" s="1"/>
  <c r="DG91" i="3"/>
  <c r="DH91" i="3"/>
  <c r="DI91" i="3"/>
  <c r="BB203" i="1"/>
  <c r="F222" i="1"/>
  <c r="CY124" i="1"/>
  <c r="X124" i="1" s="1"/>
  <c r="GM124" i="1" s="1"/>
  <c r="GP124" i="1" s="1"/>
  <c r="CZ124" i="1"/>
  <c r="Y124" i="1" s="1"/>
  <c r="AL133" i="1" s="1"/>
  <c r="F225" i="1"/>
  <c r="BC203" i="1"/>
  <c r="DF109" i="3"/>
  <c r="DG109" i="3"/>
  <c r="DH109" i="3"/>
  <c r="DI109" i="3"/>
  <c r="DJ109" i="3" s="1"/>
  <c r="GM120" i="1"/>
  <c r="GP120" i="1" s="1"/>
  <c r="DF125" i="3"/>
  <c r="DJ125" i="3" s="1"/>
  <c r="DG125" i="3"/>
  <c r="DH125" i="3"/>
  <c r="DI125" i="3"/>
  <c r="F383" i="1"/>
  <c r="BA359" i="1"/>
  <c r="DF104" i="3"/>
  <c r="DI104" i="3"/>
  <c r="DG104" i="3"/>
  <c r="DJ104" i="3" s="1"/>
  <c r="DH104" i="3"/>
  <c r="V77" i="1"/>
  <c r="F108" i="1"/>
  <c r="AP77" i="1"/>
  <c r="F94" i="1"/>
  <c r="AP239" i="1"/>
  <c r="CP127" i="1"/>
  <c r="O127" i="1" s="1"/>
  <c r="GM127" i="1" s="1"/>
  <c r="GP127" i="1" s="1"/>
  <c r="F307" i="1"/>
  <c r="AS275" i="1"/>
  <c r="AS558" i="1"/>
  <c r="Y363" i="1"/>
  <c r="AL359" i="1"/>
  <c r="DF195" i="3"/>
  <c r="DJ195" i="3" s="1"/>
  <c r="DG195" i="3"/>
  <c r="DH195" i="3"/>
  <c r="DI195" i="3"/>
  <c r="CJ203" i="1"/>
  <c r="BA209" i="1"/>
  <c r="DF131" i="3"/>
  <c r="DJ131" i="3" s="1"/>
  <c r="DG131" i="3"/>
  <c r="DH131" i="3"/>
  <c r="DI131" i="3"/>
  <c r="BB395" i="1"/>
  <c r="F417" i="1"/>
  <c r="AK290" i="1"/>
  <c r="CG322" i="1"/>
  <c r="AX327" i="1"/>
  <c r="F465" i="1"/>
  <c r="BB436" i="1"/>
  <c r="GX325" i="1"/>
  <c r="CJ327" i="1" s="1"/>
  <c r="AC203" i="1"/>
  <c r="CE209" i="1"/>
  <c r="CF209" i="1"/>
  <c r="CH209" i="1"/>
  <c r="P209" i="1"/>
  <c r="AE359" i="1"/>
  <c r="R363" i="1"/>
  <c r="GM282" i="1"/>
  <c r="GP282" i="1" s="1"/>
  <c r="F384" i="1"/>
  <c r="T359" i="1"/>
  <c r="CI395" i="1"/>
  <c r="AZ404" i="1"/>
  <c r="DH180" i="3"/>
  <c r="DI180" i="3"/>
  <c r="DG180" i="3"/>
  <c r="DF180" i="3"/>
  <c r="DJ180" i="3" s="1"/>
  <c r="DF189" i="3"/>
  <c r="DJ189" i="3" s="1"/>
  <c r="DG189" i="3"/>
  <c r="DH189" i="3"/>
  <c r="DI189" i="3"/>
  <c r="CP398" i="1"/>
  <c r="O398" i="1" s="1"/>
  <c r="GM398" i="1" s="1"/>
  <c r="GP398" i="1" s="1"/>
  <c r="CG484" i="1"/>
  <c r="AX490" i="1"/>
  <c r="GM401" i="1"/>
  <c r="GP401" i="1" s="1"/>
  <c r="AJ484" i="1"/>
  <c r="W490" i="1"/>
  <c r="W325" i="1"/>
  <c r="AJ327" i="1" s="1"/>
  <c r="GM449" i="1"/>
  <c r="GP449" i="1" s="1"/>
  <c r="AB363" i="1"/>
  <c r="GM361" i="1"/>
  <c r="F505" i="1"/>
  <c r="S484" i="1"/>
  <c r="AC634" i="1"/>
  <c r="CG590" i="1"/>
  <c r="AX596" i="1"/>
  <c r="Q634" i="1"/>
  <c r="AD628" i="1"/>
  <c r="AE590" i="1"/>
  <c r="R596" i="1"/>
  <c r="F607" i="1"/>
  <c r="AZ590" i="1"/>
  <c r="DG79" i="3"/>
  <c r="DH79" i="3"/>
  <c r="DI79" i="3"/>
  <c r="DJ79" i="3" s="1"/>
  <c r="DF79" i="3"/>
  <c r="DF93" i="3"/>
  <c r="DI93" i="3"/>
  <c r="DG93" i="3"/>
  <c r="DJ93" i="3" s="1"/>
  <c r="DH93" i="3"/>
  <c r="DH124" i="3"/>
  <c r="DI124" i="3"/>
  <c r="DG124" i="3"/>
  <c r="DF124" i="3"/>
  <c r="DJ124" i="3" s="1"/>
  <c r="DF30" i="3"/>
  <c r="DG30" i="3"/>
  <c r="DH30" i="3"/>
  <c r="DI30" i="3"/>
  <c r="DJ30" i="3" s="1"/>
  <c r="DF26" i="3"/>
  <c r="DJ26" i="3" s="1"/>
  <c r="DG26" i="3"/>
  <c r="DH26" i="3"/>
  <c r="DI26" i="3"/>
  <c r="DF45" i="3"/>
  <c r="DJ45" i="3" s="1"/>
  <c r="DG45" i="3"/>
  <c r="DH45" i="3"/>
  <c r="DI45" i="3"/>
  <c r="DF101" i="3"/>
  <c r="DJ101" i="3" s="1"/>
  <c r="DG101" i="3"/>
  <c r="DH101" i="3"/>
  <c r="DI101" i="3"/>
  <c r="DF162" i="3"/>
  <c r="DG162" i="3"/>
  <c r="DH162" i="3"/>
  <c r="DI162" i="3"/>
  <c r="DJ162" i="3" s="1"/>
  <c r="DH142" i="3"/>
  <c r="DI142" i="3"/>
  <c r="DJ142" i="3" s="1"/>
  <c r="DG142" i="3"/>
  <c r="DF142" i="3"/>
  <c r="DI133" i="3"/>
  <c r="DH133" i="3"/>
  <c r="DF133" i="3"/>
  <c r="DJ133" i="3" s="1"/>
  <c r="DG133" i="3"/>
  <c r="DI185" i="3"/>
  <c r="DJ185" i="3" s="1"/>
  <c r="DH185" i="3"/>
  <c r="DG185" i="3"/>
  <c r="DF185" i="3"/>
  <c r="CY40" i="1"/>
  <c r="X40" i="1" s="1"/>
  <c r="AK45" i="1" s="1"/>
  <c r="CZ40" i="1"/>
  <c r="Y40" i="1" s="1"/>
  <c r="AL45" i="1" s="1"/>
  <c r="DH24" i="3"/>
  <c r="DI24" i="3"/>
  <c r="DG24" i="3"/>
  <c r="DF24" i="3"/>
  <c r="DJ24" i="3" s="1"/>
  <c r="DF5" i="3"/>
  <c r="DG5" i="3"/>
  <c r="DH5" i="3"/>
  <c r="DI5" i="3"/>
  <c r="DJ5" i="3" s="1"/>
  <c r="DF16" i="3"/>
  <c r="DG16" i="3"/>
  <c r="DJ16" i="3" s="1"/>
  <c r="DH16" i="3"/>
  <c r="DI16" i="3"/>
  <c r="DH86" i="3"/>
  <c r="DG86" i="3"/>
  <c r="DI86" i="3"/>
  <c r="DF86" i="3"/>
  <c r="DJ86" i="3" s="1"/>
  <c r="AH30" i="1"/>
  <c r="U45" i="1"/>
  <c r="BA45" i="1"/>
  <c r="CJ30" i="1"/>
  <c r="DH55" i="3"/>
  <c r="DI55" i="3"/>
  <c r="DG55" i="3"/>
  <c r="DF55" i="3"/>
  <c r="DJ55" i="3" s="1"/>
  <c r="AI30" i="1"/>
  <c r="V45" i="1"/>
  <c r="DF51" i="3"/>
  <c r="DG51" i="3"/>
  <c r="DH51" i="3"/>
  <c r="DI51" i="3"/>
  <c r="DJ51" i="3" s="1"/>
  <c r="DF89" i="3"/>
  <c r="DJ89" i="3" s="1"/>
  <c r="DG89" i="3"/>
  <c r="DH89" i="3"/>
  <c r="DI89" i="3"/>
  <c r="AG275" i="1"/>
  <c r="T290" i="1"/>
  <c r="GM119" i="1"/>
  <c r="CI359" i="1"/>
  <c r="AZ363" i="1"/>
  <c r="AS133" i="1"/>
  <c r="CB117" i="1"/>
  <c r="GX131" i="1"/>
  <c r="CJ133" i="1" s="1"/>
  <c r="Q131" i="1"/>
  <c r="AD133" i="1" s="1"/>
  <c r="R131" i="1"/>
  <c r="GK131" i="1" s="1"/>
  <c r="CG203" i="1"/>
  <c r="AX209" i="1"/>
  <c r="DF122" i="3"/>
  <c r="DI122" i="3"/>
  <c r="DG122" i="3"/>
  <c r="DJ122" i="3" s="1"/>
  <c r="DH122" i="3"/>
  <c r="DF143" i="3"/>
  <c r="DJ143" i="3" s="1"/>
  <c r="DG143" i="3"/>
  <c r="DH143" i="3"/>
  <c r="DI143" i="3"/>
  <c r="BA77" i="1"/>
  <c r="F105" i="1"/>
  <c r="P131" i="1"/>
  <c r="CP130" i="1"/>
  <c r="O130" i="1" s="1"/>
  <c r="GM130" i="1" s="1"/>
  <c r="GP130" i="1" s="1"/>
  <c r="BD359" i="1"/>
  <c r="F388" i="1"/>
  <c r="R209" i="1"/>
  <c r="AE203" i="1"/>
  <c r="AF359" i="1"/>
  <c r="S363" i="1"/>
  <c r="AD275" i="1"/>
  <c r="Q290" i="1"/>
  <c r="AO395" i="1"/>
  <c r="F408" i="1"/>
  <c r="AO558" i="1"/>
  <c r="CP206" i="1"/>
  <c r="O206" i="1" s="1"/>
  <c r="F413" i="1"/>
  <c r="AP395" i="1"/>
  <c r="AH165" i="1"/>
  <c r="U171" i="1"/>
  <c r="DF151" i="3"/>
  <c r="DJ151" i="3" s="1"/>
  <c r="DG151" i="3"/>
  <c r="DH151" i="3"/>
  <c r="DI151" i="3"/>
  <c r="P400" i="1"/>
  <c r="DG187" i="3"/>
  <c r="DH187" i="3"/>
  <c r="DI187" i="3"/>
  <c r="DF187" i="3"/>
  <c r="DJ187" i="3" s="1"/>
  <c r="AP484" i="1"/>
  <c r="F499" i="1"/>
  <c r="AW528" i="1"/>
  <c r="CF522" i="1"/>
  <c r="AS452" i="1"/>
  <c r="CB436" i="1"/>
  <c r="U400" i="1"/>
  <c r="AH404" i="1" s="1"/>
  <c r="P450" i="1"/>
  <c r="T450" i="1"/>
  <c r="AL490" i="1"/>
  <c r="AO628" i="1"/>
  <c r="F638" i="1"/>
  <c r="AG590" i="1"/>
  <c r="T596" i="1"/>
  <c r="F654" i="1"/>
  <c r="BA628" i="1"/>
  <c r="DF17" i="3"/>
  <c r="DG17" i="3"/>
  <c r="DJ17" i="3" s="1"/>
  <c r="DH17" i="3"/>
  <c r="DI17" i="3"/>
  <c r="DG197" i="3"/>
  <c r="DH197" i="3"/>
  <c r="DI197" i="3"/>
  <c r="DJ197" i="3" s="1"/>
  <c r="DF197" i="3"/>
  <c r="DF20" i="3"/>
  <c r="DJ20" i="3" s="1"/>
  <c r="DG20" i="3"/>
  <c r="DH20" i="3"/>
  <c r="DI20" i="3"/>
  <c r="BB77" i="1"/>
  <c r="F98" i="1"/>
  <c r="DF77" i="3"/>
  <c r="DG77" i="3"/>
  <c r="DH77" i="3"/>
  <c r="DI77" i="3"/>
  <c r="DJ77" i="3" s="1"/>
  <c r="DI49" i="3"/>
  <c r="DF49" i="3"/>
  <c r="DJ49" i="3" s="1"/>
  <c r="DG49" i="3"/>
  <c r="DH49" i="3"/>
  <c r="DF29" i="3"/>
  <c r="DJ29" i="3" s="1"/>
  <c r="DG29" i="3"/>
  <c r="DI29" i="3"/>
  <c r="DH29" i="3"/>
  <c r="GM33" i="1"/>
  <c r="GP33" i="1" s="1"/>
  <c r="DG2" i="3"/>
  <c r="DJ2" i="3" s="1"/>
  <c r="DH2" i="3"/>
  <c r="DI2" i="3"/>
  <c r="DF2" i="3"/>
  <c r="DI14" i="3"/>
  <c r="DH14" i="3"/>
  <c r="DG14" i="3"/>
  <c r="DF14" i="3"/>
  <c r="DJ14" i="3" s="1"/>
  <c r="DI21" i="3"/>
  <c r="DH21" i="3"/>
  <c r="DF21" i="3"/>
  <c r="DJ21" i="3" s="1"/>
  <c r="DG21" i="3"/>
  <c r="DF22" i="3"/>
  <c r="DJ22" i="3" s="1"/>
  <c r="DH22" i="3"/>
  <c r="DG22" i="3"/>
  <c r="DI22" i="3"/>
  <c r="DI83" i="3"/>
  <c r="DH83" i="3"/>
  <c r="DF83" i="3"/>
  <c r="DJ83" i="3" s="1"/>
  <c r="DG83" i="3"/>
  <c r="DH121" i="3"/>
  <c r="DI121" i="3"/>
  <c r="DG121" i="3"/>
  <c r="DJ121" i="3" s="1"/>
  <c r="DF121" i="3"/>
  <c r="DF126" i="3"/>
  <c r="DJ126" i="3" s="1"/>
  <c r="DG126" i="3"/>
  <c r="DH126" i="3"/>
  <c r="DI126" i="3"/>
  <c r="DG34" i="3"/>
  <c r="DH34" i="3"/>
  <c r="DI34" i="3"/>
  <c r="DF34" i="3"/>
  <c r="DJ34" i="3" s="1"/>
  <c r="DG27" i="3"/>
  <c r="DH27" i="3"/>
  <c r="DI27" i="3"/>
  <c r="DJ27" i="3" s="1"/>
  <c r="DF27" i="3"/>
  <c r="DI46" i="3"/>
  <c r="DH46" i="3"/>
  <c r="DF46" i="3"/>
  <c r="DJ46" i="3" s="1"/>
  <c r="DG46" i="3"/>
  <c r="DH110" i="3"/>
  <c r="DI110" i="3"/>
  <c r="DG110" i="3"/>
  <c r="DF110" i="3"/>
  <c r="DJ110" i="3" s="1"/>
  <c r="DI107" i="3"/>
  <c r="DH107" i="3"/>
  <c r="DG107" i="3"/>
  <c r="DF107" i="3"/>
  <c r="DJ107" i="3" s="1"/>
  <c r="DF182" i="3"/>
  <c r="DG182" i="3"/>
  <c r="DH182" i="3"/>
  <c r="DI182" i="3"/>
  <c r="DJ182" i="3" s="1"/>
  <c r="DI139" i="3"/>
  <c r="DH139" i="3"/>
  <c r="DF139" i="3"/>
  <c r="DJ139" i="3" s="1"/>
  <c r="DG139" i="3"/>
  <c r="DF132" i="3"/>
  <c r="DJ132" i="3" s="1"/>
  <c r="DG132" i="3"/>
  <c r="DH132" i="3"/>
  <c r="DI132" i="3"/>
  <c r="DI191" i="3"/>
  <c r="DH191" i="3"/>
  <c r="DF191" i="3"/>
  <c r="DJ191" i="3" s="1"/>
  <c r="DG191" i="3"/>
  <c r="DF155" i="3"/>
  <c r="DJ155" i="3" s="1"/>
  <c r="DG155" i="3"/>
  <c r="DH155" i="3"/>
  <c r="DI155" i="3"/>
  <c r="DF97" i="3"/>
  <c r="DJ97" i="3" s="1"/>
  <c r="DI97" i="3"/>
  <c r="DG97" i="3"/>
  <c r="DH97" i="3"/>
  <c r="DF35" i="3"/>
  <c r="DJ35" i="3" s="1"/>
  <c r="DI35" i="3"/>
  <c r="DH35" i="3"/>
  <c r="DG35" i="3"/>
  <c r="F63" i="1"/>
  <c r="AT30" i="1"/>
  <c r="AT239" i="1"/>
  <c r="DH184" i="3"/>
  <c r="DI184" i="3"/>
  <c r="DJ184" i="3" s="1"/>
  <c r="DG184" i="3"/>
  <c r="DF184" i="3"/>
  <c r="DF9" i="3"/>
  <c r="DG9" i="3"/>
  <c r="DJ9" i="3" s="1"/>
  <c r="DH9" i="3"/>
  <c r="DI9" i="3"/>
  <c r="GM43" i="1"/>
  <c r="GP43" i="1" s="1"/>
  <c r="DF157" i="3"/>
  <c r="DJ157" i="3" s="1"/>
  <c r="DI157" i="3"/>
  <c r="DG157" i="3"/>
  <c r="DH157" i="3"/>
  <c r="GM42" i="1"/>
  <c r="GP42" i="1" s="1"/>
  <c r="DG48" i="3"/>
  <c r="DH48" i="3"/>
  <c r="DI48" i="3"/>
  <c r="DF48" i="3"/>
  <c r="DJ48" i="3" s="1"/>
  <c r="DF74" i="3"/>
  <c r="DJ74" i="3" s="1"/>
  <c r="DG74" i="3"/>
  <c r="DH74" i="3"/>
  <c r="DI74" i="3"/>
  <c r="GM38" i="1"/>
  <c r="GP38" i="1" s="1"/>
  <c r="CE171" i="1"/>
  <c r="CF171" i="1"/>
  <c r="AC165" i="1"/>
  <c r="CH171" i="1"/>
  <c r="P171" i="1"/>
  <c r="DG92" i="3"/>
  <c r="DH92" i="3"/>
  <c r="DI92" i="3"/>
  <c r="DJ92" i="3" s="1"/>
  <c r="DF92" i="3"/>
  <c r="AD77" i="1"/>
  <c r="Q85" i="1"/>
  <c r="AE133" i="1"/>
  <c r="DF84" i="3"/>
  <c r="DJ84" i="3" s="1"/>
  <c r="DI84" i="3"/>
  <c r="DH84" i="3"/>
  <c r="DG84" i="3"/>
  <c r="F188" i="1"/>
  <c r="AS165" i="1"/>
  <c r="AJ77" i="1"/>
  <c r="W85" i="1"/>
  <c r="AF165" i="1"/>
  <c r="S171" i="1"/>
  <c r="DF116" i="3"/>
  <c r="DJ116" i="3" s="1"/>
  <c r="DG116" i="3"/>
  <c r="DH116" i="3"/>
  <c r="DI116" i="3"/>
  <c r="AP117" i="1"/>
  <c r="F142" i="1"/>
  <c r="AH275" i="1"/>
  <c r="U290" i="1"/>
  <c r="X363" i="1"/>
  <c r="AK359" i="1"/>
  <c r="DH194" i="3"/>
  <c r="DI194" i="3"/>
  <c r="DG194" i="3"/>
  <c r="DF194" i="3"/>
  <c r="DJ194" i="3" s="1"/>
  <c r="AI275" i="1"/>
  <c r="V290" i="1"/>
  <c r="DF134" i="3"/>
  <c r="DJ134" i="3" s="1"/>
  <c r="DG134" i="3"/>
  <c r="DH134" i="3"/>
  <c r="DI134" i="3"/>
  <c r="AG203" i="1"/>
  <c r="T209" i="1"/>
  <c r="GM277" i="1"/>
  <c r="AB290" i="1"/>
  <c r="GM287" i="1"/>
  <c r="GP287" i="1" s="1"/>
  <c r="GM439" i="1"/>
  <c r="GP439" i="1" s="1"/>
  <c r="F411" i="1"/>
  <c r="AX395" i="1"/>
  <c r="DI149" i="3"/>
  <c r="DF149" i="3"/>
  <c r="DJ149" i="3" s="1"/>
  <c r="DG149" i="3"/>
  <c r="DH149" i="3"/>
  <c r="F376" i="1"/>
  <c r="BB359" i="1"/>
  <c r="AO436" i="1"/>
  <c r="F456" i="1"/>
  <c r="AP522" i="1"/>
  <c r="F537" i="1"/>
  <c r="P446" i="1"/>
  <c r="CP446" i="1" s="1"/>
  <c r="O446" i="1" s="1"/>
  <c r="S400" i="1"/>
  <c r="AS522" i="1"/>
  <c r="F545" i="1"/>
  <c r="Q450" i="1"/>
  <c r="AD452" i="1" s="1"/>
  <c r="DG207" i="3"/>
  <c r="DJ207" i="3" s="1"/>
  <c r="DH207" i="3"/>
  <c r="DI207" i="3"/>
  <c r="DF207" i="3"/>
  <c r="W400" i="1"/>
  <c r="AJ404" i="1" s="1"/>
  <c r="CP442" i="1"/>
  <c r="O442" i="1" s="1"/>
  <c r="GM442" i="1" s="1"/>
  <c r="GP442" i="1" s="1"/>
  <c r="GX450" i="1"/>
  <c r="AK522" i="1"/>
  <c r="X528" i="1"/>
  <c r="AK490" i="1"/>
  <c r="AB528" i="1"/>
  <c r="F657" i="1"/>
  <c r="V628" i="1"/>
  <c r="W450" i="1"/>
  <c r="R634" i="1"/>
  <c r="AE628" i="1"/>
  <c r="R450" i="1"/>
  <c r="GK450" i="1" s="1"/>
  <c r="S450" i="1"/>
  <c r="AF452" i="1" s="1"/>
  <c r="AG628" i="1"/>
  <c r="T634" i="1"/>
  <c r="BA596" i="1"/>
  <c r="CJ590" i="1"/>
  <c r="I484" i="7" l="1"/>
  <c r="I322" i="7"/>
  <c r="I114" i="7"/>
  <c r="I526" i="7"/>
  <c r="I523" i="7"/>
  <c r="I240" i="7"/>
  <c r="AL30" i="1"/>
  <c r="Y45" i="1"/>
  <c r="BA133" i="1"/>
  <c r="CJ117" i="1"/>
  <c r="S452" i="1"/>
  <c r="AF436" i="1"/>
  <c r="AQ26" i="1"/>
  <c r="F249" i="1"/>
  <c r="AQ664" i="1"/>
  <c r="AK30" i="1"/>
  <c r="X45" i="1"/>
  <c r="AP271" i="1"/>
  <c r="F567" i="1"/>
  <c r="Q452" i="1"/>
  <c r="AD436" i="1"/>
  <c r="W327" i="1"/>
  <c r="AJ322" i="1"/>
  <c r="AD395" i="1"/>
  <c r="Q404" i="1"/>
  <c r="Q133" i="1"/>
  <c r="AD117" i="1"/>
  <c r="AG395" i="1"/>
  <c r="T404" i="1"/>
  <c r="GP79" i="1"/>
  <c r="CD85" i="1" s="1"/>
  <c r="CA85" i="1"/>
  <c r="AH395" i="1"/>
  <c r="U404" i="1"/>
  <c r="T275" i="1"/>
  <c r="F311" i="1"/>
  <c r="O363" i="1"/>
  <c r="AB359" i="1"/>
  <c r="AZ395" i="1"/>
  <c r="F415" i="1"/>
  <c r="AY363" i="1"/>
  <c r="CH359" i="1"/>
  <c r="AT26" i="1"/>
  <c r="F257" i="1"/>
  <c r="AT664" i="1"/>
  <c r="AJ395" i="1"/>
  <c r="W404" i="1"/>
  <c r="F389" i="1"/>
  <c r="X359" i="1"/>
  <c r="F655" i="1"/>
  <c r="T628" i="1"/>
  <c r="CY400" i="1"/>
  <c r="X400" i="1" s="1"/>
  <c r="AK404" i="1" s="1"/>
  <c r="CZ400" i="1"/>
  <c r="Y400" i="1" s="1"/>
  <c r="AL404" i="1" s="1"/>
  <c r="AF404" i="1"/>
  <c r="AB275" i="1"/>
  <c r="O290" i="1"/>
  <c r="V275" i="1"/>
  <c r="F313" i="1"/>
  <c r="U275" i="1"/>
  <c r="F312" i="1"/>
  <c r="F186" i="1"/>
  <c r="S165" i="1"/>
  <c r="CP450" i="1"/>
  <c r="O450" i="1" s="1"/>
  <c r="GP361" i="1"/>
  <c r="CD363" i="1" s="1"/>
  <c r="CA363" i="1"/>
  <c r="AD590" i="1"/>
  <c r="Q596" i="1"/>
  <c r="CE359" i="1"/>
  <c r="AV363" i="1"/>
  <c r="CE45" i="1"/>
  <c r="CF45" i="1"/>
  <c r="CH45" i="1"/>
  <c r="AC30" i="1"/>
  <c r="P45" i="1"/>
  <c r="Y327" i="1"/>
  <c r="AL322" i="1"/>
  <c r="AB165" i="1"/>
  <c r="O171" i="1"/>
  <c r="Q30" i="1"/>
  <c r="F57" i="1"/>
  <c r="Q239" i="1"/>
  <c r="W590" i="1"/>
  <c r="F620" i="1"/>
  <c r="AI452" i="1"/>
  <c r="AZ203" i="1"/>
  <c r="F220" i="1"/>
  <c r="BC271" i="1"/>
  <c r="F574" i="1"/>
  <c r="S117" i="1"/>
  <c r="F148" i="1"/>
  <c r="Y522" i="1"/>
  <c r="F555" i="1"/>
  <c r="AV490" i="1"/>
  <c r="CE484" i="1"/>
  <c r="U77" i="1"/>
  <c r="F107" i="1"/>
  <c r="T322" i="1"/>
  <c r="F348" i="1"/>
  <c r="F155" i="1"/>
  <c r="U117" i="1"/>
  <c r="V590" i="1"/>
  <c r="F619" i="1"/>
  <c r="P359" i="1"/>
  <c r="F366" i="1"/>
  <c r="GK400" i="1"/>
  <c r="AE404" i="1"/>
  <c r="AC77" i="1"/>
  <c r="CE85" i="1"/>
  <c r="CF85" i="1"/>
  <c r="CH85" i="1"/>
  <c r="P85" i="1"/>
  <c r="GP438" i="1"/>
  <c r="BA484" i="1"/>
  <c r="F510" i="1"/>
  <c r="X327" i="1"/>
  <c r="AK322" i="1"/>
  <c r="AB77" i="1"/>
  <c r="O85" i="1"/>
  <c r="BD26" i="1"/>
  <c r="F264" i="1"/>
  <c r="BD664" i="1"/>
  <c r="F178" i="1"/>
  <c r="AX165" i="1"/>
  <c r="Q165" i="1"/>
  <c r="F183" i="1"/>
  <c r="CE290" i="1"/>
  <c r="CF290" i="1"/>
  <c r="CH290" i="1"/>
  <c r="AC275" i="1"/>
  <c r="P290" i="1"/>
  <c r="F100" i="1"/>
  <c r="S77" i="1"/>
  <c r="BA165" i="1"/>
  <c r="F191" i="1"/>
  <c r="AI395" i="1"/>
  <c r="V404" i="1"/>
  <c r="AB522" i="1"/>
  <c r="O528" i="1"/>
  <c r="Q275" i="1"/>
  <c r="F302" i="1"/>
  <c r="X490" i="1"/>
  <c r="AK484" i="1"/>
  <c r="F65" i="1"/>
  <c r="BA30" i="1"/>
  <c r="BA239" i="1"/>
  <c r="AX359" i="1"/>
  <c r="F370" i="1"/>
  <c r="AB452" i="1"/>
  <c r="P596" i="1"/>
  <c r="CF596" i="1"/>
  <c r="CE596" i="1"/>
  <c r="AC590" i="1"/>
  <c r="CH596" i="1"/>
  <c r="S327" i="1"/>
  <c r="AF322" i="1"/>
  <c r="CP325" i="1"/>
  <c r="O325" i="1" s="1"/>
  <c r="AC327" i="1"/>
  <c r="CJ395" i="1"/>
  <c r="BA404" i="1"/>
  <c r="U203" i="1"/>
  <c r="F231" i="1"/>
  <c r="AX628" i="1"/>
  <c r="F641" i="1"/>
  <c r="R522" i="1"/>
  <c r="F542" i="1"/>
  <c r="AX522" i="1"/>
  <c r="F535" i="1"/>
  <c r="AG452" i="1"/>
  <c r="BD271" i="1"/>
  <c r="F583" i="1"/>
  <c r="F157" i="1"/>
  <c r="W117" i="1"/>
  <c r="AZ484" i="1"/>
  <c r="F501" i="1"/>
  <c r="BC26" i="1"/>
  <c r="F255" i="1"/>
  <c r="BC664" i="1"/>
  <c r="BB26" i="1"/>
  <c r="F252" i="1"/>
  <c r="BB664" i="1"/>
  <c r="AK133" i="1"/>
  <c r="F154" i="1"/>
  <c r="T117" i="1"/>
  <c r="F156" i="1"/>
  <c r="V117" i="1"/>
  <c r="P203" i="1"/>
  <c r="F212" i="1"/>
  <c r="F390" i="1"/>
  <c r="Y359" i="1"/>
  <c r="AS271" i="1"/>
  <c r="F575" i="1"/>
  <c r="F554" i="1"/>
  <c r="X522" i="1"/>
  <c r="Q77" i="1"/>
  <c r="F97" i="1"/>
  <c r="AS436" i="1"/>
  <c r="F469" i="1"/>
  <c r="CP131" i="1"/>
  <c r="O131" i="1" s="1"/>
  <c r="GM131" i="1" s="1"/>
  <c r="GP131" i="1" s="1"/>
  <c r="AC133" i="1"/>
  <c r="V30" i="1"/>
  <c r="F68" i="1"/>
  <c r="V239" i="1"/>
  <c r="U30" i="1"/>
  <c r="F67" i="1"/>
  <c r="U239" i="1"/>
  <c r="GM40" i="1"/>
  <c r="GP40" i="1" s="1"/>
  <c r="CF203" i="1"/>
  <c r="AW209" i="1"/>
  <c r="AK275" i="1"/>
  <c r="X290" i="1"/>
  <c r="AW363" i="1"/>
  <c r="CF359" i="1"/>
  <c r="AZ77" i="1"/>
  <c r="F96" i="1"/>
  <c r="AE77" i="1"/>
  <c r="R85" i="1"/>
  <c r="AH436" i="1"/>
  <c r="U452" i="1"/>
  <c r="U558" i="1" s="1"/>
  <c r="AB596" i="1"/>
  <c r="GM592" i="1"/>
  <c r="CG117" i="1"/>
  <c r="AX133" i="1"/>
  <c r="F656" i="1"/>
  <c r="U628" i="1"/>
  <c r="AZ522" i="1"/>
  <c r="F539" i="1"/>
  <c r="AJ452" i="1"/>
  <c r="CZ446" i="1"/>
  <c r="Y446" i="1" s="1"/>
  <c r="CY446" i="1"/>
  <c r="X446" i="1" s="1"/>
  <c r="GM324" i="1"/>
  <c r="R165" i="1"/>
  <c r="F185" i="1"/>
  <c r="F314" i="1"/>
  <c r="W275" i="1"/>
  <c r="AZ117" i="1"/>
  <c r="F144" i="1"/>
  <c r="Y77" i="1"/>
  <c r="F112" i="1"/>
  <c r="GP277" i="1"/>
  <c r="CD290" i="1" s="1"/>
  <c r="CA290" i="1"/>
  <c r="F193" i="1"/>
  <c r="U165" i="1"/>
  <c r="Q628" i="1"/>
  <c r="F646" i="1"/>
  <c r="R133" i="1"/>
  <c r="AE117" i="1"/>
  <c r="BA203" i="1"/>
  <c r="F229" i="1"/>
  <c r="AW171" i="1"/>
  <c r="CF165" i="1"/>
  <c r="CP400" i="1"/>
  <c r="O400" i="1" s="1"/>
  <c r="S359" i="1"/>
  <c r="F378" i="1"/>
  <c r="AS117" i="1"/>
  <c r="F150" i="1"/>
  <c r="P634" i="1"/>
  <c r="CF634" i="1"/>
  <c r="AC628" i="1"/>
  <c r="CE634" i="1"/>
  <c r="CH634" i="1"/>
  <c r="W484" i="1"/>
  <c r="F514" i="1"/>
  <c r="CE203" i="1"/>
  <c r="AV209" i="1"/>
  <c r="Y133" i="1"/>
  <c r="AL117" i="1"/>
  <c r="T30" i="1"/>
  <c r="F66" i="1"/>
  <c r="T239" i="1"/>
  <c r="AZ452" i="1"/>
  <c r="CI436" i="1"/>
  <c r="AC404" i="1"/>
  <c r="AL275" i="1"/>
  <c r="Y290" i="1"/>
  <c r="AS239" i="1"/>
  <c r="F504" i="1"/>
  <c r="R484" i="1"/>
  <c r="F512" i="1"/>
  <c r="U484" i="1"/>
  <c r="S522" i="1"/>
  <c r="F543" i="1"/>
  <c r="GP486" i="1"/>
  <c r="CD490" i="1" s="1"/>
  <c r="CA490" i="1"/>
  <c r="AX77" i="1"/>
  <c r="F92" i="1"/>
  <c r="AX239" i="1"/>
  <c r="AX436" i="1"/>
  <c r="F459" i="1"/>
  <c r="AT436" i="1"/>
  <c r="F470" i="1"/>
  <c r="CH484" i="1"/>
  <c r="AY490" i="1"/>
  <c r="AQ271" i="1"/>
  <c r="F568" i="1"/>
  <c r="W30" i="1"/>
  <c r="F69" i="1"/>
  <c r="W239" i="1"/>
  <c r="P165" i="1"/>
  <c r="F174" i="1"/>
  <c r="F617" i="1"/>
  <c r="T590" i="1"/>
  <c r="F334" i="1"/>
  <c r="AX322" i="1"/>
  <c r="T203" i="1"/>
  <c r="F230" i="1"/>
  <c r="W77" i="1"/>
  <c r="F109" i="1"/>
  <c r="AP436" i="1"/>
  <c r="F461" i="1"/>
  <c r="AV171" i="1"/>
  <c r="CE165" i="1"/>
  <c r="Y490" i="1"/>
  <c r="AL484" i="1"/>
  <c r="AW522" i="1"/>
  <c r="F534" i="1"/>
  <c r="GM206" i="1"/>
  <c r="AB209" i="1"/>
  <c r="F374" i="1"/>
  <c r="AZ359" i="1"/>
  <c r="S30" i="1"/>
  <c r="F60" i="1"/>
  <c r="S239" i="1"/>
  <c r="Q327" i="1"/>
  <c r="AD322" i="1"/>
  <c r="Y203" i="1"/>
  <c r="F236" i="1"/>
  <c r="AI322" i="1"/>
  <c r="V327" i="1"/>
  <c r="S275" i="1"/>
  <c r="F305" i="1"/>
  <c r="AE275" i="1"/>
  <c r="R290" i="1"/>
  <c r="AE30" i="1"/>
  <c r="R45" i="1"/>
  <c r="Q484" i="1"/>
  <c r="F502" i="1"/>
  <c r="F301" i="1"/>
  <c r="AZ275" i="1"/>
  <c r="AQ117" i="1"/>
  <c r="F143" i="1"/>
  <c r="U522" i="1"/>
  <c r="F550" i="1"/>
  <c r="AB484" i="1"/>
  <c r="O490" i="1"/>
  <c r="CJ452" i="1"/>
  <c r="F618" i="1"/>
  <c r="U590" i="1"/>
  <c r="CH165" i="1"/>
  <c r="AY171" i="1"/>
  <c r="F603" i="1"/>
  <c r="AX590" i="1"/>
  <c r="AO271" i="1"/>
  <c r="F562" i="1"/>
  <c r="AX203" i="1"/>
  <c r="F216" i="1"/>
  <c r="F610" i="1"/>
  <c r="R590" i="1"/>
  <c r="BA327" i="1"/>
  <c r="CJ322" i="1"/>
  <c r="AP26" i="1"/>
  <c r="F248" i="1"/>
  <c r="AP664" i="1"/>
  <c r="AB30" i="1"/>
  <c r="O45" i="1"/>
  <c r="CA634" i="1"/>
  <c r="GP630" i="1"/>
  <c r="CD634" i="1" s="1"/>
  <c r="AC452" i="1"/>
  <c r="GP397" i="1"/>
  <c r="F56" i="1"/>
  <c r="AZ30" i="1"/>
  <c r="AZ239" i="1"/>
  <c r="F611" i="1"/>
  <c r="S590" i="1"/>
  <c r="R327" i="1"/>
  <c r="AE322" i="1"/>
  <c r="X171" i="1"/>
  <c r="AK165" i="1"/>
  <c r="GP524" i="1"/>
  <c r="CD528" i="1" s="1"/>
  <c r="CA528" i="1"/>
  <c r="P484" i="1"/>
  <c r="F493" i="1"/>
  <c r="Y171" i="1"/>
  <c r="AL165" i="1"/>
  <c r="Y628" i="1"/>
  <c r="F661" i="1"/>
  <c r="X628" i="1"/>
  <c r="F660" i="1"/>
  <c r="U322" i="1"/>
  <c r="F349" i="1"/>
  <c r="GM446" i="1"/>
  <c r="GP446" i="1" s="1"/>
  <c r="CZ450" i="1"/>
  <c r="Y450" i="1" s="1"/>
  <c r="CY450" i="1"/>
  <c r="X450" i="1" s="1"/>
  <c r="CH203" i="1"/>
  <c r="AY209" i="1"/>
  <c r="F648" i="1"/>
  <c r="R628" i="1"/>
  <c r="BA590" i="1"/>
  <c r="F616" i="1"/>
  <c r="R203" i="1"/>
  <c r="F223" i="1"/>
  <c r="CA133" i="1"/>
  <c r="GP119" i="1"/>
  <c r="CD133" i="1" s="1"/>
  <c r="F497" i="1"/>
  <c r="AX484" i="1"/>
  <c r="R359" i="1"/>
  <c r="F377" i="1"/>
  <c r="CA45" i="1"/>
  <c r="GP32" i="1"/>
  <c r="CD45" i="1" s="1"/>
  <c r="X596" i="1"/>
  <c r="AK590" i="1"/>
  <c r="AB628" i="1"/>
  <c r="O634" i="1"/>
  <c r="F513" i="1"/>
  <c r="V484" i="1"/>
  <c r="AE452" i="1"/>
  <c r="AB404" i="1"/>
  <c r="F195" i="1"/>
  <c r="W165" i="1"/>
  <c r="AL590" i="1"/>
  <c r="Y596" i="1"/>
  <c r="AK203" i="1"/>
  <c r="X209" i="1"/>
  <c r="GP167" i="1"/>
  <c r="CD171" i="1" s="1"/>
  <c r="CA171" i="1"/>
  <c r="S203" i="1"/>
  <c r="F224" i="1"/>
  <c r="F649" i="1"/>
  <c r="S628" i="1"/>
  <c r="AX275" i="1"/>
  <c r="F297" i="1"/>
  <c r="AX558" i="1"/>
  <c r="BB271" i="1"/>
  <c r="F571" i="1"/>
  <c r="AZ322" i="1"/>
  <c r="F338" i="1"/>
  <c r="AW490" i="1"/>
  <c r="CF484" i="1"/>
  <c r="AZ165" i="1"/>
  <c r="F182" i="1"/>
  <c r="AT558" i="1"/>
  <c r="Q203" i="1"/>
  <c r="F221" i="1"/>
  <c r="AO26" i="1"/>
  <c r="F243" i="1"/>
  <c r="AO664" i="1"/>
  <c r="X77" i="1"/>
  <c r="F111" i="1"/>
  <c r="U271" i="1" l="1"/>
  <c r="F580" i="1"/>
  <c r="AL395" i="1"/>
  <c r="Y404" i="1"/>
  <c r="CD117" i="1"/>
  <c r="AU133" i="1"/>
  <c r="BA395" i="1"/>
  <c r="F424" i="1"/>
  <c r="AY290" i="1"/>
  <c r="CH275" i="1"/>
  <c r="Q26" i="1"/>
  <c r="F251" i="1"/>
  <c r="Q436" i="1"/>
  <c r="F464" i="1"/>
  <c r="AX271" i="1"/>
  <c r="F565" i="1"/>
  <c r="F496" i="1"/>
  <c r="AW484" i="1"/>
  <c r="F623" i="1"/>
  <c r="Y590" i="1"/>
  <c r="F636" i="1"/>
  <c r="O628" i="1"/>
  <c r="CD628" i="1"/>
  <c r="AU634" i="1"/>
  <c r="F347" i="1"/>
  <c r="BA322" i="1"/>
  <c r="V322" i="1"/>
  <c r="F350" i="1"/>
  <c r="Y484" i="1"/>
  <c r="F517" i="1"/>
  <c r="AC395" i="1"/>
  <c r="CE404" i="1"/>
  <c r="CF404" i="1"/>
  <c r="CH404" i="1"/>
  <c r="P404" i="1"/>
  <c r="AV203" i="1"/>
  <c r="F214" i="1"/>
  <c r="P628" i="1"/>
  <c r="F637" i="1"/>
  <c r="AR290" i="1"/>
  <c r="CA275" i="1"/>
  <c r="BC22" i="1"/>
  <c r="BC694" i="1"/>
  <c r="F680" i="1"/>
  <c r="CH590" i="1"/>
  <c r="AY596" i="1"/>
  <c r="BA26" i="1"/>
  <c r="F259" i="1"/>
  <c r="F530" i="1"/>
  <c r="O522" i="1"/>
  <c r="P275" i="1"/>
  <c r="F293" i="1"/>
  <c r="F354" i="1"/>
  <c r="Y322" i="1"/>
  <c r="Q590" i="1"/>
  <c r="F608" i="1"/>
  <c r="AF395" i="1"/>
  <c r="S404" i="1"/>
  <c r="CD77" i="1"/>
  <c r="AU85" i="1"/>
  <c r="W322" i="1"/>
  <c r="F351" i="1"/>
  <c r="AU290" i="1"/>
  <c r="CD275" i="1"/>
  <c r="AE395" i="1"/>
  <c r="R404" i="1"/>
  <c r="AT22" i="1"/>
  <c r="F682" i="1"/>
  <c r="F16" i="2" s="1"/>
  <c r="F18" i="2" s="1"/>
  <c r="AT694" i="1"/>
  <c r="F47" i="1"/>
  <c r="O30" i="1"/>
  <c r="P133" i="1"/>
  <c r="AC117" i="1"/>
  <c r="CE133" i="1"/>
  <c r="CH133" i="1"/>
  <c r="CF133" i="1"/>
  <c r="AV596" i="1"/>
  <c r="CE590" i="1"/>
  <c r="AK395" i="1"/>
  <c r="X404" i="1"/>
  <c r="AR133" i="1"/>
  <c r="CA117" i="1"/>
  <c r="CD522" i="1"/>
  <c r="AU528" i="1"/>
  <c r="R275" i="1"/>
  <c r="F304" i="1"/>
  <c r="AB203" i="1"/>
  <c r="O209" i="1"/>
  <c r="T26" i="1"/>
  <c r="F260" i="1"/>
  <c r="R117" i="1"/>
  <c r="F147" i="1"/>
  <c r="GP324" i="1"/>
  <c r="AX117" i="1"/>
  <c r="F140" i="1"/>
  <c r="AW596" i="1"/>
  <c r="CF590" i="1"/>
  <c r="AW290" i="1"/>
  <c r="CF275" i="1"/>
  <c r="AY45" i="1"/>
  <c r="CH30" i="1"/>
  <c r="CD359" i="1"/>
  <c r="AU363" i="1"/>
  <c r="S436" i="1"/>
  <c r="F467" i="1"/>
  <c r="R30" i="1"/>
  <c r="F59" i="1"/>
  <c r="R239" i="1"/>
  <c r="AW203" i="1"/>
  <c r="F215" i="1"/>
  <c r="BD22" i="1"/>
  <c r="BD694" i="1"/>
  <c r="F689" i="1"/>
  <c r="T395" i="1"/>
  <c r="F425" i="1"/>
  <c r="AR528" i="1"/>
  <c r="CA522" i="1"/>
  <c r="AZ436" i="1"/>
  <c r="F463" i="1"/>
  <c r="CA165" i="1"/>
  <c r="AR171" i="1"/>
  <c r="AB395" i="1"/>
  <c r="O404" i="1"/>
  <c r="CD30" i="1"/>
  <c r="AU45" i="1"/>
  <c r="AP22" i="1"/>
  <c r="AP694" i="1"/>
  <c r="F673" i="1"/>
  <c r="G16" i="2" s="1"/>
  <c r="G18" i="2" s="1"/>
  <c r="AZ558" i="1"/>
  <c r="GP206" i="1"/>
  <c r="CD209" i="1" s="1"/>
  <c r="CA209" i="1"/>
  <c r="F498" i="1"/>
  <c r="AY484" i="1"/>
  <c r="CH628" i="1"/>
  <c r="AY634" i="1"/>
  <c r="AK452" i="1"/>
  <c r="U26" i="1"/>
  <c r="F261" i="1"/>
  <c r="U664" i="1"/>
  <c r="X133" i="1"/>
  <c r="AK117" i="1"/>
  <c r="CH327" i="1"/>
  <c r="P327" i="1"/>
  <c r="P558" i="1" s="1"/>
  <c r="AC322" i="1"/>
  <c r="CE327" i="1"/>
  <c r="CF327" i="1"/>
  <c r="F599" i="1"/>
  <c r="P590" i="1"/>
  <c r="X484" i="1"/>
  <c r="F516" i="1"/>
  <c r="AV290" i="1"/>
  <c r="CE275" i="1"/>
  <c r="O77" i="1"/>
  <c r="F87" i="1"/>
  <c r="P77" i="1"/>
  <c r="F88" i="1"/>
  <c r="AW45" i="1"/>
  <c r="CF30" i="1"/>
  <c r="AB133" i="1"/>
  <c r="Q117" i="1"/>
  <c r="F145" i="1"/>
  <c r="F179" i="1"/>
  <c r="AY165" i="1"/>
  <c r="F48" i="1"/>
  <c r="P30" i="1"/>
  <c r="P239" i="1"/>
  <c r="AZ26" i="1"/>
  <c r="F250" i="1"/>
  <c r="AZ664" i="1"/>
  <c r="AX26" i="1"/>
  <c r="F246" i="1"/>
  <c r="AX664" i="1"/>
  <c r="CA359" i="1"/>
  <c r="AR363" i="1"/>
  <c r="AT271" i="1"/>
  <c r="F576" i="1"/>
  <c r="R452" i="1"/>
  <c r="AE436" i="1"/>
  <c r="X165" i="1"/>
  <c r="F197" i="1"/>
  <c r="BA452" i="1"/>
  <c r="BA558" i="1" s="1"/>
  <c r="CJ436" i="1"/>
  <c r="F339" i="1"/>
  <c r="Q322" i="1"/>
  <c r="CA484" i="1"/>
  <c r="AR490" i="1"/>
  <c r="AS26" i="1"/>
  <c r="F256" i="1"/>
  <c r="AS664" i="1"/>
  <c r="CE628" i="1"/>
  <c r="AV634" i="1"/>
  <c r="GM400" i="1"/>
  <c r="AL452" i="1"/>
  <c r="CA596" i="1"/>
  <c r="GP592" i="1"/>
  <c r="CD596" i="1" s="1"/>
  <c r="BB22" i="1"/>
  <c r="BB694" i="1"/>
  <c r="F677" i="1"/>
  <c r="GM325" i="1"/>
  <c r="GP325" i="1" s="1"/>
  <c r="AB327" i="1"/>
  <c r="O452" i="1"/>
  <c r="AB436" i="1"/>
  <c r="Q558" i="1"/>
  <c r="CH77" i="1"/>
  <c r="AY85" i="1"/>
  <c r="F173" i="1"/>
  <c r="O165" i="1"/>
  <c r="AV45" i="1"/>
  <c r="CE30" i="1"/>
  <c r="GM450" i="1"/>
  <c r="GP450" i="1" s="1"/>
  <c r="CD452" i="1" s="1"/>
  <c r="AY359" i="1"/>
  <c r="F371" i="1"/>
  <c r="U395" i="1"/>
  <c r="F426" i="1"/>
  <c r="Q395" i="1"/>
  <c r="F416" i="1"/>
  <c r="F71" i="1"/>
  <c r="X30" i="1"/>
  <c r="X239" i="1"/>
  <c r="BA117" i="1"/>
  <c r="F153" i="1"/>
  <c r="AR634" i="1"/>
  <c r="CA628" i="1"/>
  <c r="R77" i="1"/>
  <c r="F99" i="1"/>
  <c r="AV165" i="1"/>
  <c r="F176" i="1"/>
  <c r="X590" i="1"/>
  <c r="F622" i="1"/>
  <c r="AU171" i="1"/>
  <c r="CD165" i="1"/>
  <c r="O484" i="1"/>
  <c r="F492" i="1"/>
  <c r="S26" i="1"/>
  <c r="F254" i="1"/>
  <c r="AU490" i="1"/>
  <c r="CD484" i="1"/>
  <c r="Y275" i="1"/>
  <c r="F317" i="1"/>
  <c r="W452" i="1"/>
  <c r="AJ436" i="1"/>
  <c r="AB590" i="1"/>
  <c r="O596" i="1"/>
  <c r="AW359" i="1"/>
  <c r="F369" i="1"/>
  <c r="CF77" i="1"/>
  <c r="AW85" i="1"/>
  <c r="AV484" i="1"/>
  <c r="F495" i="1"/>
  <c r="AV359" i="1"/>
  <c r="F368" i="1"/>
  <c r="F292" i="1"/>
  <c r="O275" i="1"/>
  <c r="Y30" i="1"/>
  <c r="F72" i="1"/>
  <c r="Y239" i="1"/>
  <c r="AG436" i="1"/>
  <c r="T452" i="1"/>
  <c r="O359" i="1"/>
  <c r="F365" i="1"/>
  <c r="AY203" i="1"/>
  <c r="F217" i="1"/>
  <c r="V395" i="1"/>
  <c r="F427" i="1"/>
  <c r="AR45" i="1"/>
  <c r="CA30" i="1"/>
  <c r="F235" i="1"/>
  <c r="X203" i="1"/>
  <c r="AO22" i="1"/>
  <c r="F668" i="1"/>
  <c r="AO694" i="1"/>
  <c r="Y165" i="1"/>
  <c r="F198" i="1"/>
  <c r="F341" i="1"/>
  <c r="R322" i="1"/>
  <c r="CH452" i="1"/>
  <c r="P452" i="1"/>
  <c r="AC436" i="1"/>
  <c r="CE452" i="1"/>
  <c r="CF452" i="1"/>
  <c r="W26" i="1"/>
  <c r="F263" i="1"/>
  <c r="Y117" i="1"/>
  <c r="F160" i="1"/>
  <c r="AW634" i="1"/>
  <c r="CF628" i="1"/>
  <c r="AW165" i="1"/>
  <c r="F177" i="1"/>
  <c r="F474" i="1"/>
  <c r="U436" i="1"/>
  <c r="X275" i="1"/>
  <c r="F316" i="1"/>
  <c r="V26" i="1"/>
  <c r="F262" i="1"/>
  <c r="S322" i="1"/>
  <c r="F342" i="1"/>
  <c r="X322" i="1"/>
  <c r="F353" i="1"/>
  <c r="AV85" i="1"/>
  <c r="CE77" i="1"/>
  <c r="AI436" i="1"/>
  <c r="V452" i="1"/>
  <c r="W395" i="1"/>
  <c r="F428" i="1"/>
  <c r="CA77" i="1"/>
  <c r="AR85" i="1"/>
  <c r="AQ22" i="1"/>
  <c r="F674" i="1"/>
  <c r="AQ694" i="1"/>
  <c r="BA271" i="1" l="1"/>
  <c r="F578" i="1"/>
  <c r="BA664" i="1"/>
  <c r="P271" i="1"/>
  <c r="F561" i="1"/>
  <c r="CD436" i="1"/>
  <c r="AU452" i="1"/>
  <c r="CE436" i="1"/>
  <c r="AV452" i="1"/>
  <c r="Q271" i="1"/>
  <c r="F570" i="1"/>
  <c r="X117" i="1"/>
  <c r="F159" i="1"/>
  <c r="AQ18" i="1"/>
  <c r="F704" i="1"/>
  <c r="CF436" i="1"/>
  <c r="AW452" i="1"/>
  <c r="Y26" i="1"/>
  <c r="F266" i="1"/>
  <c r="AW30" i="1"/>
  <c r="F51" i="1"/>
  <c r="F64" i="1"/>
  <c r="AU30" i="1"/>
  <c r="AU359" i="1"/>
  <c r="F382" i="1"/>
  <c r="F602" i="1"/>
  <c r="AW590" i="1"/>
  <c r="CH117" i="1"/>
  <c r="AY133" i="1"/>
  <c r="AU77" i="1"/>
  <c r="F104" i="1"/>
  <c r="AY590" i="1"/>
  <c r="F604" i="1"/>
  <c r="AO18" i="1"/>
  <c r="F698" i="1"/>
  <c r="AX22" i="1"/>
  <c r="F671" i="1"/>
  <c r="AX694" i="1"/>
  <c r="CA203" i="1"/>
  <c r="AR209" i="1"/>
  <c r="O203" i="1"/>
  <c r="F211" i="1"/>
  <c r="F418" i="1"/>
  <c r="R395" i="1"/>
  <c r="P436" i="1"/>
  <c r="F455" i="1"/>
  <c r="O436" i="1"/>
  <c r="F454" i="1"/>
  <c r="Y452" i="1"/>
  <c r="AL436" i="1"/>
  <c r="R436" i="1"/>
  <c r="F466" i="1"/>
  <c r="CF322" i="1"/>
  <c r="AW327" i="1"/>
  <c r="CD203" i="1"/>
  <c r="AU209" i="1"/>
  <c r="AY30" i="1"/>
  <c r="F53" i="1"/>
  <c r="AY239" i="1"/>
  <c r="CD327" i="1"/>
  <c r="X395" i="1"/>
  <c r="F430" i="1"/>
  <c r="P117" i="1"/>
  <c r="F136" i="1"/>
  <c r="BC18" i="1"/>
  <c r="F710" i="1"/>
  <c r="P395" i="1"/>
  <c r="F407" i="1"/>
  <c r="Q664" i="1"/>
  <c r="F476" i="1"/>
  <c r="W436" i="1"/>
  <c r="W558" i="1"/>
  <c r="AR77" i="1"/>
  <c r="F113" i="1"/>
  <c r="F50" i="1"/>
  <c r="AV30" i="1"/>
  <c r="O327" i="1"/>
  <c r="AB322" i="1"/>
  <c r="GP400" i="1"/>
  <c r="CD404" i="1" s="1"/>
  <c r="CA404" i="1"/>
  <c r="AZ22" i="1"/>
  <c r="F675" i="1"/>
  <c r="AZ694" i="1"/>
  <c r="CE322" i="1"/>
  <c r="AV327" i="1"/>
  <c r="AZ271" i="1"/>
  <c r="F569" i="1"/>
  <c r="AR165" i="1"/>
  <c r="F199" i="1"/>
  <c r="CA452" i="1"/>
  <c r="CA327" i="1"/>
  <c r="R558" i="1"/>
  <c r="CH395" i="1"/>
  <c r="AY404" i="1"/>
  <c r="Y395" i="1"/>
  <c r="F431" i="1"/>
  <c r="AW77" i="1"/>
  <c r="F91" i="1"/>
  <c r="F518" i="1"/>
  <c r="AR484" i="1"/>
  <c r="O395" i="1"/>
  <c r="F406" i="1"/>
  <c r="AR522" i="1"/>
  <c r="F556" i="1"/>
  <c r="AR117" i="1"/>
  <c r="F161" i="1"/>
  <c r="AY452" i="1"/>
  <c r="CH436" i="1"/>
  <c r="AV628" i="1"/>
  <c r="F639" i="1"/>
  <c r="X452" i="1"/>
  <c r="AK436" i="1"/>
  <c r="F309" i="1"/>
  <c r="AU275" i="1"/>
  <c r="CF395" i="1"/>
  <c r="AW404" i="1"/>
  <c r="X26" i="1"/>
  <c r="F265" i="1"/>
  <c r="F640" i="1"/>
  <c r="AW628" i="1"/>
  <c r="AR596" i="1"/>
  <c r="CA590" i="1"/>
  <c r="U22" i="1"/>
  <c r="F686" i="1"/>
  <c r="U694" i="1"/>
  <c r="AU117" i="1"/>
  <c r="F152" i="1"/>
  <c r="F473" i="1"/>
  <c r="T436" i="1"/>
  <c r="O590" i="1"/>
  <c r="F598" i="1"/>
  <c r="AU484" i="1"/>
  <c r="F509" i="1"/>
  <c r="F190" i="1"/>
  <c r="AU165" i="1"/>
  <c r="AR628" i="1"/>
  <c r="F662" i="1"/>
  <c r="F391" i="1"/>
  <c r="AR359" i="1"/>
  <c r="AB117" i="1"/>
  <c r="O133" i="1"/>
  <c r="AV275" i="1"/>
  <c r="F295" i="1"/>
  <c r="AV558" i="1"/>
  <c r="F330" i="1"/>
  <c r="P322" i="1"/>
  <c r="AY628" i="1"/>
  <c r="F642" i="1"/>
  <c r="AP18" i="1"/>
  <c r="F703" i="1"/>
  <c r="T558" i="1"/>
  <c r="BD18" i="1"/>
  <c r="F719" i="1"/>
  <c r="AW275" i="1"/>
  <c r="F296" i="1"/>
  <c r="AW558" i="1"/>
  <c r="F601" i="1"/>
  <c r="AV590" i="1"/>
  <c r="AR275" i="1"/>
  <c r="F318" i="1"/>
  <c r="AV404" i="1"/>
  <c r="CE395" i="1"/>
  <c r="AU596" i="1"/>
  <c r="CD590" i="1"/>
  <c r="CE117" i="1"/>
  <c r="AV133" i="1"/>
  <c r="AV239" i="1" s="1"/>
  <c r="AV77" i="1"/>
  <c r="F90" i="1"/>
  <c r="R26" i="1"/>
  <c r="F253" i="1"/>
  <c r="R664" i="1"/>
  <c r="F419" i="1"/>
  <c r="S395" i="1"/>
  <c r="S558" i="1"/>
  <c r="F475" i="1"/>
  <c r="V436" i="1"/>
  <c r="AR30" i="1"/>
  <c r="F73" i="1"/>
  <c r="AR239" i="1"/>
  <c r="F93" i="1"/>
  <c r="AY77" i="1"/>
  <c r="BB18" i="1"/>
  <c r="F707" i="1"/>
  <c r="AS22" i="1"/>
  <c r="F681" i="1"/>
  <c r="E16" i="2" s="1"/>
  <c r="AS694" i="1"/>
  <c r="F472" i="1"/>
  <c r="BA436" i="1"/>
  <c r="P26" i="1"/>
  <c r="F242" i="1"/>
  <c r="P664" i="1"/>
  <c r="AY327" i="1"/>
  <c r="AY558" i="1" s="1"/>
  <c r="CH322" i="1"/>
  <c r="V558" i="1"/>
  <c r="AU522" i="1"/>
  <c r="F547" i="1"/>
  <c r="CF117" i="1"/>
  <c r="AW133" i="1"/>
  <c r="AW239" i="1" s="1"/>
  <c r="AT18" i="1"/>
  <c r="F712" i="1"/>
  <c r="F653" i="1"/>
  <c r="AU628" i="1"/>
  <c r="F298" i="1"/>
  <c r="AY275" i="1"/>
  <c r="AY271" i="1" l="1"/>
  <c r="F566" i="1"/>
  <c r="AV26" i="1"/>
  <c r="F244" i="1"/>
  <c r="AV664" i="1"/>
  <c r="AW26" i="1"/>
  <c r="F245" i="1"/>
  <c r="AW664" i="1"/>
  <c r="AY436" i="1"/>
  <c r="F460" i="1"/>
  <c r="E18" i="2"/>
  <c r="AV395" i="1"/>
  <c r="F409" i="1"/>
  <c r="R271" i="1"/>
  <c r="F572" i="1"/>
  <c r="Q22" i="1"/>
  <c r="Q694" i="1"/>
  <c r="F676" i="1"/>
  <c r="AY117" i="1"/>
  <c r="F141" i="1"/>
  <c r="AR327" i="1"/>
  <c r="CA322" i="1"/>
  <c r="AZ18" i="1"/>
  <c r="F705" i="1"/>
  <c r="AU327" i="1"/>
  <c r="CD322" i="1"/>
  <c r="AU436" i="1"/>
  <c r="F471" i="1"/>
  <c r="AR452" i="1"/>
  <c r="CA436" i="1"/>
  <c r="AY26" i="1"/>
  <c r="F247" i="1"/>
  <c r="AY664" i="1"/>
  <c r="F139" i="1"/>
  <c r="AW117" i="1"/>
  <c r="S271" i="1"/>
  <c r="F573" i="1"/>
  <c r="S664" i="1"/>
  <c r="F138" i="1"/>
  <c r="AV117" i="1"/>
  <c r="T271" i="1"/>
  <c r="F579" i="1"/>
  <c r="T664" i="1"/>
  <c r="CA395" i="1"/>
  <c r="AR404" i="1"/>
  <c r="Y436" i="1"/>
  <c r="F479" i="1"/>
  <c r="Y558" i="1"/>
  <c r="P22" i="1"/>
  <c r="F667" i="1"/>
  <c r="P694" i="1"/>
  <c r="O117" i="1"/>
  <c r="F135" i="1"/>
  <c r="O239" i="1"/>
  <c r="U18" i="1"/>
  <c r="F716" i="1"/>
  <c r="X436" i="1"/>
  <c r="F478" i="1"/>
  <c r="X558" i="1"/>
  <c r="AU404" i="1"/>
  <c r="CD395" i="1"/>
  <c r="W271" i="1"/>
  <c r="F582" i="1"/>
  <c r="W664" i="1"/>
  <c r="AU203" i="1"/>
  <c r="F228" i="1"/>
  <c r="AR203" i="1"/>
  <c r="F237" i="1"/>
  <c r="BA22" i="1"/>
  <c r="F684" i="1"/>
  <c r="BA694" i="1"/>
  <c r="AY322" i="1"/>
  <c r="F335" i="1"/>
  <c r="AR590" i="1"/>
  <c r="F624" i="1"/>
  <c r="AV271" i="1"/>
  <c r="F563" i="1"/>
  <c r="AR26" i="1"/>
  <c r="F267" i="1"/>
  <c r="R22" i="1"/>
  <c r="R694" i="1"/>
  <c r="F678" i="1"/>
  <c r="AU590" i="1"/>
  <c r="F615" i="1"/>
  <c r="AW271" i="1"/>
  <c r="F564" i="1"/>
  <c r="F412" i="1"/>
  <c r="AY395" i="1"/>
  <c r="AU239" i="1"/>
  <c r="V271" i="1"/>
  <c r="F581" i="1"/>
  <c r="V664" i="1"/>
  <c r="AS18" i="1"/>
  <c r="F711" i="1"/>
  <c r="AW395" i="1"/>
  <c r="F410" i="1"/>
  <c r="F332" i="1"/>
  <c r="AV322" i="1"/>
  <c r="O322" i="1"/>
  <c r="F329" i="1"/>
  <c r="O558" i="1"/>
  <c r="F333" i="1"/>
  <c r="AW322" i="1"/>
  <c r="AX18" i="1"/>
  <c r="F701" i="1"/>
  <c r="AW436" i="1"/>
  <c r="F458" i="1"/>
  <c r="F457" i="1"/>
  <c r="AV436" i="1"/>
  <c r="BA18" i="1" l="1"/>
  <c r="F714" i="1"/>
  <c r="AW22" i="1"/>
  <c r="AW694" i="1"/>
  <c r="F670" i="1"/>
  <c r="O271" i="1"/>
  <c r="F560" i="1"/>
  <c r="O26" i="1"/>
  <c r="F241" i="1"/>
  <c r="O664" i="1"/>
  <c r="S22" i="1"/>
  <c r="S694" i="1"/>
  <c r="F679" i="1"/>
  <c r="J16" i="2" s="1"/>
  <c r="J18" i="2" s="1"/>
  <c r="AR395" i="1"/>
  <c r="F432" i="1"/>
  <c r="F480" i="1"/>
  <c r="AR436" i="1"/>
  <c r="F355" i="1"/>
  <c r="AR322" i="1"/>
  <c r="AR558" i="1"/>
  <c r="AU395" i="1"/>
  <c r="F423" i="1"/>
  <c r="AV22" i="1"/>
  <c r="AV694" i="1"/>
  <c r="F669" i="1"/>
  <c r="X271" i="1"/>
  <c r="F584" i="1"/>
  <c r="X664" i="1"/>
  <c r="P18" i="1"/>
  <c r="F697" i="1"/>
  <c r="T22" i="1"/>
  <c r="T694" i="1"/>
  <c r="F685" i="1"/>
  <c r="R18" i="1"/>
  <c r="F708" i="1"/>
  <c r="V22" i="1"/>
  <c r="F687" i="1"/>
  <c r="V694" i="1"/>
  <c r="AY22" i="1"/>
  <c r="F672" i="1"/>
  <c r="AY694" i="1"/>
  <c r="AU322" i="1"/>
  <c r="F346" i="1"/>
  <c r="AU558" i="1"/>
  <c r="Q18" i="1"/>
  <c r="F706" i="1"/>
  <c r="AU26" i="1"/>
  <c r="F258" i="1"/>
  <c r="W22" i="1"/>
  <c r="W694" i="1"/>
  <c r="F688" i="1"/>
  <c r="Y271" i="1"/>
  <c r="F585" i="1"/>
  <c r="Y664" i="1"/>
  <c r="T18" i="1" l="1"/>
  <c r="F715" i="1"/>
  <c r="AV18" i="1"/>
  <c r="F699" i="1"/>
  <c r="V18" i="1"/>
  <c r="F717" i="1"/>
  <c r="X22" i="1"/>
  <c r="F690" i="1"/>
  <c r="X694" i="1"/>
  <c r="AR271" i="1"/>
  <c r="F586" i="1"/>
  <c r="AR664" i="1"/>
  <c r="S18" i="1"/>
  <c r="F709" i="1"/>
  <c r="AW18" i="1"/>
  <c r="F700" i="1"/>
  <c r="AU271" i="1"/>
  <c r="F577" i="1"/>
  <c r="O22" i="1"/>
  <c r="F666" i="1"/>
  <c r="O694" i="1"/>
  <c r="Y22" i="1"/>
  <c r="F691" i="1"/>
  <c r="Y694" i="1"/>
  <c r="W18" i="1"/>
  <c r="F718" i="1"/>
  <c r="AU664" i="1"/>
  <c r="AY18" i="1"/>
  <c r="F702" i="1"/>
  <c r="Y18" i="1" l="1"/>
  <c r="F721" i="1"/>
  <c r="AR22" i="1"/>
  <c r="F692" i="1"/>
  <c r="AR694" i="1"/>
  <c r="AU22" i="1"/>
  <c r="F683" i="1"/>
  <c r="H16" i="2" s="1"/>
  <c r="AU694" i="1"/>
  <c r="O18" i="1"/>
  <c r="F696" i="1"/>
  <c r="X18" i="1"/>
  <c r="F720" i="1"/>
  <c r="AU18" i="1" l="1"/>
  <c r="F713" i="1"/>
  <c r="H18" i="2"/>
  <c r="I16" i="2"/>
  <c r="I18" i="2" s="1"/>
  <c r="AR18" i="1"/>
  <c r="F722" i="1"/>
  <c r="F723" i="1" l="1"/>
  <c r="F724" i="1" s="1"/>
</calcChain>
</file>

<file path=xl/sharedStrings.xml><?xml version="1.0" encoding="utf-8"?>
<sst xmlns="http://schemas.openxmlformats.org/spreadsheetml/2006/main" count="10293" uniqueCount="618">
  <si>
    <t>Smeta.RU  (495) 974-1589</t>
  </si>
  <si>
    <t>_PS_</t>
  </si>
  <si>
    <t>Smeta.RU</t>
  </si>
  <si>
    <t/>
  </si>
  <si>
    <t>Новый объект</t>
  </si>
  <si>
    <t>ГБОУ Школа №1440. Крылатские холмы д. 15к1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</si>
  <si>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</si>
  <si>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</si>
  <si>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</si>
  <si>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</si>
  <si>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</si>
  <si>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</si>
  <si>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</si>
  <si>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</si>
  <si>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Второй этаж, кабинет № 216</t>
  </si>
  <si>
    <t>Новый подраздел</t>
  </si>
  <si>
    <t>Полы</t>
  </si>
  <si>
    <t>1</t>
  </si>
  <si>
    <t>1.10-3404-5-1/1</t>
  </si>
  <si>
    <t>Разборка (снятие) металлической накладной полосы (порожка)</t>
  </si>
  <si>
    <t>100 м</t>
  </si>
  <si>
    <t>СН-2012.1 Выпуск № 3 (в текущих ценах по состоянию на 01.04.2025 г.). Сб.10-3404-5-1/1</t>
  </si>
  <si>
    <t>СН-2012</t>
  </si>
  <si>
    <t>Подрядные работы, гл. 1-5,7</t>
  </si>
  <si>
    <t>работа</t>
  </si>
  <si>
    <t>2</t>
  </si>
  <si>
    <t>1.10-3404-4-2/1</t>
  </si>
  <si>
    <t>Разборка плинтусов поливинилхлоридных с креплением шурупами</t>
  </si>
  <si>
    <t>СН-2012.1 Выпуск № 3 (в текущих ценах по состоянию на 01.04.2025 г.). Сб.10-3404-4-2/1</t>
  </si>
  <si>
    <t>3</t>
  </si>
  <si>
    <t>1.10-3504-1-1/1</t>
  </si>
  <si>
    <t>Разборка покрытий из линолеума и релина</t>
  </si>
  <si>
    <t>100 м2</t>
  </si>
  <si>
    <t>СН-2012.1 Выпуск № 3 (в текущих ценах по состоянию на 01.04.2025 г.). Сб.10-3504-1-1/1</t>
  </si>
  <si>
    <t>4</t>
  </si>
  <si>
    <t>1.10-3103-2-11/1</t>
  </si>
  <si>
    <t>Устройство самовыравнивающихся стяжек из специализированных сухих смесей толщиной 5 мм</t>
  </si>
  <si>
    <t>СН-2012.1 Выпуск № 3 (в текущих ценах по состоянию на 01.04.2025 г.). Сб.10-3103-2-11/1</t>
  </si>
  <si>
    <t>5</t>
  </si>
  <si>
    <t>1.10-3503-1-5/2</t>
  </si>
  <si>
    <t>Устройство покрытий на клее из линолеума высокой износостойкости толщиной 2 мм, истираемостью группы Р со сваркой стыков</t>
  </si>
  <si>
    <t>СН-2012.1 Выпуск № 3 (в текущих ценах по состоянию на 01.04.2025 г.). Сб.10-3503-1-5/2</t>
  </si>
  <si>
    <t>6</t>
  </si>
  <si>
    <t>1.10-3803-1-2/1</t>
  </si>
  <si>
    <t>Устройство плинтусов неокрашенных из древесины хвойных пород</t>
  </si>
  <si>
    <t>СН-2012.1 Выпуск № 3 (в текущих ценах по состоянию на 01.04.2025 г.). Сб.10-3803-1-2/1</t>
  </si>
  <si>
    <t>6,1</t>
  </si>
  <si>
    <t>цена пост.</t>
  </si>
  <si>
    <t>Плинтус деревянный сращенный ПКС-50 13x50x2200 мм хвоя Экстра (или эквивалент)</t>
  </si>
  <si>
    <t>м</t>
  </si>
  <si>
    <t>[104,55 / 1,2]</t>
  </si>
  <si>
    <t>0</t>
  </si>
  <si>
    <t>6,2</t>
  </si>
  <si>
    <t>21.9-12-58</t>
  </si>
  <si>
    <t>Плинтуса хвойных пород, неокрашенные, сечение 16х36 мм</t>
  </si>
  <si>
    <t>СН-2012.21 Выпуск № 3 (в текущих ценах по состоянию на 01.04.2025 г.). Сб.9-12-58</t>
  </si>
  <si>
    <t>7</t>
  </si>
  <si>
    <t>1.10-3403-5-6/1</t>
  </si>
  <si>
    <t>Покрытие полов лаком по огрунтованной или окрашенной поверхности за 2 раза (покрытие плинтуса морилкой)</t>
  </si>
  <si>
    <t>СН-2012.1 Выпуск № 3 (в текущих ценах по состоянию на 01.04.2025 г.). Сб.10-3403-5-6/1</t>
  </si>
  <si>
    <t>7,1</t>
  </si>
  <si>
    <t>21.1-8-4</t>
  </si>
  <si>
    <t>Морилка натуральная (в 2 слоя)</t>
  </si>
  <si>
    <t>кг</t>
  </si>
  <si>
    <t>СН-2012.21 Выпуск № 3 (в текущих ценах по состоянию на 01.04.2025 г.). Сб.1-8-4</t>
  </si>
  <si>
    <t>7,2</t>
  </si>
  <si>
    <t>21.1-6-81</t>
  </si>
  <si>
    <t>Лак мочевидный для паркетных полов</t>
  </si>
  <si>
    <t>т</t>
  </si>
  <si>
    <t>СН-2012.21 Выпуск № 3 (в текущих ценах по состоянию на 01.04.2025 г.). Сб.1-6-81</t>
  </si>
  <si>
    <t>8</t>
  </si>
  <si>
    <t>1.10-3405-2-1/1</t>
  </si>
  <si>
    <t>Укладка металлической накладной полосы (порожка)</t>
  </si>
  <si>
    <t>СН-2012.1 Выпуск № 3 (в текущих ценах по состоянию на 01.04.2025 г.). Сб.10-3405-2-1/1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</si>
  <si>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</si>
  <si>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</si>
  <si>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</si>
  <si>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</si>
  <si>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</si>
  <si>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</si>
  <si>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</si>
  <si>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</si>
  <si>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</si>
  <si>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</si>
  <si>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</si>
  <si>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</si>
  <si>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</si>
  <si>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</si>
  <si>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</si>
  <si>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</si>
  <si>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</si>
  <si>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</si>
  <si>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</si>
  <si>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</si>
  <si>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</si>
  <si>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</si>
  <si>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</si>
  <si>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</si>
  <si>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</si>
  <si>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</si>
  <si>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</si>
  <si>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</si>
  <si>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</si>
  <si>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</si>
  <si>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</si>
  <si>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</si>
  <si>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</si>
  <si>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</si>
  <si>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</si>
  <si>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</si>
  <si>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</si>
  <si>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</si>
  <si>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</si>
  <si>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</si>
  <si>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</si>
  <si>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</si>
  <si>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</si>
  <si>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</si>
  <si>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</si>
  <si>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</si>
  <si>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</si>
  <si>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</si>
  <si>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</si>
  <si>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</si>
  <si>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</si>
  <si>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</si>
  <si>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</si>
  <si>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</si>
  <si>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Стены</t>
  </si>
  <si>
    <t>9</t>
  </si>
  <si>
    <t>1.13-3604-2-1/1</t>
  </si>
  <si>
    <t>Разборка облицовочных декоративных деревянных панелей</t>
  </si>
  <si>
    <t>м2</t>
  </si>
  <si>
    <t>СН-2012.1 Выпуск № 3 (в текущих ценах по состоянию на 01.04.2025 г.). Сб.13-3604-2-1/1</t>
  </si>
  <si>
    <t>10</t>
  </si>
  <si>
    <t>1.13-3304-1-2/1</t>
  </si>
  <si>
    <t>Снятие обоев высококачественных и стеклообоев</t>
  </si>
  <si>
    <t>СН-2012.1 Выпуск № 3 (в текущих ценах по состоянию на 01.04.2025 г.). Сб.13-3304-1-2/1</t>
  </si>
  <si>
    <t>1.13-3703-1-1/1</t>
  </si>
  <si>
    <t>Обработка поверхностей стен грунтовкой глубокого проникновения внутри помещения (перед шпатлеванием)</t>
  </si>
  <si>
    <t>СН-2012.1 Выпуск № 3 (в текущих ценах по состоянию на 01.04.2025 г.). Сб.13-3703-1-1/1</t>
  </si>
  <si>
    <t>11</t>
  </si>
  <si>
    <t>1.13-3203-26-3/3</t>
  </si>
  <si>
    <t>Улучшенная окраска стен внутри помещений водно-дисперсионными акриловыми красками - краска моющаяся типа ВД-АК-210 (с предварительным обеспылеванием поверхности)</t>
  </si>
  <si>
    <t>СН-2012.1 Выпуск № 3 (в текущих ценах по состоянию на 01.04.2025 г.). Сб.13-3203-26-3/3</t>
  </si>
  <si>
    <t>11,1</t>
  </si>
  <si>
    <t>21.1-6-103</t>
  </si>
  <si>
    <t>Пигменты сухие для красок, охра золотистая (цвет по согласованию)</t>
  </si>
  <si>
    <t>СН-2012.21 Выпуск № 3 (в текущих ценах по состоянию на 01.04.2025 г.). Сб.1-6-103</t>
  </si>
  <si>
    <t>Инженерные сети</t>
  </si>
  <si>
    <t>12</t>
  </si>
  <si>
    <t>1.16-3204-1-1/1</t>
  </si>
  <si>
    <t>Демонтаж санитарно-технических приборов умывальников или раковин</t>
  </si>
  <si>
    <t>100 компл.</t>
  </si>
  <si>
    <t>СН-2012.1 Выпуск № 3 (в текущих ценах по состоянию на 01.04.2025 г.). Сб.16-3204-1-1/1</t>
  </si>
  <si>
    <t>13</t>
  </si>
  <si>
    <t>1.26-3103-3-1/2</t>
  </si>
  <si>
    <t>Демонтаж Установка штучных изделий столов, шкафов под мойки, холодильных шкафов и др. (без стоимости изделий)</t>
  </si>
  <si>
    <t>100 шт.</t>
  </si>
  <si>
    <t>СН-2012.1 Выпуск № 3 (в текущих ценах по состоянию на 01.04.2025 г.). Сб.26-3103-3-1/2</t>
  </si>
  <si>
    <t>)*0</t>
  </si>
  <si>
    <t>)*0,2</t>
  </si>
  <si>
    <t>Поправка: СН-2012 О.П. п.22</t>
  </si>
  <si>
    <t>14</t>
  </si>
  <si>
    <t>1.16-3203-1-6/1</t>
  </si>
  <si>
    <t>Установка умывальников одиночных с подводкой холодной и горячей воды / умывальник керамический полукруглый второй величины с переливом</t>
  </si>
  <si>
    <t>компл.</t>
  </si>
  <si>
    <t>СН-2012.1 Выпуск № 3 (в текущих ценах по состоянию на 01.04.2025 г.). Сб.16-3203-1-6/1</t>
  </si>
  <si>
    <t>14,1</t>
  </si>
  <si>
    <t>21.17-2-19</t>
  </si>
  <si>
    <t>Смесители для умывальников и моек двухрукояточные центральные набортные, излив с аэратором тип См-УмДЦБА</t>
  </si>
  <si>
    <t>шт.</t>
  </si>
  <si>
    <t>СН-2012.21 Выпуск № 3 (в текущих ценах по состоянию на 01.04.2025 г.). Сб.17-2-19</t>
  </si>
  <si>
    <t>14,2</t>
  </si>
  <si>
    <t>Цена пост.</t>
  </si>
  <si>
    <t>Сантехническая манжета для канализации MPF 50x25 (или эквивалент)</t>
  </si>
  <si>
    <t>[45 / 1,2]</t>
  </si>
  <si>
    <t>14,3</t>
  </si>
  <si>
    <t>14,4</t>
  </si>
  <si>
    <t>21.17-1-21</t>
  </si>
  <si>
    <t>Умывальники керамические полукруглые второй величины с переливом 1 отверстие</t>
  </si>
  <si>
    <t>СН-2012.21 Выпуск № 3 (в текущих ценах по состоянию на 01.04.2025 г.). Сб.17-1-21</t>
  </si>
  <si>
    <t>15</t>
  </si>
  <si>
    <t>Установка штучных изделий столов, шкафов под мойки, холодильных шкафов и др. (без стоимости изделий)</t>
  </si>
  <si>
    <t>15,1</t>
  </si>
  <si>
    <t>Тумба под раковину напольная SanStar Квадро 50см с раковиной цвет белый (или эквивалент)</t>
  </si>
  <si>
    <t>[12 061 / 1,2]</t>
  </si>
  <si>
    <t>16</t>
  </si>
  <si>
    <t>1.15-3103-4-1/1</t>
  </si>
  <si>
    <t>Монтаж гибких подводок к водогазоразборной арматуре / подводки с двумя латунными накидными гайками длиной 500 мм</t>
  </si>
  <si>
    <t>СН-2012.1 Выпуск № 3 (в текущих ценах по состоянию на 01.04.2025 г.). Сб.15-3103-4-1/1</t>
  </si>
  <si>
    <t>17</t>
  </si>
  <si>
    <t>1.15-3204-2-2/1</t>
  </si>
  <si>
    <t>Демонтаж муфтовой арматуры диаметром 20 мм</t>
  </si>
  <si>
    <t>10 шт.</t>
  </si>
  <si>
    <t>СН-2012.1 Выпуск № 3 (в текущих ценах по состоянию на 01.04.2025 г.). Сб.15-3204-2-2/1</t>
  </si>
  <si>
    <t>18</t>
  </si>
  <si>
    <t>1.15-3203-5-2/1</t>
  </si>
  <si>
    <t>Установка муфтовой арматуры диаметром 20 мм</t>
  </si>
  <si>
    <t>СН-2012.1 Выпуск № 3 (в текущих ценах по состоянию на 01.04.2025 г.). Сб.15-3203-5-2/1</t>
  </si>
  <si>
    <t>18,1</t>
  </si>
  <si>
    <t>21.13-4-40</t>
  </si>
  <si>
    <t>Краны латунные шаровые муфтовые проходные, марка 11б27п, диаметр 20 мм</t>
  </si>
  <si>
    <t>СН-2012.21 Выпуск № 3 (в текущих ценах по состоянию на 01.04.2025 г.). Сб.13-4-40</t>
  </si>
  <si>
    <t>Электрика</t>
  </si>
  <si>
    <t>19</t>
  </si>
  <si>
    <t>1.21-3102-8-2/1</t>
  </si>
  <si>
    <t>Замена электроустановочных изделий, открытая проводка, выключатель, розетка (без стоимости материалов)</t>
  </si>
  <si>
    <t>СН-2012.1 Выпуск № 3 (в текущих ценах по состоянию на 01.04.2025 г.). Сб.21-3102-8-2/1</t>
  </si>
  <si>
    <t>19,1</t>
  </si>
  <si>
    <t>Розетка 2х2P+E Schuko со шторками, 16A-250В, IP20 (или эквивалент)</t>
  </si>
  <si>
    <t>[342 / 1,2]</t>
  </si>
  <si>
    <t>19,2</t>
  </si>
  <si>
    <t>21.21-5-24</t>
  </si>
  <si>
    <t>Выключатели, серия "Прима", напряжение 250 В, сила тока 6 А, тип: А16-051, одноклавишный, открытой установки</t>
  </si>
  <si>
    <t>СН-2012.21 Выпуск № 3 (в текущих ценах по состоянию на 01.04.2025 г.). Сб.21-5-24</t>
  </si>
  <si>
    <t>Прочее</t>
  </si>
  <si>
    <t>20</t>
  </si>
  <si>
    <t>1.18-3202-1-1/1</t>
  </si>
  <si>
    <t>Смена вентиляционных решеток стальных штампованных, тип РШ, размеры 200х200 мм</t>
  </si>
  <si>
    <t>СН-2012.1 Выпуск № 3 (в текущих ценах по состоянию на 01.04.2025 г.). Сб.18-3202-1-1/1</t>
  </si>
  <si>
    <t>20,1</t>
  </si>
  <si>
    <t>21.19-11-46</t>
  </si>
  <si>
    <t>Решетки вентиляционные, жалюзийные, регулируемые, стальные, марка РС-Г, размер 425х225 мм (300х400 мм)</t>
  </si>
  <si>
    <t>СН-2012.21 Выпуск № 3 (в текущих ценах по состоянию на 01.04.2025 г.). Сб.19-11-46</t>
  </si>
  <si>
    <t>20,2</t>
  </si>
  <si>
    <t>21.19-11-22</t>
  </si>
  <si>
    <t>Решетки вентиляционные стальные штампованные, тип РШ, размеры 200х200 мм</t>
  </si>
  <si>
    <t>СН-2012.21 Выпуск № 3 (в текущих ценах по состоянию на 01.04.2025 г.). Сб.19-11-22</t>
  </si>
  <si>
    <t>Второй этаж, кабинет № 311</t>
  </si>
  <si>
    <t>21</t>
  </si>
  <si>
    <t>22</t>
  </si>
  <si>
    <t>1.10-3804-1-1/1</t>
  </si>
  <si>
    <t>Разборка деревянных плинтусов</t>
  </si>
  <si>
    <t>СН-2012.1 Выпуск № 3 (в текущих ценах по состоянию на 01.04.2025 г.). Сб.10-3804-1-1/1</t>
  </si>
  <si>
    <t>23</t>
  </si>
  <si>
    <t>23,1</t>
  </si>
  <si>
    <t>23,2</t>
  </si>
  <si>
    <t>24</t>
  </si>
  <si>
    <t>24,1</t>
  </si>
  <si>
    <t>24,2</t>
  </si>
  <si>
    <t>25</t>
  </si>
  <si>
    <t>26</t>
  </si>
  <si>
    <t>27</t>
  </si>
  <si>
    <t>28</t>
  </si>
  <si>
    <t>29</t>
  </si>
  <si>
    <t>1.13-3201-23-2/3</t>
  </si>
  <si>
    <t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t>
  </si>
  <si>
    <t>СН-2012.1 Выпуск № 3 (в текущих ценах по состоянию на 01.04.2025 г.). Сб.13-3201-23-2/3</t>
  </si>
  <si>
    <t>29,1</t>
  </si>
  <si>
    <t>Потолок</t>
  </si>
  <si>
    <t>30</t>
  </si>
  <si>
    <t>1.13-3201-23-5/2</t>
  </si>
  <si>
    <t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t>
  </si>
  <si>
    <t>СН-2012.1 Выпуск № 3 (в текущих ценах по состоянию на 01.04.2025 г.). Сб.13-3201-23-5/2</t>
  </si>
  <si>
    <t>Окна</t>
  </si>
  <si>
    <t>31</t>
  </si>
  <si>
    <t>1.13-3703-3-1/1</t>
  </si>
  <si>
    <t>Демонтаж Обрамление углов стен, откосов уголком ПВХ - вертикальные</t>
  </si>
  <si>
    <t>СН-2012.1 Выпуск № 3 (в текущих ценах по состоянию на 01.04.2025 г.). Сб.13-3703-3-1/1</t>
  </si>
  <si>
    <t>*0</t>
  </si>
  <si>
    <t>*0,2</t>
  </si>
  <si>
    <t>32</t>
  </si>
  <si>
    <t>1.13-3703-3-2/1</t>
  </si>
  <si>
    <t>Демонтаж Обрамление углов стен, откосов уголком ПВХ - горизонтальные</t>
  </si>
  <si>
    <t>СН-2012.1 Выпуск № 3 (в текущих ценах по состоянию на 01.04.2025 г.). Сб.13-3703-3-2/1</t>
  </si>
  <si>
    <t>33</t>
  </si>
  <si>
    <t>Обрамление углов стен, откосов уголком ПВХ - вертикальные</t>
  </si>
  <si>
    <t>33,1</t>
  </si>
  <si>
    <t>21.1-25-1068</t>
  </si>
  <si>
    <t>Уголки поливинилхлоридные декоративные для внутренней облицовки, внешние, размеры 40х40 мм, белые</t>
  </si>
  <si>
    <t>СН-2012.21 Выпуск № 3 (в текущих ценах по состоянию на 01.04.2025 г.). Сб.1-25-1068</t>
  </si>
  <si>
    <t>34</t>
  </si>
  <si>
    <t>Обрамление углов стен, откосов уголком ПВХ - горизонтальные</t>
  </si>
  <si>
    <t>34,1</t>
  </si>
  <si>
    <t>35</t>
  </si>
  <si>
    <t>36</t>
  </si>
  <si>
    <t>37</t>
  </si>
  <si>
    <t>37,1</t>
  </si>
  <si>
    <t>37,2</t>
  </si>
  <si>
    <t>37,3</t>
  </si>
  <si>
    <t>37,4</t>
  </si>
  <si>
    <t>38</t>
  </si>
  <si>
    <t>38,1</t>
  </si>
  <si>
    <t>39</t>
  </si>
  <si>
    <t>40</t>
  </si>
  <si>
    <t>41</t>
  </si>
  <si>
    <t>41,1</t>
  </si>
  <si>
    <t>42</t>
  </si>
  <si>
    <t>42,1</t>
  </si>
  <si>
    <t>42,2</t>
  </si>
  <si>
    <t>43</t>
  </si>
  <si>
    <t>43,1</t>
  </si>
  <si>
    <t>21.19-11-52</t>
  </si>
  <si>
    <t>Решетки вентиляционные, жалюзийные, регулируемые, стальные, марка РС-Г, размер 625х225 мм (600х300 мм)</t>
  </si>
  <si>
    <t>СН-2012.21 Выпуск № 3 (в текущих ценах по состоянию на 01.04.2025 г.). Сб.19-11-52</t>
  </si>
  <si>
    <t>43,2</t>
  </si>
  <si>
    <t>Кровля</t>
  </si>
  <si>
    <t>44</t>
  </si>
  <si>
    <t>1.7-3303-7-4/1</t>
  </si>
  <si>
    <t>Устройство рулонного покрытия в один слой из наплавляемого материала типа "Филизол-супер"</t>
  </si>
  <si>
    <t>СН-2012.1 Выпуск № 3 (в текущих ценах по состоянию на 01.04.2025 г.). Сб.7-3303-7-4/1</t>
  </si>
  <si>
    <t>44,1</t>
  </si>
  <si>
    <t>21.1-3-49</t>
  </si>
  <si>
    <t>Материал рулонный кровельный, Филизол, марка "В"</t>
  </si>
  <si>
    <t>СН-2012.21 Выпуск № 3 (в текущих ценах по состоянию на 01.04.2025 г.). Сб.1-3-49</t>
  </si>
  <si>
    <t>44,2</t>
  </si>
  <si>
    <t>21.1-3-51</t>
  </si>
  <si>
    <t>Материал рулонный кровельный, Филизол, марка "СУПЕР"</t>
  </si>
  <si>
    <t>СН-2012.21 Выпуск № 3 (в текущих ценах по состоянию на 01.04.2025 г.). Сб.1-3-51</t>
  </si>
  <si>
    <t>Мусор</t>
  </si>
  <si>
    <t>45</t>
  </si>
  <si>
    <t>1.49-9101-7-1/1</t>
  </si>
  <si>
    <t>Механизированная погрузка строительного мусора в автомобили-самосвалы</t>
  </si>
  <si>
    <t>СН-2012.1 Выпуск № 3 (в текущих ценах по состоянию на 01.04.2025 г.). Сб.49-9101-7-1/1</t>
  </si>
  <si>
    <t>46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</si>
  <si>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</si>
  <si>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</si>
  <si>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</si>
  <si>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</si>
  <si>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47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</si>
  <si>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</si>
  <si>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</si>
  <si>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</si>
  <si>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</si>
  <si>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</si>
  <si>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</si>
  <si>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</si>
  <si>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</si>
  <si>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t>
  </si>
  <si>
    <t>Уровень цен на 01.04.2025 г</t>
  </si>
  <si>
    <t>_OBSM_</t>
  </si>
  <si>
    <t>9999990008</t>
  </si>
  <si>
    <t>Трудозатраты рабочих</t>
  </si>
  <si>
    <t>чел.-ч.</t>
  </si>
  <si>
    <t>22.1-30-56</t>
  </si>
  <si>
    <t>СН-2012.22 Выпуск № 3 (в текущих ценах по состоянию на 01.04.2025 г.). Сб.1-30-56</t>
  </si>
  <si>
    <t>Шуруповерты</t>
  </si>
  <si>
    <t>маш.-ч</t>
  </si>
  <si>
    <t>9999990001</t>
  </si>
  <si>
    <t>Масса мусора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</si>
  <si>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</si>
  <si>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</si>
  <si>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</si>
  <si>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22.1-30-103</t>
  </si>
  <si>
    <t>СН-2012.22 Выпуск № 3 (в текущих ценах по состоянию на 01.04.2025 г.). Сб.1-30-103</t>
  </si>
  <si>
    <t>Перфораторы электрические, мощность до 800 Вт</t>
  </si>
  <si>
    <t>22.1-4-1</t>
  </si>
  <si>
    <t>СН-2012.22 Выпуск № 3 (в текущих ценах по состоянию на 01.04.2025 г.). Сб.1-4-1</t>
  </si>
  <si>
    <t>Погрузчики универсальные на пневмоколесном ходу, грузоподъемность до 1 т</t>
  </si>
  <si>
    <t>21.1-25-13</t>
  </si>
  <si>
    <t>СН-2012.21 Выпуск № 3 (в текущих ценах по состоянию на 01.04.2025 г.). Сб.1-25-13</t>
  </si>
  <si>
    <t>Вода</t>
  </si>
  <si>
    <t>м3</t>
  </si>
  <si>
    <t>21.1-25-257</t>
  </si>
  <si>
    <t>СН-2012.21 Выпуск № 3 (в текущих ценах по состоянию на 01.04.2025 г.). Сб.1-25-257</t>
  </si>
  <si>
    <t>Пленка полиэтиленовая, толщина 80 мкм</t>
  </si>
  <si>
    <t>21.1-6-183</t>
  </si>
  <si>
    <t>СН-2012.21 Выпуск № 3 (в текущих ценах по состоянию на 01.04.2025 г.). Сб.1-6-183</t>
  </si>
  <si>
    <t>Грунтовка водно-дисперсионная на акриловых сополимерах с токопроводящими добавками</t>
  </si>
  <si>
    <t>21.3-2-120</t>
  </si>
  <si>
    <t>СН-2012.21 Выпуск № 3 (в текущих ценах по состоянию на 01.04.2025 г.). Сб.3-2-120</t>
  </si>
  <si>
    <t>Смеси сухие цементно-песчаные для устройства стяжки, самовыравнивающиеся: В15 (М200), F50</t>
  </si>
  <si>
    <t>22.1-17-156</t>
  </si>
  <si>
    <t>СН-2012.22 Выпуск № 3 (в текущих ценах по состоянию на 01.04.2025 г.). Сб.1-17-156</t>
  </si>
  <si>
    <t>Фены строительные, мощность 2 кВт</t>
  </si>
  <si>
    <t>22.1-30-23</t>
  </si>
  <si>
    <t>СН-2012.22 Выпуск № 3 (в текущих ценах по состоянию на 01.04.2025 г.). Сб.1-30-23</t>
  </si>
  <si>
    <t>Приспособления для снятия фасок</t>
  </si>
  <si>
    <t>21.1-25-100</t>
  </si>
  <si>
    <t>СН-2012.21 Выпуск № 3 (в текущих ценах по состоянию на 01.04.2025 г.). Сб.1-25-100</t>
  </si>
  <si>
    <t>Клей водно-дисперсионный акриловый, универсальный для укладки поливинилхлоридных и текстильных покрытий</t>
  </si>
  <si>
    <t>21.1-25-736</t>
  </si>
  <si>
    <t>СН-2012.21 Выпуск № 3 (в текущих ценах по состоянию на 01.04.2025 г.). Сб.1-25-736</t>
  </si>
  <si>
    <t>Линолеум поливинилхлоридный высокой износостойкости, класс 34/43, истираемость 110 (86) мкм (Р), группа горючести Г1, толщина 2 мм</t>
  </si>
  <si>
    <t>21.1-25-748</t>
  </si>
  <si>
    <t>СН-2012.21 Выпуск № 3 (в текущих ценах по состоянию на 01.04.2025 г.). Сб.1-25-748</t>
  </si>
  <si>
    <t>Шнур для сварки швов поливинилхлоридного линолеума</t>
  </si>
  <si>
    <t>21.1-6-165</t>
  </si>
  <si>
    <t>СН-2012.21 Выпуск № 3 (в текущих ценах по состоянию на 01.04.2025 г.). Сб.1-6-165</t>
  </si>
  <si>
    <t>Грунтовка водно-дисперсионная высококонцентрированная глубокопроникающая универсальная</t>
  </si>
  <si>
    <t>21.1-11-46</t>
  </si>
  <si>
    <t>СН-2012.21 Выпуск № 3 (в текущих ценах по состоянию на 01.04.2025 г.). Сб.1-11-46</t>
  </si>
  <si>
    <t>Гвозди строительные</t>
  </si>
  <si>
    <t>22.1-30-102</t>
  </si>
  <si>
    <t>СН-2012.22 Выпуск № 3 (в текущих ценах по состоянию на 01.04.2025 г.). Сб.1-30-102</t>
  </si>
  <si>
    <t>Дрели электрические, двухскоростные, мощностью 600 Вт</t>
  </si>
  <si>
    <t>22.1-30-27</t>
  </si>
  <si>
    <t>СН-2012.22 Выпуск № 3 (в текущих ценах по состоянию на 01.04.2025 г.). Сб.1-30-27</t>
  </si>
  <si>
    <t>Пилы дисковые электрические для резки пиломатериалов</t>
  </si>
  <si>
    <t>21.1-11-32</t>
  </si>
  <si>
    <t>СН-2012.21 Выпуск № 3 (в текущих ценах по состоянию на 01.04.2025 г.). Сб.1-11-32</t>
  </si>
  <si>
    <t>Винты самонарезающие оцинкованные, длина 25 мм</t>
  </si>
  <si>
    <t>21.7-12-1</t>
  </si>
  <si>
    <t>СН-2012.21 Выпуск № 3 (в текущих ценах по состоянию на 01.04.2025 г.). Сб.7-12-1</t>
  </si>
  <si>
    <t>Профили алюминиевые, ширина 40 мм, марка СПА 3505</t>
  </si>
  <si>
    <t>22.1-30-90</t>
  </si>
  <si>
    <t>СН-2012.22 Выпуск № 3 (в текущих ценах по состоянию на 01.04.2025 г.). Сб.1-30-90</t>
  </si>
  <si>
    <t>Дрели-миксеры импортного производства для перемешивания строительных материалов, скорость до 650 об/мин</t>
  </si>
  <si>
    <t>21.1-6-10</t>
  </si>
  <si>
    <t>СН-2012.21 Выпуск № 3 (в текущих ценах по состоянию на 01.04.2025 г.). Сб.1-6-10</t>
  </si>
  <si>
    <t>Грунтовка акриловая концентрированная универсальная с высокой клеевой и проникающей способностью</t>
  </si>
  <si>
    <t>л</t>
  </si>
  <si>
    <t>21.1-20-7</t>
  </si>
  <si>
    <t>СН-2012.21 Выпуск № 3 (в текущих ценах по состоянию на 01.04.2025 г.). Сб.1-20-7</t>
  </si>
  <si>
    <t>Ветошь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</si>
  <si>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</si>
  <si>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</si>
  <si>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</si>
  <si>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</si>
  <si>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</si>
  <si>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</si>
  <si>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21.1-6-219</t>
  </si>
  <si>
    <t>СН-2012.21 Выпуск № 3 (в текущих ценах по состоянию на 01.04.2025 г.). Сб.1-6-219</t>
  </si>
  <si>
    <t>Краски водно-дисперсионные акриловые износостойкие, интерьерные, моющиеся, типа ВД-АК-210, белые</t>
  </si>
  <si>
    <t>21.1-6-221</t>
  </si>
  <si>
    <t>СН-2012.21 Выпуск № 3 (в текущих ценах по состоянию на 01.04.2025 г.). Сб.1-6-221</t>
  </si>
  <si>
    <t>Грунтовка водно-дисперсионная акриловая укрепляющая для минеральных поверхностей, типа ВД-АК-0110</t>
  </si>
  <si>
    <t>21.1-11-84</t>
  </si>
  <si>
    <t>СН-2012.21 Выпуск № 3 (в текущих ценах по состоянию на 01.04.2025 г.). Сб.1-11-84</t>
  </si>
  <si>
    <t>Поковки строительные (скобы, закрепы, хомуты) простые, масса 1,8 кг</t>
  </si>
  <si>
    <t>21.9-12-46</t>
  </si>
  <si>
    <t>СН-2012.21 Выпуск № 3 (в текущих ценах по состоянию на 01.04.2025 г.). Сб.9-12-46</t>
  </si>
  <si>
    <t>Раскладки хвойных пород, окрашенные, сечение 19х13(24) мм</t>
  </si>
  <si>
    <t>21.1-11-125</t>
  </si>
  <si>
    <t>СН-2012.21 Выпуск № 3 (в текущих ценах по состоянию на 01.04.2025 г.). Сб.1-11-125</t>
  </si>
  <si>
    <t>Шурупы с потайной головкой, черные, размер 8,0х100 мм</t>
  </si>
  <si>
    <t>21.1-11-198</t>
  </si>
  <si>
    <t>СН-2012.21 Выпуск № 3 (в текущих ценах по состоянию на 01.04.2025 г.). Сб.1-11-198</t>
  </si>
  <si>
    <t>Дюбели пластмассовые</t>
  </si>
  <si>
    <t>21.1-25-16</t>
  </si>
  <si>
    <t>СН-2012.21 Выпуск № 3 (в текущих ценах по состоянию на 01.04.2025 г.). Сб.1-25-16</t>
  </si>
  <si>
    <t>Волокно льняное №11 для уплотнения резьбовых соединений при монтаже систем водоснабжения и отопления</t>
  </si>
  <si>
    <t>21.1-25-56</t>
  </si>
  <si>
    <t>СН-2012.21 Выпуск № 3 (в текущих ценах по состоянию на 01.04.2025 г.). Сб.1-25-56</t>
  </si>
  <si>
    <t>Замазка суриковая</t>
  </si>
  <si>
    <t>21.1-6-46</t>
  </si>
  <si>
    <t>СН-2012.21 Выпуск № 3 (в текущих ценах по состоянию на 01.04.2025 г.). Сб.1-6-46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</si>
  <si>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</si>
  <si>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</si>
  <si>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3 (в текущих ценах по состоянию на 01.04.2025 г.). Сб.1-6-90</t>
  </si>
  <si>
    <t>Олифа для окраски комбинированная оксоль</t>
  </si>
  <si>
    <t>21.17-2-12</t>
  </si>
  <si>
    <t>СН-2012.21 Выпуск № 3 (в текущих ценах по состоянию на 01.04.2025 г.). Сб.17-2-12</t>
  </si>
  <si>
    <t>Кронштейны чугунные для умывальников и моек скрытый большой КСБ, длина 320 мм</t>
  </si>
  <si>
    <t>21.17-2-15</t>
  </si>
  <si>
    <t>СН-2012.21 Выпуск № 3 (в текущих ценах по состоянию на 01.04.2025 г.). Сб.17-2-15</t>
  </si>
  <si>
    <t>Сифоны бутылочные из цветных металлов, латунные</t>
  </si>
  <si>
    <t>21.12-5-61</t>
  </si>
  <si>
    <t>СН-2012.21 Выпуск № 3 (в текущих ценах по состоянию на 01.04.2025 г.). Сб.12-5-61</t>
  </si>
  <si>
    <t>Подводки к водоразборной арматуре, с двумя латунными накидными гайками, длина 500 мм</t>
  </si>
  <si>
    <t>21.1-2-2</t>
  </si>
  <si>
    <t>СН-2012.21 Выпуск № 3 (в текущих ценах по состоянию на 01.04.2025 г.). Сб.1-2-2</t>
  </si>
  <si>
    <t>Гипсовые вяжущие (гипс) для штукатурных работ</t>
  </si>
  <si>
    <t>21.1-6-218</t>
  </si>
  <si>
    <t>СН-2012.21 Выпуск № 3 (в текущих ценах по состоянию на 01.04.2025 г.). Сб.1-6-218</t>
  </si>
  <si>
    <t>Краски водно-дисперсионные акриловые износостойкие, интерьерные и фасадные, влагостойкие, типа ВД-АК-120, белые</t>
  </si>
  <si>
    <t>21.1-25-152</t>
  </si>
  <si>
    <t>СН-2012.21 Выпуск № 3 (в текущих ценах по состоянию на 01.04.2025 г.). Сб.1-25-152</t>
  </si>
  <si>
    <t>Лента-скотч малярный, ширина 50 мм</t>
  </si>
  <si>
    <t>21.1-25-85</t>
  </si>
  <si>
    <t>СН-2012.21 Выпуск № 3 (в текущих ценах по состоянию на 01.04.2025 г.). Сб.1-25-85</t>
  </si>
  <si>
    <t>Клей акриловый универсальный, водостойкий</t>
  </si>
  <si>
    <t>22.1-10-5</t>
  </si>
  <si>
    <t>СН-2012.22 Выпуск № 3 (в текущих ценах по состоянию на 01.04.2025 г.). Сб.1-10-5</t>
  </si>
  <si>
    <t>Компрессоры с дизельным двигателем прицепные до 5 м3/мин</t>
  </si>
  <si>
    <t>22.1-17-22</t>
  </si>
  <si>
    <t>СН-2012.22 Выпуск № 3 (в текущих ценах по состоянию на 01.04.2025 г.). Сб.1-17-22</t>
  </si>
  <si>
    <t>Агрегаты "Пламя"</t>
  </si>
  <si>
    <t>22.1-17-23</t>
  </si>
  <si>
    <t>СН-2012.22 Выпуск № 3 (в текущих ценах по состоянию на 01.04.2025 г.). Сб.1-17-23</t>
  </si>
  <si>
    <t>Газовые горелки</t>
  </si>
  <si>
    <t>21.1-1-18</t>
  </si>
  <si>
    <t>СН-2012.21 Выпуск № 3 (в текущих ценах по состоянию на 01.04.2025 г.). Сб.1-1-18</t>
  </si>
  <si>
    <t>Мастика герметизирующая нетвердеющая, строительная, битумно-атактическая, антикоррозийная</t>
  </si>
  <si>
    <t>21.1-4-32</t>
  </si>
  <si>
    <t>СН-2012.21 Выпуск № 3 (в текущих ценах по состоянию на 01.04.2025 г.). Сб.1-4-32</t>
  </si>
  <si>
    <t>Пропан-бутан, сжиженный газ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</si>
  <si>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</si>
  <si>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</si>
  <si>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</si>
  <si>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</si>
  <si>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</si>
  <si>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</si>
  <si>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</si>
  <si>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</si>
  <si>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</si>
  <si>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5772115000</t>
  </si>
  <si>
    <t>Уголки поливинилхлоридные декоративные для внутренней облицовки</t>
  </si>
  <si>
    <t>СН-2012 О.П. п.22</t>
  </si>
  <si>
    <t>О.П.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</si>
  <si>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</si>
  <si>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</si>
  <si>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</si>
  <si>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</si>
  <si>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</si>
  <si>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</si>
  <si>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</si>
  <si>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</si>
  <si>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</si>
  <si>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</si>
  <si>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</si>
  <si>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</si>
  <si>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</si>
  <si>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</si>
  <si>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</si>
  <si>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</si>
  <si>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</si>
  <si>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</si>
  <si>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</si>
  <si>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</si>
  <si>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</si>
  <si>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</si>
  <si>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</si>
  <si>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</si>
  <si>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</si>
  <si>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</si>
  <si>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</si>
  <si>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</si>
  <si>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</si>
  <si>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</si>
  <si>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</si>
  <si>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ЭМ</t>
  </si>
  <si>
    <t>НР от ЗП</t>
  </si>
  <si>
    <t>%</t>
  </si>
  <si>
    <t>СП от ЗП</t>
  </si>
  <si>
    <t>ЗТР</t>
  </si>
  <si>
    <t>чел-ч</t>
  </si>
  <si>
    <t>в т.ч. ЗПМ</t>
  </si>
  <si>
    <t>МР</t>
  </si>
  <si>
    <t>НР и СП от ЗПМ</t>
  </si>
  <si>
    <r>
      <t>Плинтус деревянный сращенный ПКС-50 13x50x2200 мм хвоя Экстра (или эквивалент)</t>
    </r>
    <r>
      <rPr>
        <i/>
        <sz val="10"/>
        <rFont val="Arial"/>
        <family val="2"/>
        <charset val="204"/>
      </rPr>
      <t xml:space="preserve">
87,13 = [104,55 / 1,2]</t>
    </r>
  </si>
  <si>
    <t>Исключен
Плинтуса хвойных пород, неокрашенные, сечение 16х36 мм</t>
  </si>
  <si>
    <t>Исключен
Лак мочевидный для паркетных полов</t>
  </si>
  <si>
    <r>
      <t>1.26-3103-3-1/2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</si>
  <si>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Установка штучных изделий столов, шкафов под мойки, холодильных шкафов и др. (без стоимости изделий)</t>
    </r>
    <r>
      <rPr>
        <i/>
        <sz val="10"/>
        <rFont val="Arial"/>
        <family val="2"/>
        <charset val="204"/>
      </rPr>
      <t xml:space="preserve">
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</si>
  <si>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r>
      <t>Сантехническая манжета для канализации MPF 50x25 (или эквивалент)</t>
    </r>
    <r>
      <rPr>
        <i/>
        <sz val="10"/>
        <rFont val="Arial"/>
        <family val="2"/>
        <charset val="204"/>
      </rPr>
      <t xml:space="preserve">
37,50 = [45 / 1,2]</t>
    </r>
  </si>
  <si>
    <t>Исключен
Смесители для умывальников и моек двухрукояточные центральные набортные, излив с аэратором тип См-УмДЦБА</t>
  </si>
  <si>
    <t>Исключен
Умывальники керамические полукруглые второй величины с переливом 1 отверстие</t>
  </si>
  <si>
    <r>
      <t>Тумба под раковину напольная SanStar Квадро 50см с раковиной цвет белый (или эквивалент)</t>
    </r>
    <r>
      <rPr>
        <i/>
        <sz val="10"/>
        <rFont val="Arial"/>
        <family val="2"/>
        <charset val="204"/>
      </rPr>
      <t xml:space="preserve">
10 050,83 = [12 061 / 1,2]</t>
    </r>
  </si>
  <si>
    <r>
      <t>Розетка 2х2P+E Schuko со шторками, 16A-250В, IP20 (или эквивалент)</t>
    </r>
    <r>
      <rPr>
        <i/>
        <sz val="10"/>
        <rFont val="Arial"/>
        <family val="2"/>
        <charset val="204"/>
      </rPr>
      <t xml:space="preserve">
285,00 = [342 / 1,2]</t>
    </r>
  </si>
  <si>
    <t>Исключен
Решетки вентиляционные стальные штампованные, тип РШ, размеры 200х200 мм</t>
  </si>
  <si>
    <r>
      <t>1.13-3703-3-1/1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</si>
  <si>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Обрамление углов стен, откосов уголком ПВХ - вертикальные</t>
    </r>
    <r>
      <rPr>
        <i/>
        <sz val="10"/>
        <rFont val="Arial"/>
        <family val="2"/>
        <charset val="204"/>
      </rPr>
      <t xml:space="preserve">
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</si>
  <si>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r>
      <t>1.13-3703-3-2/1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</si>
  <si>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Обрамление углов стен, откосов уголком ПВХ - горизонтальные</t>
    </r>
    <r>
      <rPr>
        <i/>
        <sz val="10"/>
        <rFont val="Arial"/>
        <family val="2"/>
        <charset val="204"/>
      </rPr>
      <t xml:space="preserve">
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</si>
  <si>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t>Исключен
Материал рулонный кровельный, Филизол, марка "СУПЕР"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</si>
  <si>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</si>
  <si>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</si>
  <si>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</si>
  <si>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</si>
  <si>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</si>
  <si>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</si>
  <si>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</si>
  <si>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</si>
  <si>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</si>
  <si>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</si>
  <si>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</si>
  <si>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</si>
  <si>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</si>
  <si>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</si>
  <si>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</si>
  <si>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</si>
  <si>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</si>
  <si>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</si>
  <si>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</si>
  <si>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</si>
  <si>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</si>
  <si>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</si>
  <si>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</si>
  <si>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</si>
  <si>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</si>
  <si>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</si>
  <si>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</si>
  <si>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</si>
  <si>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</si>
  <si>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</si>
  <si>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</si>
  <si>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</si>
  <si>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</si>
  <si>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</si>
  <si>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</si>
  <si>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</si>
  <si>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</si>
  <si>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</si>
  <si>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</si>
  <si>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</si>
  <si>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</si>
  <si>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</si>
  <si>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</si>
  <si>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</si>
  <si>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</si>
  <si>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</si>
  <si>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</si>
  <si>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</si>
  <si>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</si>
  <si>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</si>
  <si>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</si>
  <si>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</si>
  <si>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</si>
  <si>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</si>
  <si>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</si>
  <si>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</si>
  <si>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Крылатские холмы д. 15к1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</si>
  <si>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</si>
  <si>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</si>
  <si>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</si>
  <si>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</si>
  <si>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</si>
  <si>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</si>
  <si>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</si>
  <si>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</si>
  <si>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</si>
  <si>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</si>
  <si>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 xml:space="preserve">Заместитель директора ГБОУ Школа №1440 </t>
  </si>
  <si>
    <t>__________________________А.Г. Абалян</t>
  </si>
  <si>
    <t>Заместитель директора ГБОУ Школа №1440</t>
  </si>
  <si>
    <t>___________________А.Г.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</si>
</sst>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0" xfId="0" quotePrefix="1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36"/>
  <sheetViews>
    <sheetView tabSelected="1" zoomScaleNormal="100" workbookViewId="0">
      <selection activeCell="G4" sqref="G4:K4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3" width="0" hidden="1" customWidth="1"/>
    <col min="34" max="34" width="100.7109375" hidden="1" customWidth="1"/>
    <col min="3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9" t="s">
        <v>496</v>
      </c>
      <c r="K2" s="49"/>
    </row>
    <row r="3" spans="1:11" ht="16.5" x14ac:dyDescent="0.25">
      <c r="A3" s="11"/>
      <c r="B3" s="54" t="s">
        <v>494</v>
      </c>
      <c r="C3" s="54"/>
      <c r="D3" s="54"/>
      <c r="E3" s="54"/>
      <c r="F3" s="10"/>
      <c r="G3" s="54" t="s">
        <v>495</v>
      </c>
      <c r="H3" s="54"/>
      <c r="I3" s="54"/>
      <c r="J3" s="54"/>
      <c r="K3" s="54"/>
    </row>
    <row r="4" spans="1:11" ht="14.25" x14ac:dyDescent="0.2">
      <c r="A4" s="10"/>
      <c r="B4" s="55"/>
      <c r="C4" s="55"/>
      <c r="D4" s="55"/>
      <c r="E4" s="55"/>
      <c r="F4" s="10"/>
      <c r="G4" s="55" t="s">
        <v>614</v>
      </c>
      <c r="H4" s="55"/>
      <c r="I4" s="55"/>
      <c r="J4" s="55"/>
      <c r="K4" s="55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5" t="str">
        <f>CONCATENATE("______________________ ", IF(Source!AL12&lt;&gt;"", Source!AL12, ""))</f>
        <v xml:space="preserve">______________________ </v>
      </c>
      <c r="C6" s="55"/>
      <c r="D6" s="55"/>
      <c r="E6" s="55"/>
      <c r="F6" s="10"/>
      <c r="G6" s="55" t="s">
        <v>615</v>
      </c>
      <c r="H6" s="55"/>
      <c r="I6" s="55"/>
      <c r="J6" s="55"/>
      <c r="K6" s="55"/>
    </row>
    <row r="7" spans="1:11" ht="14.25" x14ac:dyDescent="0.2">
      <c r="A7" s="13"/>
      <c r="B7" s="48" t="s">
        <v>497</v>
      </c>
      <c r="C7" s="48"/>
      <c r="D7" s="48"/>
      <c r="E7" s="48"/>
      <c r="F7" s="10"/>
      <c r="G7" s="48" t="s">
        <v>497</v>
      </c>
      <c r="H7" s="48"/>
      <c r="I7" s="48"/>
      <c r="J7" s="48"/>
      <c r="K7" s="48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0" t="str">
        <f>CONCATENATE( "ЛОКАЛЬНАЯ СМЕТА № ",IF(Source!F12&lt;&gt;"Новый объект", Source!F12, ""))</f>
        <v xml:space="preserve">ЛОКАЛЬНАЯ СМЕТА № 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52" t="s">
        <v>498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7" t="str">
        <f>IF(Source!G12&lt;&gt;"Новый объект", Source!G12, "")</f>
        <v>ГБОУ Школа №1440. Крылатские холмы д. 15к1 (в ценах на 01.04.2025 г)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x14ac:dyDescent="0.2">
      <c r="A16" s="52" t="s">
        <v>499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8" t="str">
        <f>CONCATENATE( "Основание: чертежи № ", Source!J12)</f>
        <v xml:space="preserve">Основание: чертежи № 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5" t="s">
        <v>500</v>
      </c>
      <c r="G20" s="55"/>
      <c r="H20" s="55"/>
      <c r="I20" s="56">
        <f>I21+I22+I23+I24</f>
        <v>741.01</v>
      </c>
      <c r="J20" s="49"/>
      <c r="K20" s="10" t="s">
        <v>501</v>
      </c>
    </row>
    <row r="21" spans="1:11" ht="14.25" hidden="1" x14ac:dyDescent="0.2">
      <c r="A21" s="10"/>
      <c r="B21" s="10"/>
      <c r="C21" s="10"/>
      <c r="D21" s="10"/>
      <c r="E21" s="10"/>
      <c r="F21" s="55" t="s">
        <v>502</v>
      </c>
      <c r="G21" s="55"/>
      <c r="H21" s="55"/>
      <c r="I21" s="56">
        <f>ROUND((Source!F711)/1000, 2)</f>
        <v>0</v>
      </c>
      <c r="J21" s="49"/>
      <c r="K21" s="10" t="s">
        <v>501</v>
      </c>
    </row>
    <row r="22" spans="1:11" ht="14.25" hidden="1" x14ac:dyDescent="0.2">
      <c r="A22" s="10"/>
      <c r="B22" s="10"/>
      <c r="C22" s="10"/>
      <c r="D22" s="10"/>
      <c r="E22" s="10"/>
      <c r="F22" s="55" t="s">
        <v>503</v>
      </c>
      <c r="G22" s="55"/>
      <c r="H22" s="55"/>
      <c r="I22" s="56">
        <f>ROUND((Source!F712)/1000, 2)</f>
        <v>0</v>
      </c>
      <c r="J22" s="49"/>
      <c r="K22" s="10" t="s">
        <v>501</v>
      </c>
    </row>
    <row r="23" spans="1:11" ht="14.25" hidden="1" x14ac:dyDescent="0.2">
      <c r="A23" s="10"/>
      <c r="B23" s="10"/>
      <c r="C23" s="10"/>
      <c r="D23" s="10"/>
      <c r="E23" s="10"/>
      <c r="F23" s="55" t="s">
        <v>504</v>
      </c>
      <c r="G23" s="55"/>
      <c r="H23" s="55"/>
      <c r="I23" s="56">
        <f>ROUND((Source!F703)/1000, 2)</f>
        <v>0</v>
      </c>
      <c r="J23" s="49"/>
      <c r="K23" s="10" t="s">
        <v>501</v>
      </c>
    </row>
    <row r="24" spans="1:11" ht="14.25" hidden="1" x14ac:dyDescent="0.2">
      <c r="A24" s="10"/>
      <c r="B24" s="10"/>
      <c r="C24" s="10"/>
      <c r="D24" s="10"/>
      <c r="E24" s="10"/>
      <c r="F24" s="55" t="s">
        <v>505</v>
      </c>
      <c r="G24" s="55"/>
      <c r="H24" s="55"/>
      <c r="I24" s="56">
        <f>ROUND((Source!F713+Source!F714)/1000, 2)</f>
        <v>741.01</v>
      </c>
      <c r="J24" s="49"/>
      <c r="K24" s="10" t="s">
        <v>501</v>
      </c>
    </row>
    <row r="25" spans="1:11" ht="14.25" x14ac:dyDescent="0.2">
      <c r="A25" s="10"/>
      <c r="B25" s="10"/>
      <c r="C25" s="10"/>
      <c r="D25" s="10"/>
      <c r="E25" s="10"/>
      <c r="F25" s="55" t="s">
        <v>506</v>
      </c>
      <c r="G25" s="55"/>
      <c r="H25" s="55"/>
      <c r="I25" s="56">
        <f>(Source!F709+ Source!F708)/1000</f>
        <v>177.10640000000001</v>
      </c>
      <c r="J25" s="49"/>
      <c r="K25" s="10" t="s">
        <v>501</v>
      </c>
    </row>
    <row r="26" spans="1:11" ht="14.25" x14ac:dyDescent="0.2">
      <c r="A26" s="10" t="s">
        <v>520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9" t="s">
        <v>507</v>
      </c>
      <c r="B27" s="59" t="s">
        <v>508</v>
      </c>
      <c r="C27" s="59" t="s">
        <v>509</v>
      </c>
      <c r="D27" s="59" t="s">
        <v>510</v>
      </c>
      <c r="E27" s="59" t="s">
        <v>511</v>
      </c>
      <c r="F27" s="59" t="s">
        <v>512</v>
      </c>
      <c r="G27" s="59" t="s">
        <v>513</v>
      </c>
      <c r="H27" s="59" t="s">
        <v>514</v>
      </c>
      <c r="I27" s="59" t="s">
        <v>515</v>
      </c>
      <c r="J27" s="59" t="s">
        <v>516</v>
      </c>
      <c r="K27" s="17" t="s">
        <v>517</v>
      </c>
    </row>
    <row r="28" spans="1:11" ht="28.5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18" t="s">
        <v>518</v>
      </c>
    </row>
    <row r="29" spans="1:11" ht="28.5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18" t="s">
        <v>519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2" t="str">
        <f>CONCATENATE("Локальная смета: ",IF(Source!G20&lt;&gt;"Новая локальная смета", Source!G20, ""))</f>
        <v xml:space="preserve">Локальная смета: 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4" spans="1:22" ht="16.5" x14ac:dyDescent="0.25">
      <c r="A34" s="62" t="str">
        <f>CONCATENATE("Раздел: ",IF(Source!G24&lt;&gt;"Новый раздел", Source!G24, ""))</f>
        <v>Раздел: Второй этаж, кабинет № 216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6" spans="1:22" ht="16.5" x14ac:dyDescent="0.25">
      <c r="A36" s="62" t="str">
        <f>CONCATENATE("Подраздел: ",IF(Source!G28&lt;&gt;"Новый подраздел", Source!G28, ""))</f>
        <v>Подраздел: Полы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1:22" ht="28.5" x14ac:dyDescent="0.2">
      <c r="A37" s="19">
        <v>1</v>
      </c>
      <c r="B37" s="19" t="str">
        <f>Source!F32</f>
        <v>1.10-3404-5-1/1</v>
      </c>
      <c r="C37" s="19" t="str">
        <f>Source!G32</f>
        <v>Разборка (снятие) металлической накладной полосы (порожка)</v>
      </c>
      <c r="D37" s="20" t="str">
        <f>Source!H32</f>
        <v>100 м</v>
      </c>
      <c r="E37" s="9">
        <f>Source!I32</f>
        <v>8.9999999999999993E-3</v>
      </c>
      <c r="F37" s="22"/>
      <c r="G37" s="21"/>
      <c r="H37" s="9"/>
      <c r="I37" s="9"/>
      <c r="J37" s="22"/>
      <c r="K37" s="22"/>
      <c r="Q37">
        <f>ROUND((Source!BZ32/100)*ROUND((Source!AF32*Source!AV32)*Source!I32, 2), 2)</f>
        <v>7.97</v>
      </c>
      <c r="R37">
        <f>Source!X32</f>
        <v>7.97</v>
      </c>
      <c r="S37">
        <f>ROUND((Source!CA32/100)*ROUND((Source!AF32*Source!AV32)*Source!I32, 2), 2)</f>
        <v>1.1399999999999999</v>
      </c>
      <c r="T37">
        <f>Source!Y32</f>
        <v>1.1399999999999999</v>
      </c>
      <c r="U37">
        <f>ROUND((175/100)*ROUND((Source!AE32*Source!AV32)*Source!I32, 2), 2)</f>
        <v>0</v>
      </c>
      <c r="V37">
        <f>ROUND((108/100)*ROUND(Source!CS32*Source!I32, 2), 2)</f>
        <v>0</v>
      </c>
    </row>
    <row r="38" spans="1:22" x14ac:dyDescent="0.2">
      <c r="C38" s="23" t="str">
        <f>"Объем: "&amp;Source!I32&amp;"=0,9/"&amp;"100"</f>
        <v>Объем: 0,009=0,9/100</v>
      </c>
    </row>
    <row r="39" spans="1:22" ht="14.25" x14ac:dyDescent="0.2">
      <c r="A39" s="19"/>
      <c r="B39" s="19"/>
      <c r="C39" s="19" t="s">
        <v>521</v>
      </c>
      <c r="D39" s="20"/>
      <c r="E39" s="9"/>
      <c r="F39" s="22">
        <f>Source!AO32</f>
        <v>1265.9000000000001</v>
      </c>
      <c r="G39" s="21" t="str">
        <f>Source!DG32</f>
        <v/>
      </c>
      <c r="H39" s="9">
        <f>Source!AV32</f>
        <v>1</v>
      </c>
      <c r="I39" s="9">
        <f>IF(Source!BA32&lt;&gt; 0, Source!BA32, 1)</f>
        <v>1</v>
      </c>
      <c r="J39" s="22">
        <f>Source!S32</f>
        <v>11.39</v>
      </c>
      <c r="K39" s="22"/>
    </row>
    <row r="40" spans="1:22" ht="14.25" x14ac:dyDescent="0.2">
      <c r="A40" s="19"/>
      <c r="B40" s="19"/>
      <c r="C40" s="19" t="s">
        <v>522</v>
      </c>
      <c r="D40" s="20"/>
      <c r="E40" s="9"/>
      <c r="F40" s="22">
        <f>Source!AM32</f>
        <v>7.44</v>
      </c>
      <c r="G40" s="21" t="str">
        <f>Source!DE32</f>
        <v/>
      </c>
      <c r="H40" s="9">
        <f>Source!AV32</f>
        <v>1</v>
      </c>
      <c r="I40" s="9">
        <f>IF(Source!BB32&lt;&gt; 0, Source!BB32, 1)</f>
        <v>1</v>
      </c>
      <c r="J40" s="22">
        <f>Source!Q32</f>
        <v>7.0000000000000007E-2</v>
      </c>
      <c r="K40" s="22"/>
    </row>
    <row r="41" spans="1:22" ht="14.25" x14ac:dyDescent="0.2">
      <c r="A41" s="19"/>
      <c r="B41" s="19"/>
      <c r="C41" s="19" t="s">
        <v>523</v>
      </c>
      <c r="D41" s="20" t="s">
        <v>524</v>
      </c>
      <c r="E41" s="9">
        <f>Source!AT32</f>
        <v>70</v>
      </c>
      <c r="F41" s="22"/>
      <c r="G41" s="21"/>
      <c r="H41" s="9"/>
      <c r="I41" s="9"/>
      <c r="J41" s="22">
        <f>SUM(R37:R40)</f>
        <v>7.97</v>
      </c>
      <c r="K41" s="22"/>
    </row>
    <row r="42" spans="1:22" ht="14.25" x14ac:dyDescent="0.2">
      <c r="A42" s="19"/>
      <c r="B42" s="19"/>
      <c r="C42" s="19" t="s">
        <v>525</v>
      </c>
      <c r="D42" s="20" t="s">
        <v>524</v>
      </c>
      <c r="E42" s="9">
        <f>Source!AU32</f>
        <v>10</v>
      </c>
      <c r="F42" s="22"/>
      <c r="G42" s="21"/>
      <c r="H42" s="9"/>
      <c r="I42" s="9"/>
      <c r="J42" s="22">
        <f>SUM(T37:T41)</f>
        <v>1.1399999999999999</v>
      </c>
      <c r="K42" s="22"/>
    </row>
    <row r="43" spans="1:22" ht="14.25" x14ac:dyDescent="0.2">
      <c r="A43" s="19"/>
      <c r="B43" s="19"/>
      <c r="C43" s="19" t="s">
        <v>526</v>
      </c>
      <c r="D43" s="20" t="s">
        <v>527</v>
      </c>
      <c r="E43" s="9">
        <f>Source!AQ32</f>
        <v>3.13</v>
      </c>
      <c r="F43" s="22"/>
      <c r="G43" s="21" t="str">
        <f>Source!DI32</f>
        <v/>
      </c>
      <c r="H43" s="9">
        <f>Source!AV32</f>
        <v>1</v>
      </c>
      <c r="I43" s="9"/>
      <c r="J43" s="22"/>
      <c r="K43" s="22">
        <f>Source!U32</f>
        <v>2.8169999999999997E-2</v>
      </c>
    </row>
    <row r="44" spans="1:22" ht="15" x14ac:dyDescent="0.25">
      <c r="A44" s="26"/>
      <c r="B44" s="26"/>
      <c r="C44" s="26"/>
      <c r="D44" s="26"/>
      <c r="E44" s="26"/>
      <c r="F44" s="26"/>
      <c r="G44" s="26"/>
      <c r="H44" s="26"/>
      <c r="I44" s="61">
        <f>J39+J40+J41+J42</f>
        <v>20.57</v>
      </c>
      <c r="J44" s="61"/>
      <c r="K44" s="27">
        <f>IF(Source!I32&lt;&gt;0, ROUND(I44/Source!I32, 2), 0)</f>
        <v>2285.56</v>
      </c>
      <c r="P44" s="24">
        <f>I44</f>
        <v>20.57</v>
      </c>
    </row>
    <row r="45" spans="1:22" ht="42.75" x14ac:dyDescent="0.2">
      <c r="A45" s="19">
        <v>2</v>
      </c>
      <c r="B45" s="19" t="str">
        <f>Source!F33</f>
        <v>1.10-3404-4-2/1</v>
      </c>
      <c r="C45" s="19" t="str">
        <f>Source!G33</f>
        <v>Разборка плинтусов поливинилхлоридных с креплением шурупами</v>
      </c>
      <c r="D45" s="20" t="str">
        <f>Source!H33</f>
        <v>100 м</v>
      </c>
      <c r="E45" s="9">
        <f>Source!I33</f>
        <v>0.32350000000000001</v>
      </c>
      <c r="F45" s="22"/>
      <c r="G45" s="21"/>
      <c r="H45" s="9"/>
      <c r="I45" s="9"/>
      <c r="J45" s="22"/>
      <c r="K45" s="22"/>
      <c r="Q45">
        <f>ROUND((Source!BZ33/100)*ROUND((Source!AF33*Source!AV33)*Source!I33, 2), 2)</f>
        <v>248.71</v>
      </c>
      <c r="R45">
        <f>Source!X33</f>
        <v>248.71</v>
      </c>
      <c r="S45">
        <f>ROUND((Source!CA33/100)*ROUND((Source!AF33*Source!AV33)*Source!I33, 2), 2)</f>
        <v>35.53</v>
      </c>
      <c r="T45">
        <f>Source!Y33</f>
        <v>35.53</v>
      </c>
      <c r="U45">
        <f>ROUND((175/100)*ROUND((Source!AE33*Source!AV33)*Source!I33, 2), 2)</f>
        <v>0</v>
      </c>
      <c r="V45">
        <f>ROUND((108/100)*ROUND(Source!CS33*Source!I33, 2), 2)</f>
        <v>0</v>
      </c>
    </row>
    <row r="46" spans="1:22" x14ac:dyDescent="0.2">
      <c r="C46" s="23" t="str">
        <f>"Объем: "&amp;Source!I33&amp;"=32,35/"&amp;"100"</f>
        <v>Объем: 0,3235=32,35/100</v>
      </c>
    </row>
    <row r="47" spans="1:22" ht="14.25" x14ac:dyDescent="0.2">
      <c r="A47" s="19"/>
      <c r="B47" s="19"/>
      <c r="C47" s="19" t="s">
        <v>521</v>
      </c>
      <c r="D47" s="20"/>
      <c r="E47" s="9"/>
      <c r="F47" s="22">
        <f>Source!AO33</f>
        <v>1098.29</v>
      </c>
      <c r="G47" s="21" t="str">
        <f>Source!DG33</f>
        <v/>
      </c>
      <c r="H47" s="9">
        <f>Source!AV33</f>
        <v>1</v>
      </c>
      <c r="I47" s="9">
        <f>IF(Source!BA33&lt;&gt; 0, Source!BA33, 1)</f>
        <v>1</v>
      </c>
      <c r="J47" s="22">
        <f>Source!S33</f>
        <v>355.3</v>
      </c>
      <c r="K47" s="22"/>
    </row>
    <row r="48" spans="1:22" ht="14.25" x14ac:dyDescent="0.2">
      <c r="A48" s="19"/>
      <c r="B48" s="19"/>
      <c r="C48" s="19" t="s">
        <v>522</v>
      </c>
      <c r="D48" s="20"/>
      <c r="E48" s="9"/>
      <c r="F48" s="22">
        <f>Source!AM33</f>
        <v>2.5299999999999998</v>
      </c>
      <c r="G48" s="21" t="str">
        <f>Source!DE33</f>
        <v/>
      </c>
      <c r="H48" s="9">
        <f>Source!AV33</f>
        <v>1</v>
      </c>
      <c r="I48" s="9">
        <f>IF(Source!BB33&lt;&gt; 0, Source!BB33, 1)</f>
        <v>1</v>
      </c>
      <c r="J48" s="22">
        <f>Source!Q33</f>
        <v>0.82</v>
      </c>
      <c r="K48" s="22"/>
    </row>
    <row r="49" spans="1:22" ht="14.25" x14ac:dyDescent="0.2">
      <c r="A49" s="19"/>
      <c r="B49" s="19"/>
      <c r="C49" s="19" t="s">
        <v>523</v>
      </c>
      <c r="D49" s="20" t="s">
        <v>524</v>
      </c>
      <c r="E49" s="9">
        <f>Source!AT33</f>
        <v>70</v>
      </c>
      <c r="F49" s="22"/>
      <c r="G49" s="21"/>
      <c r="H49" s="9"/>
      <c r="I49" s="9"/>
      <c r="J49" s="22">
        <f>SUM(R45:R48)</f>
        <v>248.71</v>
      </c>
      <c r="K49" s="22"/>
    </row>
    <row r="50" spans="1:22" ht="14.25" x14ac:dyDescent="0.2">
      <c r="A50" s="19"/>
      <c r="B50" s="19"/>
      <c r="C50" s="19" t="s">
        <v>525</v>
      </c>
      <c r="D50" s="20" t="s">
        <v>524</v>
      </c>
      <c r="E50" s="9">
        <f>Source!AU33</f>
        <v>10</v>
      </c>
      <c r="F50" s="22"/>
      <c r="G50" s="21"/>
      <c r="H50" s="9"/>
      <c r="I50" s="9"/>
      <c r="J50" s="22">
        <f>SUM(T45:T49)</f>
        <v>35.53</v>
      </c>
      <c r="K50" s="22"/>
    </row>
    <row r="51" spans="1:22" ht="14.25" x14ac:dyDescent="0.2">
      <c r="A51" s="19"/>
      <c r="B51" s="19"/>
      <c r="C51" s="19" t="s">
        <v>526</v>
      </c>
      <c r="D51" s="20" t="s">
        <v>527</v>
      </c>
      <c r="E51" s="9">
        <f>Source!AQ33</f>
        <v>2.78</v>
      </c>
      <c r="F51" s="22"/>
      <c r="G51" s="21" t="str">
        <f>Source!DI33</f>
        <v/>
      </c>
      <c r="H51" s="9">
        <f>Source!AV33</f>
        <v>1</v>
      </c>
      <c r="I51" s="9"/>
      <c r="J51" s="22"/>
      <c r="K51" s="22">
        <f>Source!U33</f>
        <v>0.89932999999999996</v>
      </c>
    </row>
    <row r="52" spans="1:22" ht="15" x14ac:dyDescent="0.25">
      <c r="A52" s="26"/>
      <c r="B52" s="26"/>
      <c r="C52" s="26"/>
      <c r="D52" s="26"/>
      <c r="E52" s="26"/>
      <c r="F52" s="26"/>
      <c r="G52" s="26"/>
      <c r="H52" s="26"/>
      <c r="I52" s="61">
        <f>J47+J48+J49+J50</f>
        <v>640.36</v>
      </c>
      <c r="J52" s="61"/>
      <c r="K52" s="27">
        <f>IF(Source!I33&lt;&gt;0, ROUND(I52/Source!I33, 2), 0)</f>
        <v>1979.47</v>
      </c>
      <c r="P52" s="24">
        <f>I52</f>
        <v>640.36</v>
      </c>
    </row>
    <row r="53" spans="1:22" ht="28.5" x14ac:dyDescent="0.2">
      <c r="A53" s="19">
        <v>3</v>
      </c>
      <c r="B53" s="19" t="str">
        <f>Source!F34</f>
        <v>1.10-3504-1-1/1</v>
      </c>
      <c r="C53" s="19" t="str">
        <f>Source!G34</f>
        <v>Разборка покрытий из линолеума и релина</v>
      </c>
      <c r="D53" s="20" t="str">
        <f>Source!H34</f>
        <v>100 м2</v>
      </c>
      <c r="E53" s="9">
        <f>Source!I34</f>
        <v>0.56100000000000005</v>
      </c>
      <c r="F53" s="22"/>
      <c r="G53" s="21"/>
      <c r="H53" s="9"/>
      <c r="I53" s="9"/>
      <c r="J53" s="22"/>
      <c r="K53" s="22"/>
      <c r="Q53">
        <f>ROUND((Source!BZ34/100)*ROUND((Source!AF34*Source!AV34)*Source!I34, 2), 2)</f>
        <v>1741.1</v>
      </c>
      <c r="R53">
        <f>Source!X34</f>
        <v>1741.1</v>
      </c>
      <c r="S53">
        <f>ROUND((Source!CA34/100)*ROUND((Source!AF34*Source!AV34)*Source!I34, 2), 2)</f>
        <v>248.73</v>
      </c>
      <c r="T53">
        <f>Source!Y34</f>
        <v>248.73</v>
      </c>
      <c r="U53">
        <f>ROUND((175/100)*ROUND((Source!AE34*Source!AV34)*Source!I34, 2), 2)</f>
        <v>0</v>
      </c>
      <c r="V53">
        <f>ROUND((108/100)*ROUND(Source!CS34*Source!I34, 2), 2)</f>
        <v>0</v>
      </c>
    </row>
    <row r="54" spans="1:22" x14ac:dyDescent="0.2">
      <c r="C54" s="23" t="str">
        <f>"Объем: "&amp;Source!I34&amp;"=56,1/"&amp;"100"</f>
        <v>Объем: 0,561=56,1/100</v>
      </c>
    </row>
    <row r="55" spans="1:22" ht="14.25" x14ac:dyDescent="0.2">
      <c r="A55" s="19"/>
      <c r="B55" s="19"/>
      <c r="C55" s="19" t="s">
        <v>521</v>
      </c>
      <c r="D55" s="20"/>
      <c r="E55" s="9"/>
      <c r="F55" s="22">
        <f>Source!AO34</f>
        <v>4433.67</v>
      </c>
      <c r="G55" s="21" t="str">
        <f>Source!DG34</f>
        <v/>
      </c>
      <c r="H55" s="9">
        <f>Source!AV34</f>
        <v>1</v>
      </c>
      <c r="I55" s="9">
        <f>IF(Source!BA34&lt;&gt; 0, Source!BA34, 1)</f>
        <v>1</v>
      </c>
      <c r="J55" s="22">
        <f>Source!S34</f>
        <v>2487.29</v>
      </c>
      <c r="K55" s="22"/>
    </row>
    <row r="56" spans="1:22" ht="14.25" x14ac:dyDescent="0.2">
      <c r="A56" s="19"/>
      <c r="B56" s="19"/>
      <c r="C56" s="19" t="s">
        <v>523</v>
      </c>
      <c r="D56" s="20" t="s">
        <v>524</v>
      </c>
      <c r="E56" s="9">
        <f>Source!AT34</f>
        <v>70</v>
      </c>
      <c r="F56" s="22"/>
      <c r="G56" s="21"/>
      <c r="H56" s="9"/>
      <c r="I56" s="9"/>
      <c r="J56" s="22">
        <f>SUM(R53:R55)</f>
        <v>1741.1</v>
      </c>
      <c r="K56" s="22"/>
    </row>
    <row r="57" spans="1:22" ht="14.25" x14ac:dyDescent="0.2">
      <c r="A57" s="19"/>
      <c r="B57" s="19"/>
      <c r="C57" s="19" t="s">
        <v>525</v>
      </c>
      <c r="D57" s="20" t="s">
        <v>524</v>
      </c>
      <c r="E57" s="9">
        <f>Source!AU34</f>
        <v>10</v>
      </c>
      <c r="F57" s="22"/>
      <c r="G57" s="21"/>
      <c r="H57" s="9"/>
      <c r="I57" s="9"/>
      <c r="J57" s="22">
        <f>SUM(T53:T56)</f>
        <v>248.73</v>
      </c>
      <c r="K57" s="22"/>
    </row>
    <row r="58" spans="1:22" ht="14.25" x14ac:dyDescent="0.2">
      <c r="A58" s="19"/>
      <c r="B58" s="19"/>
      <c r="C58" s="19" t="s">
        <v>526</v>
      </c>
      <c r="D58" s="20" t="s">
        <v>527</v>
      </c>
      <c r="E58" s="9">
        <f>Source!AQ34</f>
        <v>11.39</v>
      </c>
      <c r="F58" s="22"/>
      <c r="G58" s="21" t="str">
        <f>Source!DI34</f>
        <v/>
      </c>
      <c r="H58" s="9">
        <f>Source!AV34</f>
        <v>1</v>
      </c>
      <c r="I58" s="9"/>
      <c r="J58" s="22"/>
      <c r="K58" s="22">
        <f>Source!U34</f>
        <v>6.3897900000000005</v>
      </c>
    </row>
    <row r="59" spans="1:22" ht="15" x14ac:dyDescent="0.25">
      <c r="A59" s="26"/>
      <c r="B59" s="26"/>
      <c r="C59" s="26"/>
      <c r="D59" s="26"/>
      <c r="E59" s="26"/>
      <c r="F59" s="26"/>
      <c r="G59" s="26"/>
      <c r="H59" s="26"/>
      <c r="I59" s="61">
        <f>J55+J56+J57</f>
        <v>4477.119999999999</v>
      </c>
      <c r="J59" s="61"/>
      <c r="K59" s="27">
        <f>IF(Source!I34&lt;&gt;0, ROUND(I59/Source!I34, 2), 0)</f>
        <v>7980.61</v>
      </c>
      <c r="P59" s="24">
        <f>I59</f>
        <v>4477.119999999999</v>
      </c>
    </row>
    <row r="60" spans="1:22" ht="42.75" x14ac:dyDescent="0.2">
      <c r="A60" s="19">
        <v>4</v>
      </c>
      <c r="B60" s="19" t="str">
        <f>Source!F35</f>
        <v>1.10-3103-2-11/1</v>
      </c>
      <c r="C60" s="19" t="str">
        <f>Source!G35</f>
        <v>Устройство самовыравнивающихся стяжек из специализированных сухих смесей толщиной 5 мм</v>
      </c>
      <c r="D60" s="20" t="str">
        <f>Source!H35</f>
        <v>100 м2</v>
      </c>
      <c r="E60" s="9">
        <f>Source!I35</f>
        <v>0.56100000000000005</v>
      </c>
      <c r="F60" s="22"/>
      <c r="G60" s="21"/>
      <c r="H60" s="9"/>
      <c r="I60" s="9"/>
      <c r="J60" s="22"/>
      <c r="K60" s="22"/>
      <c r="Q60">
        <f>ROUND((Source!BZ35/100)*ROUND((Source!AF35*Source!AV35)*Source!I35, 2), 2)</f>
        <v>7019.75</v>
      </c>
      <c r="R60">
        <f>Source!X35</f>
        <v>7019.75</v>
      </c>
      <c r="S60">
        <f>ROUND((Source!CA35/100)*ROUND((Source!AF35*Source!AV35)*Source!I35, 2), 2)</f>
        <v>1002.82</v>
      </c>
      <c r="T60">
        <f>Source!Y35</f>
        <v>1002.82</v>
      </c>
      <c r="U60">
        <f>ROUND((175/100)*ROUND((Source!AE35*Source!AV35)*Source!I35, 2), 2)</f>
        <v>26.23</v>
      </c>
      <c r="V60">
        <f>ROUND((108/100)*ROUND(Source!CS35*Source!I35, 2), 2)</f>
        <v>16.190000000000001</v>
      </c>
    </row>
    <row r="61" spans="1:22" x14ac:dyDescent="0.2">
      <c r="C61" s="23" t="str">
        <f>"Объем: "&amp;Source!I35&amp;"=56,1/"&amp;"100"</f>
        <v>Объем: 0,561=56,1/100</v>
      </c>
    </row>
    <row r="62" spans="1:22" ht="14.25" x14ac:dyDescent="0.2">
      <c r="A62" s="19"/>
      <c r="B62" s="19"/>
      <c r="C62" s="19" t="s">
        <v>521</v>
      </c>
      <c r="D62" s="20"/>
      <c r="E62" s="9"/>
      <c r="F62" s="22">
        <f>Source!AO35</f>
        <v>17875.61</v>
      </c>
      <c r="G62" s="21" t="str">
        <f>Source!DG35</f>
        <v/>
      </c>
      <c r="H62" s="9">
        <f>Source!AV35</f>
        <v>1</v>
      </c>
      <c r="I62" s="9">
        <f>IF(Source!BA35&lt;&gt; 0, Source!BA35, 1)</f>
        <v>1</v>
      </c>
      <c r="J62" s="22">
        <f>Source!S35</f>
        <v>10028.219999999999</v>
      </c>
      <c r="K62" s="22"/>
    </row>
    <row r="63" spans="1:22" ht="14.25" x14ac:dyDescent="0.2">
      <c r="A63" s="19"/>
      <c r="B63" s="19"/>
      <c r="C63" s="19" t="s">
        <v>522</v>
      </c>
      <c r="D63" s="20"/>
      <c r="E63" s="9"/>
      <c r="F63" s="22">
        <f>Source!AM35</f>
        <v>242.43</v>
      </c>
      <c r="G63" s="21" t="str">
        <f>Source!DE35</f>
        <v/>
      </c>
      <c r="H63" s="9">
        <f>Source!AV35</f>
        <v>1</v>
      </c>
      <c r="I63" s="9">
        <f>IF(Source!BB35&lt;&gt; 0, Source!BB35, 1)</f>
        <v>1</v>
      </c>
      <c r="J63" s="22">
        <f>Source!Q35</f>
        <v>136</v>
      </c>
      <c r="K63" s="22"/>
    </row>
    <row r="64" spans="1:22" ht="14.25" x14ac:dyDescent="0.2">
      <c r="A64" s="19"/>
      <c r="B64" s="19"/>
      <c r="C64" s="19" t="s">
        <v>528</v>
      </c>
      <c r="D64" s="20"/>
      <c r="E64" s="9"/>
      <c r="F64" s="22">
        <f>Source!AN35</f>
        <v>26.72</v>
      </c>
      <c r="G64" s="21" t="str">
        <f>Source!DF35</f>
        <v/>
      </c>
      <c r="H64" s="9">
        <f>Source!AV35</f>
        <v>1</v>
      </c>
      <c r="I64" s="9">
        <f>IF(Source!BS35&lt;&gt; 0, Source!BS35, 1)</f>
        <v>1</v>
      </c>
      <c r="J64" s="28">
        <f>Source!R35</f>
        <v>14.99</v>
      </c>
      <c r="K64" s="22"/>
    </row>
    <row r="65" spans="1:22" ht="14.25" x14ac:dyDescent="0.2">
      <c r="A65" s="19"/>
      <c r="B65" s="19"/>
      <c r="C65" s="19" t="s">
        <v>529</v>
      </c>
      <c r="D65" s="20"/>
      <c r="E65" s="9"/>
      <c r="F65" s="22">
        <f>Source!AL35</f>
        <v>50429.440000000002</v>
      </c>
      <c r="G65" s="21" t="str">
        <f>Source!DD35</f>
        <v/>
      </c>
      <c r="H65" s="9">
        <f>Source!AW35</f>
        <v>1</v>
      </c>
      <c r="I65" s="9">
        <f>IF(Source!BC35&lt;&gt; 0, Source!BC35, 1)</f>
        <v>1</v>
      </c>
      <c r="J65" s="22">
        <f>Source!P35</f>
        <v>28290.92</v>
      </c>
      <c r="K65" s="22"/>
    </row>
    <row r="66" spans="1:22" ht="14.25" x14ac:dyDescent="0.2">
      <c r="A66" s="19"/>
      <c r="B66" s="19"/>
      <c r="C66" s="19" t="s">
        <v>523</v>
      </c>
      <c r="D66" s="20" t="s">
        <v>524</v>
      </c>
      <c r="E66" s="9">
        <f>Source!AT35</f>
        <v>70</v>
      </c>
      <c r="F66" s="22"/>
      <c r="G66" s="21"/>
      <c r="H66" s="9"/>
      <c r="I66" s="9"/>
      <c r="J66" s="22">
        <f>SUM(R60:R65)</f>
        <v>7019.75</v>
      </c>
      <c r="K66" s="22"/>
    </row>
    <row r="67" spans="1:22" ht="14.25" x14ac:dyDescent="0.2">
      <c r="A67" s="19"/>
      <c r="B67" s="19"/>
      <c r="C67" s="19" t="s">
        <v>525</v>
      </c>
      <c r="D67" s="20" t="s">
        <v>524</v>
      </c>
      <c r="E67" s="9">
        <f>Source!AU35</f>
        <v>10</v>
      </c>
      <c r="F67" s="22"/>
      <c r="G67" s="21"/>
      <c r="H67" s="9"/>
      <c r="I67" s="9"/>
      <c r="J67" s="22">
        <f>SUM(T60:T66)</f>
        <v>1002.82</v>
      </c>
      <c r="K67" s="22"/>
    </row>
    <row r="68" spans="1:22" ht="14.25" x14ac:dyDescent="0.2">
      <c r="A68" s="19"/>
      <c r="B68" s="19"/>
      <c r="C68" s="19" t="s">
        <v>530</v>
      </c>
      <c r="D68" s="20" t="s">
        <v>524</v>
      </c>
      <c r="E68" s="9">
        <f>108</f>
        <v>108</v>
      </c>
      <c r="F68" s="22"/>
      <c r="G68" s="21"/>
      <c r="H68" s="9"/>
      <c r="I68" s="9"/>
      <c r="J68" s="22">
        <f>SUM(V60:V67)</f>
        <v>16.190000000000001</v>
      </c>
      <c r="K68" s="22"/>
    </row>
    <row r="69" spans="1:22" ht="14.25" x14ac:dyDescent="0.2">
      <c r="A69" s="19"/>
      <c r="B69" s="19"/>
      <c r="C69" s="19" t="s">
        <v>526</v>
      </c>
      <c r="D69" s="20" t="s">
        <v>527</v>
      </c>
      <c r="E69" s="9">
        <f>Source!AQ35</f>
        <v>37.97</v>
      </c>
      <c r="F69" s="22"/>
      <c r="G69" s="21" t="str">
        <f>Source!DI35</f>
        <v/>
      </c>
      <c r="H69" s="9">
        <f>Source!AV35</f>
        <v>1</v>
      </c>
      <c r="I69" s="9"/>
      <c r="J69" s="22"/>
      <c r="K69" s="22">
        <f>Source!U35</f>
        <v>21.301170000000003</v>
      </c>
    </row>
    <row r="70" spans="1:22" ht="15" x14ac:dyDescent="0.25">
      <c r="A70" s="26"/>
      <c r="B70" s="26"/>
      <c r="C70" s="26"/>
      <c r="D70" s="26"/>
      <c r="E70" s="26"/>
      <c r="F70" s="26"/>
      <c r="G70" s="26"/>
      <c r="H70" s="26"/>
      <c r="I70" s="61">
        <f>J62+J63+J65+J66+J67+J68</f>
        <v>46493.9</v>
      </c>
      <c r="J70" s="61"/>
      <c r="K70" s="27">
        <f>IF(Source!I35&lt;&gt;0, ROUND(I70/Source!I35, 2), 0)</f>
        <v>82876.83</v>
      </c>
      <c r="P70" s="24">
        <f>I70</f>
        <v>46493.9</v>
      </c>
    </row>
    <row r="71" spans="1:22" ht="57" x14ac:dyDescent="0.2">
      <c r="A71" s="19">
        <v>5</v>
      </c>
      <c r="B71" s="19" t="str">
        <f>Source!F36</f>
        <v>1.10-3503-1-5/2</v>
      </c>
      <c r="C71" s="19" t="str">
        <f>Source!G36</f>
        <v>Устройство покрытий на клее из линолеума высокой износостойкости толщиной 2 мм, истираемостью группы Р со сваркой стыков</v>
      </c>
      <c r="D71" s="20" t="str">
        <f>Source!H36</f>
        <v>100 м2</v>
      </c>
      <c r="E71" s="9">
        <f>Source!I36</f>
        <v>0.56100000000000005</v>
      </c>
      <c r="F71" s="22"/>
      <c r="G71" s="21"/>
      <c r="H71" s="9"/>
      <c r="I71" s="9"/>
      <c r="J71" s="22"/>
      <c r="K71" s="22"/>
      <c r="Q71">
        <f>ROUND((Source!BZ36/100)*ROUND((Source!AF36*Source!AV36)*Source!I36, 2), 2)</f>
        <v>11138.02</v>
      </c>
      <c r="R71">
        <f>Source!X36</f>
        <v>11138.02</v>
      </c>
      <c r="S71">
        <f>ROUND((Source!CA36/100)*ROUND((Source!AF36*Source!AV36)*Source!I36, 2), 2)</f>
        <v>1591.15</v>
      </c>
      <c r="T71">
        <f>Source!Y36</f>
        <v>1591.15</v>
      </c>
      <c r="U71">
        <f>ROUND((175/100)*ROUND((Source!AE36*Source!AV36)*Source!I36, 2), 2)</f>
        <v>2.0299999999999998</v>
      </c>
      <c r="V71">
        <f>ROUND((108/100)*ROUND(Source!CS36*Source!I36, 2), 2)</f>
        <v>1.25</v>
      </c>
    </row>
    <row r="72" spans="1:22" x14ac:dyDescent="0.2">
      <c r="C72" s="23" t="str">
        <f>"Объем: "&amp;Source!I36&amp;"=56,1/"&amp;"100"</f>
        <v>Объем: 0,561=56,1/100</v>
      </c>
    </row>
    <row r="73" spans="1:22" ht="14.25" x14ac:dyDescent="0.2">
      <c r="A73" s="19"/>
      <c r="B73" s="19"/>
      <c r="C73" s="19" t="s">
        <v>521</v>
      </c>
      <c r="D73" s="20"/>
      <c r="E73" s="9"/>
      <c r="F73" s="22">
        <f>Source!AO36</f>
        <v>28362.65</v>
      </c>
      <c r="G73" s="21" t="str">
        <f>Source!DG36</f>
        <v/>
      </c>
      <c r="H73" s="9">
        <f>Source!AV36</f>
        <v>1</v>
      </c>
      <c r="I73" s="9">
        <f>IF(Source!BA36&lt;&gt; 0, Source!BA36, 1)</f>
        <v>1</v>
      </c>
      <c r="J73" s="22">
        <f>Source!S36</f>
        <v>15911.45</v>
      </c>
      <c r="K73" s="22"/>
    </row>
    <row r="74" spans="1:22" ht="14.25" x14ac:dyDescent="0.2">
      <c r="A74" s="19"/>
      <c r="B74" s="19"/>
      <c r="C74" s="19" t="s">
        <v>522</v>
      </c>
      <c r="D74" s="20"/>
      <c r="E74" s="9"/>
      <c r="F74" s="22">
        <f>Source!AM36</f>
        <v>425.55</v>
      </c>
      <c r="G74" s="21" t="str">
        <f>Source!DE36</f>
        <v/>
      </c>
      <c r="H74" s="9">
        <f>Source!AV36</f>
        <v>1</v>
      </c>
      <c r="I74" s="9">
        <f>IF(Source!BB36&lt;&gt; 0, Source!BB36, 1)</f>
        <v>1</v>
      </c>
      <c r="J74" s="22">
        <f>Source!Q36</f>
        <v>238.73</v>
      </c>
      <c r="K74" s="22"/>
    </row>
    <row r="75" spans="1:22" ht="14.25" x14ac:dyDescent="0.2">
      <c r="A75" s="19"/>
      <c r="B75" s="19"/>
      <c r="C75" s="19" t="s">
        <v>528</v>
      </c>
      <c r="D75" s="20"/>
      <c r="E75" s="9"/>
      <c r="F75" s="22">
        <f>Source!AN36</f>
        <v>2.0699999999999998</v>
      </c>
      <c r="G75" s="21" t="str">
        <f>Source!DF36</f>
        <v/>
      </c>
      <c r="H75" s="9">
        <f>Source!AV36</f>
        <v>1</v>
      </c>
      <c r="I75" s="9">
        <f>IF(Source!BS36&lt;&gt; 0, Source!BS36, 1)</f>
        <v>1</v>
      </c>
      <c r="J75" s="28">
        <f>Source!R36</f>
        <v>1.1599999999999999</v>
      </c>
      <c r="K75" s="22"/>
    </row>
    <row r="76" spans="1:22" ht="14.25" x14ac:dyDescent="0.2">
      <c r="A76" s="19"/>
      <c r="B76" s="19"/>
      <c r="C76" s="19" t="s">
        <v>529</v>
      </c>
      <c r="D76" s="20"/>
      <c r="E76" s="9"/>
      <c r="F76" s="22">
        <f>Source!AL36</f>
        <v>132412.01999999999</v>
      </c>
      <c r="G76" s="21" t="str">
        <f>Source!DD36</f>
        <v/>
      </c>
      <c r="H76" s="9">
        <f>Source!AW36</f>
        <v>1</v>
      </c>
      <c r="I76" s="9">
        <f>IF(Source!BC36&lt;&gt; 0, Source!BC36, 1)</f>
        <v>1</v>
      </c>
      <c r="J76" s="22">
        <f>Source!P36</f>
        <v>74283.14</v>
      </c>
      <c r="K76" s="22"/>
    </row>
    <row r="77" spans="1:22" ht="14.25" x14ac:dyDescent="0.2">
      <c r="A77" s="19"/>
      <c r="B77" s="19"/>
      <c r="C77" s="19" t="s">
        <v>523</v>
      </c>
      <c r="D77" s="20" t="s">
        <v>524</v>
      </c>
      <c r="E77" s="9">
        <f>Source!AT36</f>
        <v>70</v>
      </c>
      <c r="F77" s="22"/>
      <c r="G77" s="21"/>
      <c r="H77" s="9"/>
      <c r="I77" s="9"/>
      <c r="J77" s="22">
        <f>SUM(R71:R76)</f>
        <v>11138.02</v>
      </c>
      <c r="K77" s="22"/>
    </row>
    <row r="78" spans="1:22" ht="14.25" x14ac:dyDescent="0.2">
      <c r="A78" s="19"/>
      <c r="B78" s="19"/>
      <c r="C78" s="19" t="s">
        <v>525</v>
      </c>
      <c r="D78" s="20" t="s">
        <v>524</v>
      </c>
      <c r="E78" s="9">
        <f>Source!AU36</f>
        <v>10</v>
      </c>
      <c r="F78" s="22"/>
      <c r="G78" s="21"/>
      <c r="H78" s="9"/>
      <c r="I78" s="9"/>
      <c r="J78" s="22">
        <f>SUM(T71:T77)</f>
        <v>1591.15</v>
      </c>
      <c r="K78" s="22"/>
    </row>
    <row r="79" spans="1:22" ht="14.25" x14ac:dyDescent="0.2">
      <c r="A79" s="19"/>
      <c r="B79" s="19"/>
      <c r="C79" s="19" t="s">
        <v>530</v>
      </c>
      <c r="D79" s="20" t="s">
        <v>524</v>
      </c>
      <c r="E79" s="9">
        <f>108</f>
        <v>108</v>
      </c>
      <c r="F79" s="22"/>
      <c r="G79" s="21"/>
      <c r="H79" s="9"/>
      <c r="I79" s="9"/>
      <c r="J79" s="22">
        <f>SUM(V71:V78)</f>
        <v>1.25</v>
      </c>
      <c r="K79" s="22"/>
    </row>
    <row r="80" spans="1:22" ht="14.25" x14ac:dyDescent="0.2">
      <c r="A80" s="19"/>
      <c r="B80" s="19"/>
      <c r="C80" s="19" t="s">
        <v>526</v>
      </c>
      <c r="D80" s="20" t="s">
        <v>527</v>
      </c>
      <c r="E80" s="9">
        <f>Source!AQ36</f>
        <v>60.04</v>
      </c>
      <c r="F80" s="22"/>
      <c r="G80" s="21" t="str">
        <f>Source!DI36</f>
        <v/>
      </c>
      <c r="H80" s="9">
        <f>Source!AV36</f>
        <v>1</v>
      </c>
      <c r="I80" s="9"/>
      <c r="J80" s="22"/>
      <c r="K80" s="22">
        <f>Source!U36</f>
        <v>33.68244</v>
      </c>
    </row>
    <row r="81" spans="1:22" ht="15" x14ac:dyDescent="0.25">
      <c r="A81" s="26"/>
      <c r="B81" s="26"/>
      <c r="C81" s="26"/>
      <c r="D81" s="26"/>
      <c r="E81" s="26"/>
      <c r="F81" s="26"/>
      <c r="G81" s="26"/>
      <c r="H81" s="26"/>
      <c r="I81" s="61">
        <f>J73+J74+J76+J77+J78+J79</f>
        <v>103163.74</v>
      </c>
      <c r="J81" s="61"/>
      <c r="K81" s="27">
        <f>IF(Source!I36&lt;&gt;0, ROUND(I81/Source!I36, 2), 0)</f>
        <v>183892.58</v>
      </c>
      <c r="P81" s="24">
        <f>I81</f>
        <v>103163.74</v>
      </c>
    </row>
    <row r="82" spans="1:22" ht="28.5" x14ac:dyDescent="0.2">
      <c r="A82" s="19">
        <v>6</v>
      </c>
      <c r="B82" s="19" t="str">
        <f>Source!F37</f>
        <v>1.10-3803-1-2/1</v>
      </c>
      <c r="C82" s="19" t="str">
        <f>Source!G37</f>
        <v>Устройство плинтусов неокрашенных из древесины хвойных пород</v>
      </c>
      <c r="D82" s="20" t="str">
        <f>Source!H37</f>
        <v>100 м</v>
      </c>
      <c r="E82" s="9">
        <f>Source!I37</f>
        <v>0.33</v>
      </c>
      <c r="F82" s="22"/>
      <c r="G82" s="21"/>
      <c r="H82" s="9"/>
      <c r="I82" s="9"/>
      <c r="J82" s="22"/>
      <c r="K82" s="22"/>
      <c r="Q82">
        <f>ROUND((Source!BZ37/100)*ROUND((Source!AF37*Source!AV37)*Source!I37, 2), 2)</f>
        <v>885.06</v>
      </c>
      <c r="R82">
        <f>Source!X37</f>
        <v>885.06</v>
      </c>
      <c r="S82">
        <f>ROUND((Source!CA37/100)*ROUND((Source!AF37*Source!AV37)*Source!I37, 2), 2)</f>
        <v>126.44</v>
      </c>
      <c r="T82">
        <f>Source!Y37</f>
        <v>126.44</v>
      </c>
      <c r="U82">
        <f>ROUND((175/100)*ROUND((Source!AE37*Source!AV37)*Source!I37, 2), 2)</f>
        <v>0</v>
      </c>
      <c r="V82">
        <f>ROUND((108/100)*ROUND(Source!CS37*Source!I37, 2), 2)</f>
        <v>0</v>
      </c>
    </row>
    <row r="83" spans="1:22" x14ac:dyDescent="0.2">
      <c r="C83" s="23" t="str">
        <f>"Объем: "&amp;Source!I37&amp;"=33/"&amp;"100"</f>
        <v>Объем: 0,33=33/100</v>
      </c>
    </row>
    <row r="84" spans="1:22" ht="14.25" x14ac:dyDescent="0.2">
      <c r="A84" s="19"/>
      <c r="B84" s="19"/>
      <c r="C84" s="19" t="s">
        <v>521</v>
      </c>
      <c r="D84" s="20"/>
      <c r="E84" s="9"/>
      <c r="F84" s="22">
        <f>Source!AO37</f>
        <v>3831.43</v>
      </c>
      <c r="G84" s="21" t="str">
        <f>Source!DG37</f>
        <v/>
      </c>
      <c r="H84" s="9">
        <f>Source!AV37</f>
        <v>1</v>
      </c>
      <c r="I84" s="9">
        <f>IF(Source!BA37&lt;&gt; 0, Source!BA37, 1)</f>
        <v>1</v>
      </c>
      <c r="J84" s="22">
        <f>Source!S37</f>
        <v>1264.3699999999999</v>
      </c>
      <c r="K84" s="22"/>
    </row>
    <row r="85" spans="1:22" ht="14.25" x14ac:dyDescent="0.2">
      <c r="A85" s="19"/>
      <c r="B85" s="19"/>
      <c r="C85" s="19" t="s">
        <v>529</v>
      </c>
      <c r="D85" s="20"/>
      <c r="E85" s="9"/>
      <c r="F85" s="22">
        <f>Source!AL37</f>
        <v>3955.76</v>
      </c>
      <c r="G85" s="21" t="str">
        <f>Source!DD37</f>
        <v/>
      </c>
      <c r="H85" s="9">
        <f>Source!AW37</f>
        <v>1</v>
      </c>
      <c r="I85" s="9">
        <f>IF(Source!BC37&lt;&gt; 0, Source!BC37, 1)</f>
        <v>1</v>
      </c>
      <c r="J85" s="22">
        <f>Source!P37</f>
        <v>1305.4000000000001</v>
      </c>
      <c r="K85" s="22"/>
    </row>
    <row r="86" spans="1:22" ht="55.5" x14ac:dyDescent="0.2">
      <c r="A86" s="19" t="s">
        <v>46</v>
      </c>
      <c r="B86" s="19" t="str">
        <f>Source!F38</f>
        <v>цена пост.</v>
      </c>
      <c r="C86" s="19" t="s">
        <v>531</v>
      </c>
      <c r="D86" s="20" t="str">
        <f>Source!H38</f>
        <v>м</v>
      </c>
      <c r="E86" s="9">
        <f>Source!I38</f>
        <v>34.65</v>
      </c>
      <c r="F86" s="22">
        <f>Source!AK38</f>
        <v>87.13</v>
      </c>
      <c r="G86" s="29" t="s">
        <v>3</v>
      </c>
      <c r="H86" s="9">
        <f>Source!AW38</f>
        <v>1</v>
      </c>
      <c r="I86" s="9">
        <f>IF(Source!BC38&lt;&gt; 0, Source!BC38, 1)</f>
        <v>1</v>
      </c>
      <c r="J86" s="22">
        <f>Source!O38</f>
        <v>3019.05</v>
      </c>
      <c r="K86" s="22"/>
      <c r="Q86">
        <f>ROUND((Source!BZ38/100)*ROUND((Source!AF38*Source!AV38)*Source!I38, 2), 2)</f>
        <v>0</v>
      </c>
      <c r="R86">
        <f>Source!X38</f>
        <v>0</v>
      </c>
      <c r="S86">
        <f>ROUND((Source!CA38/100)*ROUND((Source!AF38*Source!AV38)*Source!I38, 2), 2)</f>
        <v>0</v>
      </c>
      <c r="T86">
        <f>Source!Y38</f>
        <v>0</v>
      </c>
      <c r="U86">
        <f>ROUND((175/100)*ROUND((Source!AE38*Source!AV38)*Source!I38, 2), 2)</f>
        <v>0</v>
      </c>
      <c r="V86">
        <f>ROUND((108/100)*ROUND(Source!CS38*Source!I38, 2), 2)</f>
        <v>0</v>
      </c>
    </row>
    <row r="87" spans="1:22" ht="42.75" x14ac:dyDescent="0.2">
      <c r="A87" s="19" t="s">
        <v>52</v>
      </c>
      <c r="B87" s="19" t="str">
        <f>Source!F39</f>
        <v>21.9-12-58</v>
      </c>
      <c r="C87" s="19" t="s">
        <v>532</v>
      </c>
      <c r="D87" s="20" t="str">
        <f>Source!H39</f>
        <v>м</v>
      </c>
      <c r="E87" s="9">
        <f>Source!I39</f>
        <v>-34.65</v>
      </c>
      <c r="F87" s="22">
        <f>Source!AK39</f>
        <v>37.29</v>
      </c>
      <c r="G87" s="29" t="s">
        <v>3</v>
      </c>
      <c r="H87" s="9">
        <f>Source!AW39</f>
        <v>1</v>
      </c>
      <c r="I87" s="9">
        <f>IF(Source!BC39&lt;&gt; 0, Source!BC39, 1)</f>
        <v>1</v>
      </c>
      <c r="J87" s="22">
        <f>Source!O39</f>
        <v>-1292.0999999999999</v>
      </c>
      <c r="K87" s="22"/>
      <c r="Q87">
        <f>ROUND((Source!BZ39/100)*ROUND((Source!AF39*Source!AV39)*Source!I39, 2), 2)</f>
        <v>0</v>
      </c>
      <c r="R87">
        <f>Source!X39</f>
        <v>0</v>
      </c>
      <c r="S87">
        <f>ROUND((Source!CA39/100)*ROUND((Source!AF39*Source!AV39)*Source!I39, 2), 2)</f>
        <v>0</v>
      </c>
      <c r="T87">
        <f>Source!Y39</f>
        <v>0</v>
      </c>
      <c r="U87">
        <f>ROUND((175/100)*ROUND((Source!AE39*Source!AV39)*Source!I39, 2), 2)</f>
        <v>0</v>
      </c>
      <c r="V87">
        <f>ROUND((108/100)*ROUND(Source!CS39*Source!I39, 2), 2)</f>
        <v>0</v>
      </c>
    </row>
    <row r="88" spans="1:22" ht="14.25" x14ac:dyDescent="0.2">
      <c r="A88" s="19"/>
      <c r="B88" s="19"/>
      <c r="C88" s="19" t="s">
        <v>523</v>
      </c>
      <c r="D88" s="20" t="s">
        <v>524</v>
      </c>
      <c r="E88" s="9">
        <f>Source!AT37</f>
        <v>70</v>
      </c>
      <c r="F88" s="22"/>
      <c r="G88" s="21"/>
      <c r="H88" s="9"/>
      <c r="I88" s="9"/>
      <c r="J88" s="22">
        <f>SUM(R82:R87)</f>
        <v>885.06</v>
      </c>
      <c r="K88" s="22"/>
    </row>
    <row r="89" spans="1:22" ht="14.25" x14ac:dyDescent="0.2">
      <c r="A89" s="19"/>
      <c r="B89" s="19"/>
      <c r="C89" s="19" t="s">
        <v>525</v>
      </c>
      <c r="D89" s="20" t="s">
        <v>524</v>
      </c>
      <c r="E89" s="9">
        <f>Source!AU37</f>
        <v>10</v>
      </c>
      <c r="F89" s="22"/>
      <c r="G89" s="21"/>
      <c r="H89" s="9"/>
      <c r="I89" s="9"/>
      <c r="J89" s="22">
        <f>SUM(T82:T88)</f>
        <v>126.44</v>
      </c>
      <c r="K89" s="22"/>
    </row>
    <row r="90" spans="1:22" ht="14.25" x14ac:dyDescent="0.2">
      <c r="A90" s="19"/>
      <c r="B90" s="19"/>
      <c r="C90" s="19" t="s">
        <v>526</v>
      </c>
      <c r="D90" s="20" t="s">
        <v>527</v>
      </c>
      <c r="E90" s="9">
        <f>Source!AQ37</f>
        <v>8.8000000000000007</v>
      </c>
      <c r="F90" s="22"/>
      <c r="G90" s="21" t="str">
        <f>Source!DI37</f>
        <v/>
      </c>
      <c r="H90" s="9">
        <f>Source!AV37</f>
        <v>1</v>
      </c>
      <c r="I90" s="9"/>
      <c r="J90" s="22"/>
      <c r="K90" s="22">
        <f>Source!U37</f>
        <v>2.9040000000000004</v>
      </c>
    </row>
    <row r="91" spans="1:22" ht="15" x14ac:dyDescent="0.25">
      <c r="A91" s="26"/>
      <c r="B91" s="26"/>
      <c r="C91" s="26"/>
      <c r="D91" s="26"/>
      <c r="E91" s="26"/>
      <c r="F91" s="26"/>
      <c r="G91" s="26"/>
      <c r="H91" s="26"/>
      <c r="I91" s="61">
        <f>J84+J85+J88+J89+SUM(J86:J87)</f>
        <v>5308.22</v>
      </c>
      <c r="J91" s="61"/>
      <c r="K91" s="27">
        <f>IF(Source!I37&lt;&gt;0, ROUND(I91/Source!I37, 2), 0)</f>
        <v>16085.52</v>
      </c>
      <c r="P91" s="24">
        <f>I91</f>
        <v>5308.22</v>
      </c>
    </row>
    <row r="92" spans="1:22" ht="57" x14ac:dyDescent="0.2">
      <c r="A92" s="19">
        <v>7</v>
      </c>
      <c r="B92" s="19" t="str">
        <f>Source!F40</f>
        <v>1.10-3403-5-6/1</v>
      </c>
      <c r="C92" s="19" t="str">
        <f>Source!G40</f>
        <v>Покрытие полов лаком по огрунтованной или окрашенной поверхности за 2 раза (покрытие плинтуса морилкой)</v>
      </c>
      <c r="D92" s="20" t="str">
        <f>Source!H40</f>
        <v>100 м2</v>
      </c>
      <c r="E92" s="9">
        <f>Source!I40</f>
        <v>1.6E-2</v>
      </c>
      <c r="F92" s="22"/>
      <c r="G92" s="21"/>
      <c r="H92" s="9"/>
      <c r="I92" s="9"/>
      <c r="J92" s="22"/>
      <c r="K92" s="22"/>
      <c r="Q92">
        <f>ROUND((Source!BZ40/100)*ROUND((Source!AF40*Source!AV40)*Source!I40, 2), 2)</f>
        <v>79.95</v>
      </c>
      <c r="R92">
        <f>Source!X40</f>
        <v>79.95</v>
      </c>
      <c r="S92">
        <f>ROUND((Source!CA40/100)*ROUND((Source!AF40*Source!AV40)*Source!I40, 2), 2)</f>
        <v>11.42</v>
      </c>
      <c r="T92">
        <f>Source!Y40</f>
        <v>11.42</v>
      </c>
      <c r="U92">
        <f>ROUND((175/100)*ROUND((Source!AE40*Source!AV40)*Source!I40, 2), 2)</f>
        <v>0</v>
      </c>
      <c r="V92">
        <f>ROUND((108/100)*ROUND(Source!CS40*Source!I40, 2), 2)</f>
        <v>0</v>
      </c>
    </row>
    <row r="93" spans="1:22" x14ac:dyDescent="0.2">
      <c r="C93" s="23" t="str">
        <f>"Объем: "&amp;Source!I40&amp;"=1,6/"&amp;"100"</f>
        <v>Объем: 0,016=1,6/100</v>
      </c>
    </row>
    <row r="94" spans="1:22" ht="14.25" x14ac:dyDescent="0.2">
      <c r="A94" s="19"/>
      <c r="B94" s="19"/>
      <c r="C94" s="19" t="s">
        <v>521</v>
      </c>
      <c r="D94" s="20"/>
      <c r="E94" s="9"/>
      <c r="F94" s="22">
        <f>Source!AO40</f>
        <v>7138.1</v>
      </c>
      <c r="G94" s="21" t="str">
        <f>Source!DG40</f>
        <v/>
      </c>
      <c r="H94" s="9">
        <f>Source!AV40</f>
        <v>1</v>
      </c>
      <c r="I94" s="9">
        <f>IF(Source!BA40&lt;&gt; 0, Source!BA40, 1)</f>
        <v>1</v>
      </c>
      <c r="J94" s="22">
        <f>Source!S40</f>
        <v>114.21</v>
      </c>
      <c r="K94" s="22"/>
    </row>
    <row r="95" spans="1:22" ht="14.25" x14ac:dyDescent="0.2">
      <c r="A95" s="19"/>
      <c r="B95" s="19"/>
      <c r="C95" s="19" t="s">
        <v>529</v>
      </c>
      <c r="D95" s="20"/>
      <c r="E95" s="9"/>
      <c r="F95" s="22">
        <f>Source!AL40</f>
        <v>5145.8599999999997</v>
      </c>
      <c r="G95" s="21" t="str">
        <f>Source!DD40</f>
        <v/>
      </c>
      <c r="H95" s="9">
        <f>Source!AW40</f>
        <v>1</v>
      </c>
      <c r="I95" s="9">
        <f>IF(Source!BC40&lt;&gt; 0, Source!BC40, 1)</f>
        <v>1</v>
      </c>
      <c r="J95" s="22">
        <f>Source!P40</f>
        <v>82.33</v>
      </c>
      <c r="K95" s="22"/>
    </row>
    <row r="96" spans="1:22" ht="14.25" x14ac:dyDescent="0.2">
      <c r="A96" s="19" t="s">
        <v>60</v>
      </c>
      <c r="B96" s="19" t="str">
        <f>Source!F41</f>
        <v>21.1-8-4</v>
      </c>
      <c r="C96" s="19" t="str">
        <f>Source!G41</f>
        <v>Морилка натуральная (в 2 слоя)</v>
      </c>
      <c r="D96" s="20" t="str">
        <f>Source!H41</f>
        <v>кг</v>
      </c>
      <c r="E96" s="9">
        <f>Source!I41</f>
        <v>0.4</v>
      </c>
      <c r="F96" s="22">
        <f>Source!AK41</f>
        <v>309.42</v>
      </c>
      <c r="G96" s="29" t="s">
        <v>3</v>
      </c>
      <c r="H96" s="9">
        <f>Source!AW41</f>
        <v>1</v>
      </c>
      <c r="I96" s="9">
        <f>IF(Source!BC41&lt;&gt; 0, Source!BC41, 1)</f>
        <v>1</v>
      </c>
      <c r="J96" s="22">
        <f>Source!O41</f>
        <v>123.77</v>
      </c>
      <c r="K96" s="22"/>
      <c r="Q96">
        <f>ROUND((Source!BZ41/100)*ROUND((Source!AF41*Source!AV41)*Source!I41, 2), 2)</f>
        <v>0</v>
      </c>
      <c r="R96">
        <f>Source!X41</f>
        <v>0</v>
      </c>
      <c r="S96">
        <f>ROUND((Source!CA41/100)*ROUND((Source!AF41*Source!AV41)*Source!I41, 2), 2)</f>
        <v>0</v>
      </c>
      <c r="T96">
        <f>Source!Y41</f>
        <v>0</v>
      </c>
      <c r="U96">
        <f>ROUND((175/100)*ROUND((Source!AE41*Source!AV41)*Source!I41, 2), 2)</f>
        <v>0</v>
      </c>
      <c r="V96">
        <f>ROUND((108/100)*ROUND(Source!CS41*Source!I41, 2), 2)</f>
        <v>0</v>
      </c>
    </row>
    <row r="97" spans="1:22" ht="28.5" x14ac:dyDescent="0.2">
      <c r="A97" s="19" t="s">
        <v>65</v>
      </c>
      <c r="B97" s="19" t="str">
        <f>Source!F42</f>
        <v>21.1-6-81</v>
      </c>
      <c r="C97" s="19" t="s">
        <v>533</v>
      </c>
      <c r="D97" s="20" t="str">
        <f>Source!H42</f>
        <v>т</v>
      </c>
      <c r="E97" s="9">
        <f>Source!I42</f>
        <v>-3.3300000000000002E-4</v>
      </c>
      <c r="F97" s="22">
        <f>Source!AK42</f>
        <v>247397.04</v>
      </c>
      <c r="G97" s="29" t="s">
        <v>3</v>
      </c>
      <c r="H97" s="9">
        <f>Source!AW42</f>
        <v>1</v>
      </c>
      <c r="I97" s="9">
        <f>IF(Source!BC42&lt;&gt; 0, Source!BC42, 1)</f>
        <v>1</v>
      </c>
      <c r="J97" s="22">
        <f>Source!O42</f>
        <v>-82.38</v>
      </c>
      <c r="K97" s="22"/>
      <c r="Q97">
        <f>ROUND((Source!BZ42/100)*ROUND((Source!AF42*Source!AV42)*Source!I42, 2), 2)</f>
        <v>0</v>
      </c>
      <c r="R97">
        <f>Source!X42</f>
        <v>0</v>
      </c>
      <c r="S97">
        <f>ROUND((Source!CA42/100)*ROUND((Source!AF42*Source!AV42)*Source!I42, 2), 2)</f>
        <v>0</v>
      </c>
      <c r="T97">
        <f>Source!Y42</f>
        <v>0</v>
      </c>
      <c r="U97">
        <f>ROUND((175/100)*ROUND((Source!AE42*Source!AV42)*Source!I42, 2), 2)</f>
        <v>0</v>
      </c>
      <c r="V97">
        <f>ROUND((108/100)*ROUND(Source!CS42*Source!I42, 2), 2)</f>
        <v>0</v>
      </c>
    </row>
    <row r="98" spans="1:22" ht="14.25" x14ac:dyDescent="0.2">
      <c r="A98" s="19"/>
      <c r="B98" s="19"/>
      <c r="C98" s="19" t="s">
        <v>523</v>
      </c>
      <c r="D98" s="20" t="s">
        <v>524</v>
      </c>
      <c r="E98" s="9">
        <f>Source!AT40</f>
        <v>70</v>
      </c>
      <c r="F98" s="22"/>
      <c r="G98" s="21"/>
      <c r="H98" s="9"/>
      <c r="I98" s="9"/>
      <c r="J98" s="22">
        <f>SUM(R92:R97)</f>
        <v>79.95</v>
      </c>
      <c r="K98" s="22"/>
    </row>
    <row r="99" spans="1:22" ht="14.25" x14ac:dyDescent="0.2">
      <c r="A99" s="19"/>
      <c r="B99" s="19"/>
      <c r="C99" s="19" t="s">
        <v>525</v>
      </c>
      <c r="D99" s="20" t="s">
        <v>524</v>
      </c>
      <c r="E99" s="9">
        <f>Source!AU40</f>
        <v>10</v>
      </c>
      <c r="F99" s="22"/>
      <c r="G99" s="21"/>
      <c r="H99" s="9"/>
      <c r="I99" s="9"/>
      <c r="J99" s="22">
        <f>SUM(T92:T98)</f>
        <v>11.42</v>
      </c>
      <c r="K99" s="22"/>
    </row>
    <row r="100" spans="1:22" ht="14.25" x14ac:dyDescent="0.2">
      <c r="A100" s="19"/>
      <c r="B100" s="19"/>
      <c r="C100" s="19" t="s">
        <v>526</v>
      </c>
      <c r="D100" s="20" t="s">
        <v>527</v>
      </c>
      <c r="E100" s="9">
        <f>Source!AQ40</f>
        <v>12.88</v>
      </c>
      <c r="F100" s="22"/>
      <c r="G100" s="21" t="str">
        <f>Source!DI40</f>
        <v/>
      </c>
      <c r="H100" s="9">
        <f>Source!AV40</f>
        <v>1</v>
      </c>
      <c r="I100" s="9"/>
      <c r="J100" s="22"/>
      <c r="K100" s="22">
        <f>Source!U40</f>
        <v>0.20608000000000001</v>
      </c>
    </row>
    <row r="101" spans="1:22" ht="15" x14ac:dyDescent="0.25">
      <c r="A101" s="26"/>
      <c r="B101" s="26"/>
      <c r="C101" s="26"/>
      <c r="D101" s="26"/>
      <c r="E101" s="26"/>
      <c r="F101" s="26"/>
      <c r="G101" s="26"/>
      <c r="H101" s="26"/>
      <c r="I101" s="61">
        <f>J94+J95+J98+J99+SUM(J96:J97)</f>
        <v>329.3</v>
      </c>
      <c r="J101" s="61"/>
      <c r="K101" s="27">
        <f>IF(Source!I40&lt;&gt;0, ROUND(I101/Source!I40, 2), 0)</f>
        <v>20581.25</v>
      </c>
      <c r="P101" s="24">
        <f>I101</f>
        <v>329.3</v>
      </c>
    </row>
    <row r="102" spans="1:22" ht="28.5" x14ac:dyDescent="0.2">
      <c r="A102" s="19">
        <v>8</v>
      </c>
      <c r="B102" s="19" t="str">
        <f>Source!F43</f>
        <v>1.10-3405-2-1/1</v>
      </c>
      <c r="C102" s="19" t="str">
        <f>Source!G43</f>
        <v>Укладка металлической накладной полосы (порожка)</v>
      </c>
      <c r="D102" s="20" t="str">
        <f>Source!H43</f>
        <v>100 м</v>
      </c>
      <c r="E102" s="9">
        <f>Source!I43</f>
        <v>8.9999999999999993E-3</v>
      </c>
      <c r="F102" s="22"/>
      <c r="G102" s="21"/>
      <c r="H102" s="9"/>
      <c r="I102" s="9"/>
      <c r="J102" s="22"/>
      <c r="K102" s="22"/>
      <c r="Q102">
        <f>ROUND((Source!BZ43/100)*ROUND((Source!AF43*Source!AV43)*Source!I43, 2), 2)</f>
        <v>54.4</v>
      </c>
      <c r="R102">
        <f>Source!X43</f>
        <v>54.4</v>
      </c>
      <c r="S102">
        <f>ROUND((Source!CA43/100)*ROUND((Source!AF43*Source!AV43)*Source!I43, 2), 2)</f>
        <v>7.77</v>
      </c>
      <c r="T102">
        <f>Source!Y43</f>
        <v>7.77</v>
      </c>
      <c r="U102">
        <f>ROUND((175/100)*ROUND((Source!AE43*Source!AV43)*Source!I43, 2), 2)</f>
        <v>0.16</v>
      </c>
      <c r="V102">
        <f>ROUND((108/100)*ROUND(Source!CS43*Source!I43, 2), 2)</f>
        <v>0.1</v>
      </c>
    </row>
    <row r="103" spans="1:22" x14ac:dyDescent="0.2">
      <c r="C103" s="23" t="str">
        <f>"Объем: "&amp;Source!I43&amp;"=0,9/"&amp;"100"</f>
        <v>Объем: 0,009=0,9/100</v>
      </c>
    </row>
    <row r="104" spans="1:22" ht="14.25" x14ac:dyDescent="0.2">
      <c r="A104" s="19"/>
      <c r="B104" s="19"/>
      <c r="C104" s="19" t="s">
        <v>521</v>
      </c>
      <c r="D104" s="20"/>
      <c r="E104" s="9"/>
      <c r="F104" s="22">
        <f>Source!AO43</f>
        <v>8635</v>
      </c>
      <c r="G104" s="21" t="str">
        <f>Source!DG43</f>
        <v/>
      </c>
      <c r="H104" s="9">
        <f>Source!AV43</f>
        <v>1</v>
      </c>
      <c r="I104" s="9">
        <f>IF(Source!BA43&lt;&gt; 0, Source!BA43, 1)</f>
        <v>1</v>
      </c>
      <c r="J104" s="22">
        <f>Source!S43</f>
        <v>77.72</v>
      </c>
      <c r="K104" s="22"/>
    </row>
    <row r="105" spans="1:22" ht="14.25" x14ac:dyDescent="0.2">
      <c r="A105" s="19"/>
      <c r="B105" s="19"/>
      <c r="C105" s="19" t="s">
        <v>522</v>
      </c>
      <c r="D105" s="20"/>
      <c r="E105" s="9"/>
      <c r="F105" s="22">
        <f>Source!AM43</f>
        <v>89.91</v>
      </c>
      <c r="G105" s="21" t="str">
        <f>Source!DE43</f>
        <v/>
      </c>
      <c r="H105" s="9">
        <f>Source!AV43</f>
        <v>1</v>
      </c>
      <c r="I105" s="9">
        <f>IF(Source!BB43&lt;&gt; 0, Source!BB43, 1)</f>
        <v>1</v>
      </c>
      <c r="J105" s="22">
        <f>Source!Q43</f>
        <v>0.81</v>
      </c>
      <c r="K105" s="22"/>
    </row>
    <row r="106" spans="1:22" ht="14.25" x14ac:dyDescent="0.2">
      <c r="A106" s="19"/>
      <c r="B106" s="19"/>
      <c r="C106" s="19" t="s">
        <v>528</v>
      </c>
      <c r="D106" s="20"/>
      <c r="E106" s="9"/>
      <c r="F106" s="22">
        <f>Source!AN43</f>
        <v>10.32</v>
      </c>
      <c r="G106" s="21" t="str">
        <f>Source!DF43</f>
        <v/>
      </c>
      <c r="H106" s="9">
        <f>Source!AV43</f>
        <v>1</v>
      </c>
      <c r="I106" s="9">
        <f>IF(Source!BS43&lt;&gt; 0, Source!BS43, 1)</f>
        <v>1</v>
      </c>
      <c r="J106" s="28">
        <f>Source!R43</f>
        <v>0.09</v>
      </c>
      <c r="K106" s="22"/>
    </row>
    <row r="107" spans="1:22" ht="14.25" x14ac:dyDescent="0.2">
      <c r="A107" s="19"/>
      <c r="B107" s="19"/>
      <c r="C107" s="19" t="s">
        <v>529</v>
      </c>
      <c r="D107" s="20"/>
      <c r="E107" s="9"/>
      <c r="F107" s="22">
        <f>Source!AL43</f>
        <v>16476.439999999999</v>
      </c>
      <c r="G107" s="21" t="str">
        <f>Source!DD43</f>
        <v/>
      </c>
      <c r="H107" s="9">
        <f>Source!AW43</f>
        <v>1</v>
      </c>
      <c r="I107" s="9">
        <f>IF(Source!BC43&lt;&gt; 0, Source!BC43, 1)</f>
        <v>1</v>
      </c>
      <c r="J107" s="22">
        <f>Source!P43</f>
        <v>148.29</v>
      </c>
      <c r="K107" s="22"/>
    </row>
    <row r="108" spans="1:22" ht="14.25" x14ac:dyDescent="0.2">
      <c r="A108" s="19"/>
      <c r="B108" s="19"/>
      <c r="C108" s="19" t="s">
        <v>523</v>
      </c>
      <c r="D108" s="20" t="s">
        <v>524</v>
      </c>
      <c r="E108" s="9">
        <f>Source!AT43</f>
        <v>70</v>
      </c>
      <c r="F108" s="22"/>
      <c r="G108" s="21"/>
      <c r="H108" s="9"/>
      <c r="I108" s="9"/>
      <c r="J108" s="22">
        <f>SUM(R102:R107)</f>
        <v>54.4</v>
      </c>
      <c r="K108" s="22"/>
    </row>
    <row r="109" spans="1:22" ht="14.25" x14ac:dyDescent="0.2">
      <c r="A109" s="19"/>
      <c r="B109" s="19"/>
      <c r="C109" s="19" t="s">
        <v>525</v>
      </c>
      <c r="D109" s="20" t="s">
        <v>524</v>
      </c>
      <c r="E109" s="9">
        <f>Source!AU43</f>
        <v>10</v>
      </c>
      <c r="F109" s="22"/>
      <c r="G109" s="21"/>
      <c r="H109" s="9"/>
      <c r="I109" s="9"/>
      <c r="J109" s="22">
        <f>SUM(T102:T108)</f>
        <v>7.77</v>
      </c>
      <c r="K109" s="22"/>
    </row>
    <row r="110" spans="1:22" ht="14.25" x14ac:dyDescent="0.2">
      <c r="A110" s="19"/>
      <c r="B110" s="19"/>
      <c r="C110" s="19" t="s">
        <v>530</v>
      </c>
      <c r="D110" s="20" t="s">
        <v>524</v>
      </c>
      <c r="E110" s="9">
        <f>108</f>
        <v>108</v>
      </c>
      <c r="F110" s="22"/>
      <c r="G110" s="21"/>
      <c r="H110" s="9"/>
      <c r="I110" s="9"/>
      <c r="J110" s="22">
        <f>SUM(V102:V109)</f>
        <v>0.1</v>
      </c>
      <c r="K110" s="22"/>
    </row>
    <row r="111" spans="1:22" ht="14.25" x14ac:dyDescent="0.2">
      <c r="A111" s="19"/>
      <c r="B111" s="19"/>
      <c r="C111" s="19" t="s">
        <v>526</v>
      </c>
      <c r="D111" s="20" t="s">
        <v>527</v>
      </c>
      <c r="E111" s="9">
        <f>Source!AQ43</f>
        <v>19.14</v>
      </c>
      <c r="F111" s="22"/>
      <c r="G111" s="21" t="str">
        <f>Source!DI43</f>
        <v/>
      </c>
      <c r="H111" s="9">
        <f>Source!AV43</f>
        <v>1</v>
      </c>
      <c r="I111" s="9"/>
      <c r="J111" s="22"/>
      <c r="K111" s="22">
        <f>Source!U43</f>
        <v>0.17226</v>
      </c>
    </row>
    <row r="112" spans="1:22" ht="15" x14ac:dyDescent="0.25">
      <c r="A112" s="26"/>
      <c r="B112" s="26"/>
      <c r="C112" s="26"/>
      <c r="D112" s="26"/>
      <c r="E112" s="26"/>
      <c r="F112" s="26"/>
      <c r="G112" s="26"/>
      <c r="H112" s="26"/>
      <c r="I112" s="61">
        <f>J104+J105+J107+J108+J109+J110</f>
        <v>289.08999999999997</v>
      </c>
      <c r="J112" s="61"/>
      <c r="K112" s="27">
        <f>IF(Source!I43&lt;&gt;0, ROUND(I112/Source!I43, 2), 0)</f>
        <v>32121.11</v>
      </c>
      <c r="P112" s="24">
        <f>I112</f>
        <v>289.08999999999997</v>
      </c>
    </row>
    <row r="114" spans="1:22" ht="15" x14ac:dyDescent="0.25">
      <c r="A114" s="65" t="str">
        <f>CONCATENATE("Итого по подразделу: ",IF(Source!G45&lt;&gt;"Новый подраздел", Source!G45, ""))</f>
        <v>Итого по подразделу: Полы</v>
      </c>
      <c r="B114" s="65"/>
      <c r="C114" s="65"/>
      <c r="D114" s="65"/>
      <c r="E114" s="65"/>
      <c r="F114" s="65"/>
      <c r="G114" s="65"/>
      <c r="H114" s="65"/>
      <c r="I114" s="63">
        <f>SUM(P36:P113)</f>
        <v>160722.29999999999</v>
      </c>
      <c r="J114" s="64"/>
      <c r="K114" s="30"/>
    </row>
    <row r="117" spans="1:22" ht="16.5" x14ac:dyDescent="0.25">
      <c r="A117" s="62" t="str">
        <f>CONCATENATE("Подраздел: ",IF(Source!G75&lt;&gt;"Новый подраздел", Source!G75, ""))</f>
        <v>Подраздел: Стены</v>
      </c>
      <c r="B117" s="62"/>
      <c r="C117" s="62"/>
      <c r="D117" s="62"/>
      <c r="E117" s="62"/>
      <c r="F117" s="62"/>
      <c r="G117" s="62"/>
      <c r="H117" s="62"/>
      <c r="I117" s="62"/>
      <c r="J117" s="62"/>
      <c r="K117" s="62"/>
    </row>
    <row r="118" spans="1:22" ht="28.5" x14ac:dyDescent="0.2">
      <c r="A118" s="19">
        <v>9</v>
      </c>
      <c r="B118" s="19" t="str">
        <f>Source!F79</f>
        <v>1.13-3604-2-1/1</v>
      </c>
      <c r="C118" s="19" t="str">
        <f>Source!G79</f>
        <v>Разборка облицовочных декоративных деревянных панелей</v>
      </c>
      <c r="D118" s="20" t="str">
        <f>Source!H79</f>
        <v>м2</v>
      </c>
      <c r="E118" s="9">
        <f>Source!I79</f>
        <v>12</v>
      </c>
      <c r="F118" s="22"/>
      <c r="G118" s="21"/>
      <c r="H118" s="9"/>
      <c r="I118" s="9"/>
      <c r="J118" s="22"/>
      <c r="K118" s="22"/>
      <c r="Q118">
        <f>ROUND((Source!BZ79/100)*ROUND((Source!AF79*Source!AV79)*Source!I79, 2), 2)</f>
        <v>1675.38</v>
      </c>
      <c r="R118">
        <f>Source!X79</f>
        <v>1675.38</v>
      </c>
      <c r="S118">
        <f>ROUND((Source!CA79/100)*ROUND((Source!AF79*Source!AV79)*Source!I79, 2), 2)</f>
        <v>239.34</v>
      </c>
      <c r="T118">
        <f>Source!Y79</f>
        <v>239.34</v>
      </c>
      <c r="U118">
        <f>ROUND((175/100)*ROUND((Source!AE79*Source!AV79)*Source!I79, 2), 2)</f>
        <v>0</v>
      </c>
      <c r="V118">
        <f>ROUND((108/100)*ROUND(Source!CS79*Source!I79, 2), 2)</f>
        <v>0</v>
      </c>
    </row>
    <row r="119" spans="1:22" ht="14.25" x14ac:dyDescent="0.2">
      <c r="A119" s="19"/>
      <c r="B119" s="19"/>
      <c r="C119" s="19" t="s">
        <v>521</v>
      </c>
      <c r="D119" s="20"/>
      <c r="E119" s="9"/>
      <c r="F119" s="22">
        <f>Source!AO79</f>
        <v>199.45</v>
      </c>
      <c r="G119" s="21" t="str">
        <f>Source!DG79</f>
        <v/>
      </c>
      <c r="H119" s="9">
        <f>Source!AV79</f>
        <v>1</v>
      </c>
      <c r="I119" s="9">
        <f>IF(Source!BA79&lt;&gt; 0, Source!BA79, 1)</f>
        <v>1</v>
      </c>
      <c r="J119" s="22">
        <f>Source!S79</f>
        <v>2393.4</v>
      </c>
      <c r="K119" s="22"/>
    </row>
    <row r="120" spans="1:22" ht="14.25" x14ac:dyDescent="0.2">
      <c r="A120" s="19"/>
      <c r="B120" s="19"/>
      <c r="C120" s="19" t="s">
        <v>522</v>
      </c>
      <c r="D120" s="20"/>
      <c r="E120" s="9"/>
      <c r="F120" s="22">
        <f>Source!AM79</f>
        <v>0.15</v>
      </c>
      <c r="G120" s="21" t="str">
        <f>Source!DE79</f>
        <v/>
      </c>
      <c r="H120" s="9">
        <f>Source!AV79</f>
        <v>1</v>
      </c>
      <c r="I120" s="9">
        <f>IF(Source!BB79&lt;&gt; 0, Source!BB79, 1)</f>
        <v>1</v>
      </c>
      <c r="J120" s="22">
        <f>Source!Q79</f>
        <v>1.8</v>
      </c>
      <c r="K120" s="22"/>
    </row>
    <row r="121" spans="1:22" ht="14.25" x14ac:dyDescent="0.2">
      <c r="A121" s="19"/>
      <c r="B121" s="19"/>
      <c r="C121" s="19" t="s">
        <v>523</v>
      </c>
      <c r="D121" s="20" t="s">
        <v>524</v>
      </c>
      <c r="E121" s="9">
        <f>Source!AT79</f>
        <v>70</v>
      </c>
      <c r="F121" s="22"/>
      <c r="G121" s="21"/>
      <c r="H121" s="9"/>
      <c r="I121" s="9"/>
      <c r="J121" s="22">
        <f>SUM(R118:R120)</f>
        <v>1675.38</v>
      </c>
      <c r="K121" s="22"/>
    </row>
    <row r="122" spans="1:22" ht="14.25" x14ac:dyDescent="0.2">
      <c r="A122" s="19"/>
      <c r="B122" s="19"/>
      <c r="C122" s="19" t="s">
        <v>525</v>
      </c>
      <c r="D122" s="20" t="s">
        <v>524</v>
      </c>
      <c r="E122" s="9">
        <f>Source!AU79</f>
        <v>10</v>
      </c>
      <c r="F122" s="22"/>
      <c r="G122" s="21"/>
      <c r="H122" s="9"/>
      <c r="I122" s="9"/>
      <c r="J122" s="22">
        <f>SUM(T118:T121)</f>
        <v>239.34</v>
      </c>
      <c r="K122" s="22"/>
    </row>
    <row r="123" spans="1:22" ht="14.25" x14ac:dyDescent="0.2">
      <c r="A123" s="19"/>
      <c r="B123" s="19"/>
      <c r="C123" s="19" t="s">
        <v>526</v>
      </c>
      <c r="D123" s="20" t="s">
        <v>527</v>
      </c>
      <c r="E123" s="9">
        <f>Source!AQ79</f>
        <v>0.51</v>
      </c>
      <c r="F123" s="22"/>
      <c r="G123" s="21" t="str">
        <f>Source!DI79</f>
        <v/>
      </c>
      <c r="H123" s="9">
        <f>Source!AV79</f>
        <v>1</v>
      </c>
      <c r="I123" s="9"/>
      <c r="J123" s="22"/>
      <c r="K123" s="22">
        <f>Source!U79</f>
        <v>6.12</v>
      </c>
    </row>
    <row r="124" spans="1:22" ht="15" x14ac:dyDescent="0.25">
      <c r="A124" s="26"/>
      <c r="B124" s="26"/>
      <c r="C124" s="26"/>
      <c r="D124" s="26"/>
      <c r="E124" s="26"/>
      <c r="F124" s="26"/>
      <c r="G124" s="26"/>
      <c r="H124" s="26"/>
      <c r="I124" s="61">
        <f>J119+J120+J121+J122</f>
        <v>4309.92</v>
      </c>
      <c r="J124" s="61"/>
      <c r="K124" s="27">
        <f>IF(Source!I79&lt;&gt;0, ROUND(I124/Source!I79, 2), 0)</f>
        <v>359.16</v>
      </c>
      <c r="P124" s="24">
        <f>I124</f>
        <v>4309.92</v>
      </c>
    </row>
    <row r="125" spans="1:22" ht="28.5" x14ac:dyDescent="0.2">
      <c r="A125" s="19">
        <v>10</v>
      </c>
      <c r="B125" s="19" t="str">
        <f>Source!F80</f>
        <v>1.13-3304-1-2/1</v>
      </c>
      <c r="C125" s="19" t="str">
        <f>Source!G80</f>
        <v>Снятие обоев высококачественных и стеклообоев</v>
      </c>
      <c r="D125" s="20" t="str">
        <f>Source!H80</f>
        <v>100 м2</v>
      </c>
      <c r="E125" s="9">
        <f>Source!I80</f>
        <v>0.749</v>
      </c>
      <c r="F125" s="22"/>
      <c r="G125" s="21"/>
      <c r="H125" s="9"/>
      <c r="I125" s="9"/>
      <c r="J125" s="22"/>
      <c r="K125" s="22"/>
      <c r="Q125">
        <f>ROUND((Source!BZ80/100)*ROUND((Source!AF80*Source!AV80)*Source!I80, 2), 2)</f>
        <v>2078.84</v>
      </c>
      <c r="R125">
        <f>Source!X80</f>
        <v>2078.84</v>
      </c>
      <c r="S125">
        <f>ROUND((Source!CA80/100)*ROUND((Source!AF80*Source!AV80)*Source!I80, 2), 2)</f>
        <v>296.98</v>
      </c>
      <c r="T125">
        <f>Source!Y80</f>
        <v>296.98</v>
      </c>
      <c r="U125">
        <f>ROUND((175/100)*ROUND((Source!AE80*Source!AV80)*Source!I80, 2), 2)</f>
        <v>0</v>
      </c>
      <c r="V125">
        <f>ROUND((108/100)*ROUND(Source!CS80*Source!I80, 2), 2)</f>
        <v>0</v>
      </c>
    </row>
    <row r="126" spans="1:22" x14ac:dyDescent="0.2">
      <c r="C126" s="23" t="str">
        <f>"Объем: "&amp;Source!I80&amp;"=74,9/"&amp;"100"</f>
        <v>Объем: 0,749=74,9/100</v>
      </c>
    </row>
    <row r="127" spans="1:22" ht="14.25" x14ac:dyDescent="0.2">
      <c r="A127" s="19"/>
      <c r="B127" s="19"/>
      <c r="C127" s="19" t="s">
        <v>521</v>
      </c>
      <c r="D127" s="20"/>
      <c r="E127" s="9"/>
      <c r="F127" s="22">
        <f>Source!AO80</f>
        <v>3964.98</v>
      </c>
      <c r="G127" s="21" t="str">
        <f>Source!DG80</f>
        <v/>
      </c>
      <c r="H127" s="9">
        <f>Source!AV80</f>
        <v>1</v>
      </c>
      <c r="I127" s="9">
        <f>IF(Source!BA80&lt;&gt; 0, Source!BA80, 1)</f>
        <v>1</v>
      </c>
      <c r="J127" s="22">
        <f>Source!S80</f>
        <v>2969.77</v>
      </c>
      <c r="K127" s="22"/>
    </row>
    <row r="128" spans="1:22" ht="14.25" x14ac:dyDescent="0.2">
      <c r="A128" s="19"/>
      <c r="B128" s="19"/>
      <c r="C128" s="19" t="s">
        <v>523</v>
      </c>
      <c r="D128" s="20" t="s">
        <v>524</v>
      </c>
      <c r="E128" s="9">
        <f>Source!AT80</f>
        <v>70</v>
      </c>
      <c r="F128" s="22"/>
      <c r="G128" s="21"/>
      <c r="H128" s="9"/>
      <c r="I128" s="9"/>
      <c r="J128" s="22">
        <f>SUM(R125:R127)</f>
        <v>2078.84</v>
      </c>
      <c r="K128" s="22"/>
    </row>
    <row r="129" spans="1:22" ht="14.25" x14ac:dyDescent="0.2">
      <c r="A129" s="19"/>
      <c r="B129" s="19"/>
      <c r="C129" s="19" t="s">
        <v>525</v>
      </c>
      <c r="D129" s="20" t="s">
        <v>524</v>
      </c>
      <c r="E129" s="9">
        <f>Source!AU80</f>
        <v>10</v>
      </c>
      <c r="F129" s="22"/>
      <c r="G129" s="21"/>
      <c r="H129" s="9"/>
      <c r="I129" s="9"/>
      <c r="J129" s="22">
        <f>SUM(T125:T128)</f>
        <v>296.98</v>
      </c>
      <c r="K129" s="22"/>
    </row>
    <row r="130" spans="1:22" ht="14.25" x14ac:dyDescent="0.2">
      <c r="A130" s="19"/>
      <c r="B130" s="19"/>
      <c r="C130" s="19" t="s">
        <v>526</v>
      </c>
      <c r="D130" s="20" t="s">
        <v>527</v>
      </c>
      <c r="E130" s="9">
        <f>Source!AQ80</f>
        <v>9.9499999999999993</v>
      </c>
      <c r="F130" s="22"/>
      <c r="G130" s="21" t="str">
        <f>Source!DI80</f>
        <v/>
      </c>
      <c r="H130" s="9">
        <f>Source!AV80</f>
        <v>1</v>
      </c>
      <c r="I130" s="9"/>
      <c r="J130" s="22"/>
      <c r="K130" s="22">
        <f>Source!U80</f>
        <v>7.4525499999999996</v>
      </c>
    </row>
    <row r="131" spans="1:22" ht="15" x14ac:dyDescent="0.25">
      <c r="A131" s="26"/>
      <c r="B131" s="26"/>
      <c r="C131" s="26"/>
      <c r="D131" s="26"/>
      <c r="E131" s="26"/>
      <c r="F131" s="26"/>
      <c r="G131" s="26"/>
      <c r="H131" s="26"/>
      <c r="I131" s="61">
        <f>J127+J128+J129</f>
        <v>5345.59</v>
      </c>
      <c r="J131" s="61"/>
      <c r="K131" s="27">
        <f>IF(Source!I80&lt;&gt;0, ROUND(I131/Source!I80, 2), 0)</f>
        <v>7136.97</v>
      </c>
      <c r="P131" s="24">
        <f>I131</f>
        <v>5345.59</v>
      </c>
    </row>
    <row r="132" spans="1:22" ht="85.5" x14ac:dyDescent="0.2">
      <c r="A132" s="19">
        <v>11</v>
      </c>
      <c r="B132" s="19" t="str">
        <f>Source!F82</f>
        <v>1.13-3203-26-3/3</v>
      </c>
      <c r="C132" s="19" t="str">
        <f>Source!G82</f>
        <v>Улучшенная окраска стен внутри помещений водно-дисперсионными акриловыми красками - краска моющаяся типа ВД-АК-210 (с предварительным обеспылеванием поверхности)</v>
      </c>
      <c r="D132" s="20" t="str">
        <f>Source!H82</f>
        <v>100 м2</v>
      </c>
      <c r="E132" s="9">
        <f>Source!I82</f>
        <v>0.749</v>
      </c>
      <c r="F132" s="22"/>
      <c r="G132" s="21"/>
      <c r="H132" s="9"/>
      <c r="I132" s="9"/>
      <c r="J132" s="22"/>
      <c r="K132" s="22"/>
      <c r="Q132">
        <f>ROUND((Source!BZ82/100)*ROUND((Source!AF82*Source!AV82)*Source!I82, 2), 2)</f>
        <v>10373.4</v>
      </c>
      <c r="R132">
        <f>Source!X82</f>
        <v>10373.4</v>
      </c>
      <c r="S132">
        <f>ROUND((Source!CA82/100)*ROUND((Source!AF82*Source!AV82)*Source!I82, 2), 2)</f>
        <v>1481.91</v>
      </c>
      <c r="T132">
        <f>Source!Y82</f>
        <v>1481.91</v>
      </c>
      <c r="U132">
        <f>ROUND((175/100)*ROUND((Source!AE82*Source!AV82)*Source!I82, 2), 2)</f>
        <v>0</v>
      </c>
      <c r="V132">
        <f>ROUND((108/100)*ROUND(Source!CS82*Source!I82, 2), 2)</f>
        <v>0</v>
      </c>
    </row>
    <row r="133" spans="1:22" x14ac:dyDescent="0.2">
      <c r="C133" s="23" t="str">
        <f>"Объем: "&amp;Source!I82&amp;"=74,9/"&amp;"100"</f>
        <v>Объем: 0,749=74,9/100</v>
      </c>
    </row>
    <row r="134" spans="1:22" ht="14.25" x14ac:dyDescent="0.2">
      <c r="A134" s="19"/>
      <c r="B134" s="19"/>
      <c r="C134" s="19" t="s">
        <v>521</v>
      </c>
      <c r="D134" s="20"/>
      <c r="E134" s="9"/>
      <c r="F134" s="22">
        <f>Source!AO82</f>
        <v>19785.240000000002</v>
      </c>
      <c r="G134" s="21" t="str">
        <f>Source!DG82</f>
        <v/>
      </c>
      <c r="H134" s="9">
        <f>Source!AV82</f>
        <v>1</v>
      </c>
      <c r="I134" s="9">
        <f>IF(Source!BA82&lt;&gt; 0, Source!BA82, 1)</f>
        <v>1</v>
      </c>
      <c r="J134" s="22">
        <f>Source!S82</f>
        <v>14819.14</v>
      </c>
      <c r="K134" s="22"/>
    </row>
    <row r="135" spans="1:22" ht="14.25" x14ac:dyDescent="0.2">
      <c r="A135" s="19"/>
      <c r="B135" s="19"/>
      <c r="C135" s="19" t="s">
        <v>529</v>
      </c>
      <c r="D135" s="20"/>
      <c r="E135" s="9"/>
      <c r="F135" s="22">
        <f>Source!AL82</f>
        <v>10224.299999999999</v>
      </c>
      <c r="G135" s="21" t="str">
        <f>Source!DD82</f>
        <v/>
      </c>
      <c r="H135" s="9">
        <f>Source!AW82</f>
        <v>1</v>
      </c>
      <c r="I135" s="9">
        <f>IF(Source!BC82&lt;&gt; 0, Source!BC82, 1)</f>
        <v>1</v>
      </c>
      <c r="J135" s="22">
        <f>Source!P82</f>
        <v>7658</v>
      </c>
      <c r="K135" s="22"/>
    </row>
    <row r="136" spans="1:22" ht="28.5" x14ac:dyDescent="0.2">
      <c r="A136" s="19" t="s">
        <v>145</v>
      </c>
      <c r="B136" s="19" t="str">
        <f>Source!F83</f>
        <v>21.1-6-103</v>
      </c>
      <c r="C136" s="19" t="str">
        <f>Source!G83</f>
        <v>Пигменты сухие для красок, охра золотистая (цвет по согласованию)</v>
      </c>
      <c r="D136" s="20" t="str">
        <f>Source!H83</f>
        <v>т</v>
      </c>
      <c r="E136" s="9">
        <f>Source!I83</f>
        <v>1.273E-3</v>
      </c>
      <c r="F136" s="22">
        <f>Source!AK83</f>
        <v>198992.34</v>
      </c>
      <c r="G136" s="29" t="s">
        <v>3</v>
      </c>
      <c r="H136" s="9">
        <f>Source!AW83</f>
        <v>1</v>
      </c>
      <c r="I136" s="9">
        <f>IF(Source!BC83&lt;&gt; 0, Source!BC83, 1)</f>
        <v>1</v>
      </c>
      <c r="J136" s="22">
        <f>Source!O83</f>
        <v>253.32</v>
      </c>
      <c r="K136" s="22"/>
      <c r="Q136">
        <f>ROUND((Source!BZ83/100)*ROUND((Source!AF83*Source!AV83)*Source!I83, 2), 2)</f>
        <v>0</v>
      </c>
      <c r="R136">
        <f>Source!X83</f>
        <v>0</v>
      </c>
      <c r="S136">
        <f>ROUND((Source!CA83/100)*ROUND((Source!AF83*Source!AV83)*Source!I83, 2), 2)</f>
        <v>0</v>
      </c>
      <c r="T136">
        <f>Source!Y83</f>
        <v>0</v>
      </c>
      <c r="U136">
        <f>ROUND((175/100)*ROUND((Source!AE83*Source!AV83)*Source!I83, 2), 2)</f>
        <v>0</v>
      </c>
      <c r="V136">
        <f>ROUND((108/100)*ROUND(Source!CS83*Source!I83, 2), 2)</f>
        <v>0</v>
      </c>
    </row>
    <row r="137" spans="1:22" ht="14.25" x14ac:dyDescent="0.2">
      <c r="A137" s="19"/>
      <c r="B137" s="19"/>
      <c r="C137" s="19" t="s">
        <v>523</v>
      </c>
      <c r="D137" s="20" t="s">
        <v>524</v>
      </c>
      <c r="E137" s="9">
        <f>Source!AT82</f>
        <v>70</v>
      </c>
      <c r="F137" s="22"/>
      <c r="G137" s="21"/>
      <c r="H137" s="9"/>
      <c r="I137" s="9"/>
      <c r="J137" s="22">
        <f>SUM(R132:R136)</f>
        <v>10373.4</v>
      </c>
      <c r="K137" s="22"/>
    </row>
    <row r="138" spans="1:22" ht="14.25" x14ac:dyDescent="0.2">
      <c r="A138" s="19"/>
      <c r="B138" s="19"/>
      <c r="C138" s="19" t="s">
        <v>525</v>
      </c>
      <c r="D138" s="20" t="s">
        <v>524</v>
      </c>
      <c r="E138" s="9">
        <f>Source!AU82</f>
        <v>10</v>
      </c>
      <c r="F138" s="22"/>
      <c r="G138" s="21"/>
      <c r="H138" s="9"/>
      <c r="I138" s="9"/>
      <c r="J138" s="22">
        <f>SUM(T132:T137)</f>
        <v>1481.91</v>
      </c>
      <c r="K138" s="22"/>
    </row>
    <row r="139" spans="1:22" ht="14.25" x14ac:dyDescent="0.2">
      <c r="A139" s="19"/>
      <c r="B139" s="19"/>
      <c r="C139" s="19" t="s">
        <v>526</v>
      </c>
      <c r="D139" s="20" t="s">
        <v>527</v>
      </c>
      <c r="E139" s="9">
        <f>Source!AQ82</f>
        <v>42.17</v>
      </c>
      <c r="F139" s="22"/>
      <c r="G139" s="21" t="str">
        <f>Source!DI82</f>
        <v/>
      </c>
      <c r="H139" s="9">
        <f>Source!AV82</f>
        <v>1</v>
      </c>
      <c r="I139" s="9"/>
      <c r="J139" s="22"/>
      <c r="K139" s="22">
        <f>Source!U82</f>
        <v>31.585330000000003</v>
      </c>
    </row>
    <row r="140" spans="1:22" ht="15" x14ac:dyDescent="0.25">
      <c r="A140" s="26"/>
      <c r="B140" s="26"/>
      <c r="C140" s="26"/>
      <c r="D140" s="26"/>
      <c r="E140" s="26"/>
      <c r="F140" s="26"/>
      <c r="G140" s="26"/>
      <c r="H140" s="26"/>
      <c r="I140" s="61">
        <f>J134+J135+J137+J138+SUM(J136:J136)</f>
        <v>34585.770000000004</v>
      </c>
      <c r="J140" s="61"/>
      <c r="K140" s="27">
        <f>IF(Source!I82&lt;&gt;0, ROUND(I140/Source!I82, 2), 0)</f>
        <v>46175.93</v>
      </c>
      <c r="P140" s="24">
        <f>I140</f>
        <v>34585.770000000004</v>
      </c>
    </row>
    <row r="142" spans="1:22" ht="15" x14ac:dyDescent="0.25">
      <c r="A142" s="65" t="str">
        <f>CONCATENATE("Итого по подразделу: ",IF(Source!G85&lt;&gt;"Новый подраздел", Source!G85, ""))</f>
        <v>Итого по подразделу: Стены</v>
      </c>
      <c r="B142" s="65"/>
      <c r="C142" s="65"/>
      <c r="D142" s="65"/>
      <c r="E142" s="65"/>
      <c r="F142" s="65"/>
      <c r="G142" s="65"/>
      <c r="H142" s="65"/>
      <c r="I142" s="63">
        <f>SUM(P117:P141)</f>
        <v>44241.280000000006</v>
      </c>
      <c r="J142" s="64"/>
      <c r="K142" s="30"/>
    </row>
    <row r="145" spans="1:22" ht="16.5" x14ac:dyDescent="0.25">
      <c r="A145" s="62" t="str">
        <f>CONCATENATE("Подраздел: ",IF(Source!G115&lt;&gt;"Новый подраздел", Source!G115, ""))</f>
        <v>Подраздел: Инженерные сети</v>
      </c>
      <c r="B145" s="62"/>
      <c r="C145" s="62"/>
      <c r="D145" s="62"/>
      <c r="E145" s="62"/>
      <c r="F145" s="62"/>
      <c r="G145" s="62"/>
      <c r="H145" s="62"/>
      <c r="I145" s="62"/>
      <c r="J145" s="62"/>
      <c r="K145" s="62"/>
    </row>
    <row r="146" spans="1:22" ht="28.5" x14ac:dyDescent="0.2">
      <c r="A146" s="19">
        <v>12</v>
      </c>
      <c r="B146" s="19" t="str">
        <f>Source!F119</f>
        <v>1.16-3204-1-1/1</v>
      </c>
      <c r="C146" s="19" t="str">
        <f>Source!G119</f>
        <v>Демонтаж санитарно-технических приборов умывальников или раковин</v>
      </c>
      <c r="D146" s="20" t="str">
        <f>Source!H119</f>
        <v>100 компл.</v>
      </c>
      <c r="E146" s="9">
        <f>Source!I119</f>
        <v>0.01</v>
      </c>
      <c r="F146" s="22"/>
      <c r="G146" s="21"/>
      <c r="H146" s="9"/>
      <c r="I146" s="9"/>
      <c r="J146" s="22"/>
      <c r="K146" s="22"/>
      <c r="Q146">
        <f>ROUND((Source!BZ119/100)*ROUND((Source!AF119*Source!AV119)*Source!I119, 2), 2)</f>
        <v>193.4</v>
      </c>
      <c r="R146">
        <f>Source!X119</f>
        <v>193.4</v>
      </c>
      <c r="S146">
        <f>ROUND((Source!CA119/100)*ROUND((Source!AF119*Source!AV119)*Source!I119, 2), 2)</f>
        <v>27.63</v>
      </c>
      <c r="T146">
        <f>Source!Y119</f>
        <v>27.63</v>
      </c>
      <c r="U146">
        <f>ROUND((175/100)*ROUND((Source!AE119*Source!AV119)*Source!I119, 2), 2)</f>
        <v>0</v>
      </c>
      <c r="V146">
        <f>ROUND((108/100)*ROUND(Source!CS119*Source!I119, 2), 2)</f>
        <v>0</v>
      </c>
    </row>
    <row r="147" spans="1:22" x14ac:dyDescent="0.2">
      <c r="C147" s="23" t="str">
        <f>"Объем: "&amp;Source!I119&amp;"=1/"&amp;"100"</f>
        <v>Объем: 0,01=1/100</v>
      </c>
    </row>
    <row r="148" spans="1:22" ht="14.25" x14ac:dyDescent="0.2">
      <c r="A148" s="19"/>
      <c r="B148" s="19"/>
      <c r="C148" s="19" t="s">
        <v>521</v>
      </c>
      <c r="D148" s="20"/>
      <c r="E148" s="9"/>
      <c r="F148" s="22">
        <f>Source!AO119</f>
        <v>27627.52</v>
      </c>
      <c r="G148" s="21" t="str">
        <f>Source!DG119</f>
        <v/>
      </c>
      <c r="H148" s="9">
        <f>Source!AV119</f>
        <v>1</v>
      </c>
      <c r="I148" s="9">
        <f>IF(Source!BA119&lt;&gt; 0, Source!BA119, 1)</f>
        <v>1</v>
      </c>
      <c r="J148" s="22">
        <f>Source!S119</f>
        <v>276.27999999999997</v>
      </c>
      <c r="K148" s="22"/>
    </row>
    <row r="149" spans="1:22" ht="14.25" x14ac:dyDescent="0.2">
      <c r="A149" s="19"/>
      <c r="B149" s="19"/>
      <c r="C149" s="19" t="s">
        <v>523</v>
      </c>
      <c r="D149" s="20" t="s">
        <v>524</v>
      </c>
      <c r="E149" s="9">
        <f>Source!AT119</f>
        <v>70</v>
      </c>
      <c r="F149" s="22"/>
      <c r="G149" s="21"/>
      <c r="H149" s="9"/>
      <c r="I149" s="9"/>
      <c r="J149" s="22">
        <f>SUM(R146:R148)</f>
        <v>193.4</v>
      </c>
      <c r="K149" s="22"/>
    </row>
    <row r="150" spans="1:22" ht="14.25" x14ac:dyDescent="0.2">
      <c r="A150" s="19"/>
      <c r="B150" s="19"/>
      <c r="C150" s="19" t="s">
        <v>525</v>
      </c>
      <c r="D150" s="20" t="s">
        <v>524</v>
      </c>
      <c r="E150" s="9">
        <f>Source!AU119</f>
        <v>10</v>
      </c>
      <c r="F150" s="22"/>
      <c r="G150" s="21"/>
      <c r="H150" s="9"/>
      <c r="I150" s="9"/>
      <c r="J150" s="22">
        <f>SUM(T146:T149)</f>
        <v>27.63</v>
      </c>
      <c r="K150" s="22"/>
    </row>
    <row r="151" spans="1:22" ht="14.25" x14ac:dyDescent="0.2">
      <c r="A151" s="19"/>
      <c r="B151" s="19"/>
      <c r="C151" s="19" t="s">
        <v>526</v>
      </c>
      <c r="D151" s="20" t="s">
        <v>527</v>
      </c>
      <c r="E151" s="9">
        <f>Source!AQ119</f>
        <v>60.8</v>
      </c>
      <c r="F151" s="22"/>
      <c r="G151" s="21" t="str">
        <f>Source!DI119</f>
        <v/>
      </c>
      <c r="H151" s="9">
        <f>Source!AV119</f>
        <v>1</v>
      </c>
      <c r="I151" s="9"/>
      <c r="J151" s="22"/>
      <c r="K151" s="22">
        <f>Source!U119</f>
        <v>0.60799999999999998</v>
      </c>
    </row>
    <row r="152" spans="1:22" ht="15" x14ac:dyDescent="0.25">
      <c r="A152" s="26"/>
      <c r="B152" s="26"/>
      <c r="C152" s="26"/>
      <c r="D152" s="26"/>
      <c r="E152" s="26"/>
      <c r="F152" s="26"/>
      <c r="G152" s="26"/>
      <c r="H152" s="26"/>
      <c r="I152" s="61">
        <f>J148+J149+J150</f>
        <v>497.30999999999995</v>
      </c>
      <c r="J152" s="61"/>
      <c r="K152" s="27">
        <f>IF(Source!I119&lt;&gt;0, ROUND(I152/Source!I119, 2), 0)</f>
        <v>49731</v>
      </c>
      <c r="P152" s="24">
        <f>I152</f>
        <v>497.30999999999995</v>
      </c>
    </row>
    <row r="153" spans="1:22" ht="184.5" x14ac:dyDescent="0.2">
      <c r="A153" s="19">
        <v>13</v>
      </c>
      <c r="B153" s="19" t="s">
        <v>534</v>
      </c>
      <c r="C153" s="19" t="s">
        <v>535</v>
      </c>
      <c r="D153" s="20" t="str">
        <f>Source!H120</f>
        <v>100 шт.</v>
      </c>
      <c r="E153" s="9">
        <f>Source!I120</f>
        <v>0.01</v>
      </c>
      <c r="F153" s="22"/>
      <c r="G153" s="21"/>
      <c r="H153" s="9"/>
      <c r="I153" s="9"/>
      <c r="J153" s="22"/>
      <c r="K153" s="22"/>
      <c r="Q153">
        <f>ROUND((Source!BZ120/100)*ROUND((Source!AF120*Source!AV120)*Source!I120, 2), 2)</f>
        <v>43.94</v>
      </c>
      <c r="R153">
        <f>Source!X120</f>
        <v>43.94</v>
      </c>
      <c r="S153">
        <f>ROUND((Source!CA120/100)*ROUND((Source!AF120*Source!AV120)*Source!I120, 2), 2)</f>
        <v>6.28</v>
      </c>
      <c r="T153">
        <f>Source!Y120</f>
        <v>6.28</v>
      </c>
      <c r="U153">
        <f>ROUND((175/100)*ROUND((Source!AE120*Source!AV120)*Source!I120, 2), 2)</f>
        <v>0</v>
      </c>
      <c r="V153">
        <f>ROUND((108/100)*ROUND(Source!CS120*Source!I120, 2), 2)</f>
        <v>0</v>
      </c>
    </row>
    <row r="154" spans="1:22" x14ac:dyDescent="0.2">
      <c r="C154" s="23" t="str">
        <f>"Объем: "&amp;Source!I120&amp;"=1/"&amp;"100"</f>
        <v>Объем: 0,01=1/100</v>
      </c>
    </row>
    <row r="155" spans="1:22" ht="14.25" x14ac:dyDescent="0.2">
      <c r="A155" s="19"/>
      <c r="B155" s="19"/>
      <c r="C155" s="19" t="s">
        <v>521</v>
      </c>
      <c r="D155" s="20"/>
      <c r="E155" s="9"/>
      <c r="F155" s="22">
        <f>Source!AO120</f>
        <v>31385.37</v>
      </c>
      <c r="G155" s="21" t="str">
        <f>Source!DG120</f>
        <v>)*0,2</v>
      </c>
      <c r="H155" s="9">
        <f>Source!AV120</f>
        <v>1</v>
      </c>
      <c r="I155" s="9">
        <f>IF(Source!BA120&lt;&gt; 0, Source!BA120, 1)</f>
        <v>1</v>
      </c>
      <c r="J155" s="22">
        <f>Source!S120</f>
        <v>62.77</v>
      </c>
      <c r="K155" s="22"/>
    </row>
    <row r="156" spans="1:22" ht="14.25" x14ac:dyDescent="0.2">
      <c r="A156" s="19"/>
      <c r="B156" s="19"/>
      <c r="C156" s="19" t="s">
        <v>523</v>
      </c>
      <c r="D156" s="20" t="s">
        <v>524</v>
      </c>
      <c r="E156" s="9">
        <f>Source!AT120</f>
        <v>70</v>
      </c>
      <c r="F156" s="22"/>
      <c r="G156" s="21"/>
      <c r="H156" s="9"/>
      <c r="I156" s="9"/>
      <c r="J156" s="22">
        <f>SUM(R153:R155)</f>
        <v>43.94</v>
      </c>
      <c r="K156" s="22"/>
    </row>
    <row r="157" spans="1:22" ht="14.25" x14ac:dyDescent="0.2">
      <c r="A157" s="19"/>
      <c r="B157" s="19"/>
      <c r="C157" s="19" t="s">
        <v>525</v>
      </c>
      <c r="D157" s="20" t="s">
        <v>524</v>
      </c>
      <c r="E157" s="9">
        <f>Source!AU120</f>
        <v>10</v>
      </c>
      <c r="F157" s="22"/>
      <c r="G157" s="21"/>
      <c r="H157" s="9"/>
      <c r="I157" s="9"/>
      <c r="J157" s="22">
        <f>SUM(T153:T156)</f>
        <v>6.28</v>
      </c>
      <c r="K157" s="22"/>
    </row>
    <row r="158" spans="1:22" ht="14.25" x14ac:dyDescent="0.2">
      <c r="A158" s="19"/>
      <c r="B158" s="19"/>
      <c r="C158" s="19" t="s">
        <v>526</v>
      </c>
      <c r="D158" s="20" t="s">
        <v>527</v>
      </c>
      <c r="E158" s="9">
        <f>Source!AQ120</f>
        <v>77.86</v>
      </c>
      <c r="F158" s="22"/>
      <c r="G158" s="21" t="str">
        <f>Source!DI120</f>
        <v>)*0,2</v>
      </c>
      <c r="H158" s="9">
        <f>Source!AV120</f>
        <v>1</v>
      </c>
      <c r="I158" s="9"/>
      <c r="J158" s="22"/>
      <c r="K158" s="22">
        <f>Source!U120</f>
        <v>0.15572000000000003</v>
      </c>
    </row>
    <row r="159" spans="1:22" ht="15" x14ac:dyDescent="0.25">
      <c r="A159" s="26"/>
      <c r="B159" s="26"/>
      <c r="C159" s="26"/>
      <c r="D159" s="26"/>
      <c r="E159" s="26"/>
      <c r="F159" s="26"/>
      <c r="G159" s="26"/>
      <c r="H159" s="26"/>
      <c r="I159" s="61">
        <f>J155+J156+J157</f>
        <v>112.99000000000001</v>
      </c>
      <c r="J159" s="61"/>
      <c r="K159" s="27">
        <f>IF(Source!I120&lt;&gt;0, ROUND(I159/Source!I120, 2), 0)</f>
        <v>11299</v>
      </c>
      <c r="P159" s="24">
        <f>I159</f>
        <v>112.99000000000001</v>
      </c>
    </row>
    <row r="160" spans="1:22" ht="71.25" x14ac:dyDescent="0.2">
      <c r="A160" s="19">
        <v>14</v>
      </c>
      <c r="B160" s="19" t="str">
        <f>Source!F121</f>
        <v>1.16-3203-1-6/1</v>
      </c>
      <c r="C160" s="19" t="str">
        <f>Source!G121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D160" s="20" t="str">
        <f>Source!H121</f>
        <v>компл.</v>
      </c>
      <c r="E160" s="9">
        <f>Source!I121</f>
        <v>1</v>
      </c>
      <c r="F160" s="22"/>
      <c r="G160" s="21"/>
      <c r="H160" s="9"/>
      <c r="I160" s="9"/>
      <c r="J160" s="22"/>
      <c r="K160" s="22"/>
      <c r="Q160">
        <f>ROUND((Source!BZ121/100)*ROUND((Source!AF121*Source!AV121)*Source!I121, 2), 2)</f>
        <v>831.75</v>
      </c>
      <c r="R160">
        <f>Source!X121</f>
        <v>831.75</v>
      </c>
      <c r="S160">
        <f>ROUND((Source!CA121/100)*ROUND((Source!AF121*Source!AV121)*Source!I121, 2), 2)</f>
        <v>118.82</v>
      </c>
      <c r="T160">
        <f>Source!Y121</f>
        <v>118.82</v>
      </c>
      <c r="U160">
        <f>ROUND((175/100)*ROUND((Source!AE121*Source!AV121)*Source!I121, 2), 2)</f>
        <v>7.0000000000000007E-2</v>
      </c>
      <c r="V160">
        <f>ROUND((108/100)*ROUND(Source!CS121*Source!I121, 2), 2)</f>
        <v>0.04</v>
      </c>
    </row>
    <row r="161" spans="1:22" ht="14.25" x14ac:dyDescent="0.2">
      <c r="A161" s="19"/>
      <c r="B161" s="19"/>
      <c r="C161" s="19" t="s">
        <v>521</v>
      </c>
      <c r="D161" s="20"/>
      <c r="E161" s="9"/>
      <c r="F161" s="22">
        <f>Source!AO121</f>
        <v>1188.21</v>
      </c>
      <c r="G161" s="21" t="str">
        <f>Source!DG121</f>
        <v/>
      </c>
      <c r="H161" s="9">
        <f>Source!AV121</f>
        <v>1</v>
      </c>
      <c r="I161" s="9">
        <f>IF(Source!BA121&lt;&gt; 0, Source!BA121, 1)</f>
        <v>1</v>
      </c>
      <c r="J161" s="22">
        <f>Source!S121</f>
        <v>1188.21</v>
      </c>
      <c r="K161" s="22"/>
    </row>
    <row r="162" spans="1:22" ht="14.25" x14ac:dyDescent="0.2">
      <c r="A162" s="19"/>
      <c r="B162" s="19"/>
      <c r="C162" s="19" t="s">
        <v>522</v>
      </c>
      <c r="D162" s="20"/>
      <c r="E162" s="9"/>
      <c r="F162" s="22">
        <f>Source!AM121</f>
        <v>0.12</v>
      </c>
      <c r="G162" s="21" t="str">
        <f>Source!DE121</f>
        <v/>
      </c>
      <c r="H162" s="9">
        <f>Source!AV121</f>
        <v>1</v>
      </c>
      <c r="I162" s="9">
        <f>IF(Source!BB121&lt;&gt; 0, Source!BB121, 1)</f>
        <v>1</v>
      </c>
      <c r="J162" s="22">
        <f>Source!Q121</f>
        <v>0.12</v>
      </c>
      <c r="K162" s="22"/>
    </row>
    <row r="163" spans="1:22" ht="14.25" x14ac:dyDescent="0.2">
      <c r="A163" s="19"/>
      <c r="B163" s="19"/>
      <c r="C163" s="19" t="s">
        <v>528</v>
      </c>
      <c r="D163" s="20"/>
      <c r="E163" s="9"/>
      <c r="F163" s="22">
        <f>Source!AN121</f>
        <v>0.04</v>
      </c>
      <c r="G163" s="21" t="str">
        <f>Source!DF121</f>
        <v/>
      </c>
      <c r="H163" s="9">
        <f>Source!AV121</f>
        <v>1</v>
      </c>
      <c r="I163" s="9">
        <f>IF(Source!BS121&lt;&gt; 0, Source!BS121, 1)</f>
        <v>1</v>
      </c>
      <c r="J163" s="28">
        <f>Source!R121</f>
        <v>0.04</v>
      </c>
      <c r="K163" s="22"/>
    </row>
    <row r="164" spans="1:22" ht="14.25" x14ac:dyDescent="0.2">
      <c r="A164" s="19"/>
      <c r="B164" s="19"/>
      <c r="C164" s="19" t="s">
        <v>529</v>
      </c>
      <c r="D164" s="20"/>
      <c r="E164" s="9"/>
      <c r="F164" s="22">
        <f>Source!AL121</f>
        <v>7914.99</v>
      </c>
      <c r="G164" s="21" t="str">
        <f>Source!DD121</f>
        <v/>
      </c>
      <c r="H164" s="9">
        <f>Source!AW121</f>
        <v>1</v>
      </c>
      <c r="I164" s="9">
        <f>IF(Source!BC121&lt;&gt; 0, Source!BC121, 1)</f>
        <v>1</v>
      </c>
      <c r="J164" s="22">
        <f>Source!P121</f>
        <v>7914.99</v>
      </c>
      <c r="K164" s="22"/>
    </row>
    <row r="165" spans="1:22" ht="57" x14ac:dyDescent="0.2">
      <c r="A165" s="19" t="s">
        <v>168</v>
      </c>
      <c r="B165" s="19" t="str">
        <f>Source!F122</f>
        <v>21.17-2-19</v>
      </c>
      <c r="C165" s="19" t="str">
        <f>Source!G122</f>
        <v>Смесители для умывальников и моек двухрукояточные центральные набортные, излив с аэратором тип См-УмДЦБА</v>
      </c>
      <c r="D165" s="20" t="str">
        <f>Source!H122</f>
        <v>шт.</v>
      </c>
      <c r="E165" s="9">
        <f>Source!I122</f>
        <v>1</v>
      </c>
      <c r="F165" s="22">
        <f>Source!AK122</f>
        <v>5025.26</v>
      </c>
      <c r="G165" s="29" t="s">
        <v>3</v>
      </c>
      <c r="H165" s="9">
        <f>Source!AW122</f>
        <v>1</v>
      </c>
      <c r="I165" s="9">
        <f>IF(Source!BC122&lt;&gt; 0, Source!BC122, 1)</f>
        <v>1</v>
      </c>
      <c r="J165" s="22">
        <f>Source!O122</f>
        <v>5025.26</v>
      </c>
      <c r="K165" s="22"/>
      <c r="Q165">
        <f>ROUND((Source!BZ122/100)*ROUND((Source!AF122*Source!AV122)*Source!I122, 2), 2)</f>
        <v>0</v>
      </c>
      <c r="R165">
        <f>Source!X122</f>
        <v>0</v>
      </c>
      <c r="S165">
        <f>ROUND((Source!CA122/100)*ROUND((Source!AF122*Source!AV122)*Source!I122, 2), 2)</f>
        <v>0</v>
      </c>
      <c r="T165">
        <f>Source!Y122</f>
        <v>0</v>
      </c>
      <c r="U165">
        <f>ROUND((175/100)*ROUND((Source!AE122*Source!AV122)*Source!I122, 2), 2)</f>
        <v>0</v>
      </c>
      <c r="V165">
        <f>ROUND((108/100)*ROUND(Source!CS122*Source!I122, 2), 2)</f>
        <v>0</v>
      </c>
    </row>
    <row r="166" spans="1:22" ht="55.5" x14ac:dyDescent="0.2">
      <c r="A166" s="19" t="s">
        <v>173</v>
      </c>
      <c r="B166" s="19" t="str">
        <f>Source!F123</f>
        <v>Цена пост.</v>
      </c>
      <c r="C166" s="19" t="s">
        <v>536</v>
      </c>
      <c r="D166" s="20" t="str">
        <f>Source!H123</f>
        <v>шт.</v>
      </c>
      <c r="E166" s="9">
        <f>Source!I123</f>
        <v>1</v>
      </c>
      <c r="F166" s="22">
        <f>Source!AK123</f>
        <v>37.5</v>
      </c>
      <c r="G166" s="29" t="s">
        <v>3</v>
      </c>
      <c r="H166" s="9">
        <f>Source!AW123</f>
        <v>1</v>
      </c>
      <c r="I166" s="9">
        <f>IF(Source!BC123&lt;&gt; 0, Source!BC123, 1)</f>
        <v>1</v>
      </c>
      <c r="J166" s="22">
        <f>Source!O123</f>
        <v>37.5</v>
      </c>
      <c r="K166" s="22"/>
      <c r="Q166">
        <f>ROUND((Source!BZ123/100)*ROUND((Source!AF123*Source!AV123)*Source!I123, 2), 2)</f>
        <v>0</v>
      </c>
      <c r="R166">
        <f>Source!X123</f>
        <v>0</v>
      </c>
      <c r="S166">
        <f>ROUND((Source!CA123/100)*ROUND((Source!AF123*Source!AV123)*Source!I123, 2), 2)</f>
        <v>0</v>
      </c>
      <c r="T166">
        <f>Source!Y123</f>
        <v>0</v>
      </c>
      <c r="U166">
        <f>ROUND((175/100)*ROUND((Source!AE123*Source!AV123)*Source!I123, 2), 2)</f>
        <v>0</v>
      </c>
      <c r="V166">
        <f>ROUND((108/100)*ROUND(Source!CS123*Source!I123, 2), 2)</f>
        <v>0</v>
      </c>
    </row>
    <row r="167" spans="1:22" ht="71.25" x14ac:dyDescent="0.2">
      <c r="A167" s="19" t="s">
        <v>177</v>
      </c>
      <c r="B167" s="19" t="str">
        <f>Source!F124</f>
        <v>21.17-2-19</v>
      </c>
      <c r="C167" s="19" t="s">
        <v>537</v>
      </c>
      <c r="D167" s="20" t="str">
        <f>Source!H124</f>
        <v>шт.</v>
      </c>
      <c r="E167" s="9">
        <f>Source!I124</f>
        <v>-1</v>
      </c>
      <c r="F167" s="22">
        <f>Source!AK124</f>
        <v>5025.26</v>
      </c>
      <c r="G167" s="29" t="s">
        <v>3</v>
      </c>
      <c r="H167" s="9">
        <f>Source!AW124</f>
        <v>1</v>
      </c>
      <c r="I167" s="9">
        <f>IF(Source!BC124&lt;&gt; 0, Source!BC124, 1)</f>
        <v>1</v>
      </c>
      <c r="J167" s="22">
        <f>Source!O124</f>
        <v>-5025.26</v>
      </c>
      <c r="K167" s="22"/>
      <c r="Q167">
        <f>ROUND((Source!BZ124/100)*ROUND((Source!AF124*Source!AV124)*Source!I124, 2), 2)</f>
        <v>0</v>
      </c>
      <c r="R167">
        <f>Source!X124</f>
        <v>0</v>
      </c>
      <c r="S167">
        <f>ROUND((Source!CA124/100)*ROUND((Source!AF124*Source!AV124)*Source!I124, 2), 2)</f>
        <v>0</v>
      </c>
      <c r="T167">
        <f>Source!Y124</f>
        <v>0</v>
      </c>
      <c r="U167">
        <f>ROUND((175/100)*ROUND((Source!AE124*Source!AV124)*Source!I124, 2), 2)</f>
        <v>0</v>
      </c>
      <c r="V167">
        <f>ROUND((108/100)*ROUND(Source!CS124*Source!I124, 2), 2)</f>
        <v>0</v>
      </c>
    </row>
    <row r="168" spans="1:22" ht="57" x14ac:dyDescent="0.2">
      <c r="A168" s="19" t="s">
        <v>178</v>
      </c>
      <c r="B168" s="19" t="str">
        <f>Source!F125</f>
        <v>21.17-1-21</v>
      </c>
      <c r="C168" s="19" t="s">
        <v>538</v>
      </c>
      <c r="D168" s="20" t="str">
        <f>Source!H125</f>
        <v>шт.</v>
      </c>
      <c r="E168" s="9">
        <f>Source!I125</f>
        <v>-1</v>
      </c>
      <c r="F168" s="22">
        <f>Source!AK125</f>
        <v>1624.55</v>
      </c>
      <c r="G168" s="29" t="s">
        <v>3</v>
      </c>
      <c r="H168" s="9">
        <f>Source!AW125</f>
        <v>1</v>
      </c>
      <c r="I168" s="9">
        <f>IF(Source!BC125&lt;&gt; 0, Source!BC125, 1)</f>
        <v>1</v>
      </c>
      <c r="J168" s="22">
        <f>Source!O125</f>
        <v>-1624.55</v>
      </c>
      <c r="K168" s="22"/>
      <c r="Q168">
        <f>ROUND((Source!BZ125/100)*ROUND((Source!AF125*Source!AV125)*Source!I125, 2), 2)</f>
        <v>0</v>
      </c>
      <c r="R168">
        <f>Source!X125</f>
        <v>0</v>
      </c>
      <c r="S168">
        <f>ROUND((Source!CA125/100)*ROUND((Source!AF125*Source!AV125)*Source!I125, 2), 2)</f>
        <v>0</v>
      </c>
      <c r="T168">
        <f>Source!Y125</f>
        <v>0</v>
      </c>
      <c r="U168">
        <f>ROUND((175/100)*ROUND((Source!AE125*Source!AV125)*Source!I125, 2), 2)</f>
        <v>0</v>
      </c>
      <c r="V168">
        <f>ROUND((108/100)*ROUND(Source!CS125*Source!I125, 2), 2)</f>
        <v>0</v>
      </c>
    </row>
    <row r="169" spans="1:22" ht="14.25" x14ac:dyDescent="0.2">
      <c r="A169" s="19"/>
      <c r="B169" s="19"/>
      <c r="C169" s="19" t="s">
        <v>523</v>
      </c>
      <c r="D169" s="20" t="s">
        <v>524</v>
      </c>
      <c r="E169" s="9">
        <f>Source!AT121</f>
        <v>70</v>
      </c>
      <c r="F169" s="22"/>
      <c r="G169" s="21"/>
      <c r="H169" s="9"/>
      <c r="I169" s="9"/>
      <c r="J169" s="22">
        <f>SUM(R160:R168)</f>
        <v>831.75</v>
      </c>
      <c r="K169" s="22"/>
    </row>
    <row r="170" spans="1:22" ht="14.25" x14ac:dyDescent="0.2">
      <c r="A170" s="19"/>
      <c r="B170" s="19"/>
      <c r="C170" s="19" t="s">
        <v>525</v>
      </c>
      <c r="D170" s="20" t="s">
        <v>524</v>
      </c>
      <c r="E170" s="9">
        <f>Source!AU121</f>
        <v>10</v>
      </c>
      <c r="F170" s="22"/>
      <c r="G170" s="21"/>
      <c r="H170" s="9"/>
      <c r="I170" s="9"/>
      <c r="J170" s="22">
        <f>SUM(T160:T169)</f>
        <v>118.82</v>
      </c>
      <c r="K170" s="22"/>
    </row>
    <row r="171" spans="1:22" ht="14.25" x14ac:dyDescent="0.2">
      <c r="A171" s="19"/>
      <c r="B171" s="19"/>
      <c r="C171" s="19" t="s">
        <v>530</v>
      </c>
      <c r="D171" s="20" t="s">
        <v>524</v>
      </c>
      <c r="E171" s="9">
        <f>108</f>
        <v>108</v>
      </c>
      <c r="F171" s="22"/>
      <c r="G171" s="21"/>
      <c r="H171" s="9"/>
      <c r="I171" s="9"/>
      <c r="J171" s="22">
        <f>SUM(V160:V170)</f>
        <v>0.04</v>
      </c>
      <c r="K171" s="22"/>
    </row>
    <row r="172" spans="1:22" ht="14.25" x14ac:dyDescent="0.2">
      <c r="A172" s="19"/>
      <c r="B172" s="19"/>
      <c r="C172" s="19" t="s">
        <v>526</v>
      </c>
      <c r="D172" s="20" t="s">
        <v>527</v>
      </c>
      <c r="E172" s="9">
        <f>Source!AQ121</f>
        <v>2.2400000000000002</v>
      </c>
      <c r="F172" s="22"/>
      <c r="G172" s="21" t="str">
        <f>Source!DI121</f>
        <v/>
      </c>
      <c r="H172" s="9">
        <f>Source!AV121</f>
        <v>1</v>
      </c>
      <c r="I172" s="9"/>
      <c r="J172" s="22"/>
      <c r="K172" s="22">
        <f>Source!U121</f>
        <v>2.2400000000000002</v>
      </c>
    </row>
    <row r="173" spans="1:22" ht="15" x14ac:dyDescent="0.25">
      <c r="A173" s="26"/>
      <c r="B173" s="26"/>
      <c r="C173" s="26"/>
      <c r="D173" s="26"/>
      <c r="E173" s="26"/>
      <c r="F173" s="26"/>
      <c r="G173" s="26"/>
      <c r="H173" s="26"/>
      <c r="I173" s="61">
        <f>J161+J162+J164+J169+J170+J171+SUM(J165:J168)</f>
        <v>8466.880000000001</v>
      </c>
      <c r="J173" s="61"/>
      <c r="K173" s="27">
        <f>IF(Source!I121&lt;&gt;0, ROUND(I173/Source!I121, 2), 0)</f>
        <v>8466.8799999999992</v>
      </c>
      <c r="P173" s="24">
        <f>I173</f>
        <v>8466.880000000001</v>
      </c>
    </row>
    <row r="174" spans="1:22" ht="42.75" x14ac:dyDescent="0.2">
      <c r="A174" s="19">
        <v>15</v>
      </c>
      <c r="B174" s="19" t="str">
        <f>Source!F126</f>
        <v>1.26-3103-3-1/2</v>
      </c>
      <c r="C174" s="19" t="str">
        <f>Source!G126</f>
        <v>Установка штучных изделий столов, шкафов под мойки, холодильных шкафов и др. (без стоимости изделий)</v>
      </c>
      <c r="D174" s="20" t="str">
        <f>Source!H126</f>
        <v>100 шт.</v>
      </c>
      <c r="E174" s="9">
        <f>Source!I126</f>
        <v>0.01</v>
      </c>
      <c r="F174" s="22"/>
      <c r="G174" s="21"/>
      <c r="H174" s="9"/>
      <c r="I174" s="9"/>
      <c r="J174" s="22"/>
      <c r="K174" s="22"/>
      <c r="Q174">
        <f>ROUND((Source!BZ126/100)*ROUND((Source!AF126*Source!AV126)*Source!I126, 2), 2)</f>
        <v>219.7</v>
      </c>
      <c r="R174">
        <f>Source!X126</f>
        <v>219.7</v>
      </c>
      <c r="S174">
        <f>ROUND((Source!CA126/100)*ROUND((Source!AF126*Source!AV126)*Source!I126, 2), 2)</f>
        <v>31.39</v>
      </c>
      <c r="T174">
        <f>Source!Y126</f>
        <v>31.39</v>
      </c>
      <c r="U174">
        <f>ROUND((175/100)*ROUND((Source!AE126*Source!AV126)*Source!I126, 2), 2)</f>
        <v>0</v>
      </c>
      <c r="V174">
        <f>ROUND((108/100)*ROUND(Source!CS126*Source!I126, 2), 2)</f>
        <v>0</v>
      </c>
    </row>
    <row r="175" spans="1:22" x14ac:dyDescent="0.2">
      <c r="C175" s="23" t="str">
        <f>"Объем: "&amp;Source!I126&amp;"=1/"&amp;"100"</f>
        <v>Объем: 0,01=1/100</v>
      </c>
    </row>
    <row r="176" spans="1:22" ht="14.25" x14ac:dyDescent="0.2">
      <c r="A176" s="19"/>
      <c r="B176" s="19"/>
      <c r="C176" s="19" t="s">
        <v>521</v>
      </c>
      <c r="D176" s="20"/>
      <c r="E176" s="9"/>
      <c r="F176" s="22">
        <f>Source!AO126</f>
        <v>31385.37</v>
      </c>
      <c r="G176" s="21" t="str">
        <f>Source!DG126</f>
        <v/>
      </c>
      <c r="H176" s="9">
        <f>Source!AV126</f>
        <v>1</v>
      </c>
      <c r="I176" s="9">
        <f>IF(Source!BA126&lt;&gt; 0, Source!BA126, 1)</f>
        <v>1</v>
      </c>
      <c r="J176" s="22">
        <f>Source!S126</f>
        <v>313.85000000000002</v>
      </c>
      <c r="K176" s="22"/>
    </row>
    <row r="177" spans="1:22" ht="14.25" x14ac:dyDescent="0.2">
      <c r="A177" s="19"/>
      <c r="B177" s="19"/>
      <c r="C177" s="19" t="s">
        <v>529</v>
      </c>
      <c r="D177" s="20"/>
      <c r="E177" s="9"/>
      <c r="F177" s="22">
        <f>Source!AL126</f>
        <v>15063.7</v>
      </c>
      <c r="G177" s="21" t="str">
        <f>Source!DD126</f>
        <v/>
      </c>
      <c r="H177" s="9">
        <f>Source!AW126</f>
        <v>1</v>
      </c>
      <c r="I177" s="9">
        <f>IF(Source!BC126&lt;&gt; 0, Source!BC126, 1)</f>
        <v>1</v>
      </c>
      <c r="J177" s="22">
        <f>Source!P126</f>
        <v>150.63999999999999</v>
      </c>
      <c r="K177" s="22"/>
    </row>
    <row r="178" spans="1:22" ht="55.5" x14ac:dyDescent="0.2">
      <c r="A178" s="19" t="s">
        <v>184</v>
      </c>
      <c r="B178" s="19" t="str">
        <f>Source!F127</f>
        <v>Цена пост.</v>
      </c>
      <c r="C178" s="19" t="s">
        <v>539</v>
      </c>
      <c r="D178" s="20" t="str">
        <f>Source!H127</f>
        <v>шт.</v>
      </c>
      <c r="E178" s="9">
        <f>Source!I127</f>
        <v>1</v>
      </c>
      <c r="F178" s="22">
        <f>Source!AK127</f>
        <v>10050.83</v>
      </c>
      <c r="G178" s="29" t="s">
        <v>3</v>
      </c>
      <c r="H178" s="9">
        <f>Source!AW127</f>
        <v>1</v>
      </c>
      <c r="I178" s="9">
        <f>IF(Source!BC127&lt;&gt; 0, Source!BC127, 1)</f>
        <v>1</v>
      </c>
      <c r="J178" s="22">
        <f>Source!O127</f>
        <v>10050.83</v>
      </c>
      <c r="K178" s="22"/>
      <c r="Q178">
        <f>ROUND((Source!BZ127/100)*ROUND((Source!AF127*Source!AV127)*Source!I127, 2), 2)</f>
        <v>0</v>
      </c>
      <c r="R178">
        <f>Source!X127</f>
        <v>0</v>
      </c>
      <c r="S178">
        <f>ROUND((Source!CA127/100)*ROUND((Source!AF127*Source!AV127)*Source!I127, 2), 2)</f>
        <v>0</v>
      </c>
      <c r="T178">
        <f>Source!Y127</f>
        <v>0</v>
      </c>
      <c r="U178">
        <f>ROUND((175/100)*ROUND((Source!AE127*Source!AV127)*Source!I127, 2), 2)</f>
        <v>0</v>
      </c>
      <c r="V178">
        <f>ROUND((108/100)*ROUND(Source!CS127*Source!I127, 2), 2)</f>
        <v>0</v>
      </c>
    </row>
    <row r="179" spans="1:22" ht="14.25" x14ac:dyDescent="0.2">
      <c r="A179" s="19"/>
      <c r="B179" s="19"/>
      <c r="C179" s="19" t="s">
        <v>523</v>
      </c>
      <c r="D179" s="20" t="s">
        <v>524</v>
      </c>
      <c r="E179" s="9">
        <f>Source!AT126</f>
        <v>70</v>
      </c>
      <c r="F179" s="22"/>
      <c r="G179" s="21"/>
      <c r="H179" s="9"/>
      <c r="I179" s="9"/>
      <c r="J179" s="22">
        <f>SUM(R174:R178)</f>
        <v>219.7</v>
      </c>
      <c r="K179" s="22"/>
    </row>
    <row r="180" spans="1:22" ht="14.25" x14ac:dyDescent="0.2">
      <c r="A180" s="19"/>
      <c r="B180" s="19"/>
      <c r="C180" s="19" t="s">
        <v>525</v>
      </c>
      <c r="D180" s="20" t="s">
        <v>524</v>
      </c>
      <c r="E180" s="9">
        <f>Source!AU126</f>
        <v>10</v>
      </c>
      <c r="F180" s="22"/>
      <c r="G180" s="21"/>
      <c r="H180" s="9"/>
      <c r="I180" s="9"/>
      <c r="J180" s="22">
        <f>SUM(T174:T179)</f>
        <v>31.39</v>
      </c>
      <c r="K180" s="22"/>
    </row>
    <row r="181" spans="1:22" ht="14.25" x14ac:dyDescent="0.2">
      <c r="A181" s="19"/>
      <c r="B181" s="19"/>
      <c r="C181" s="19" t="s">
        <v>526</v>
      </c>
      <c r="D181" s="20" t="s">
        <v>527</v>
      </c>
      <c r="E181" s="9">
        <f>Source!AQ126</f>
        <v>77.86</v>
      </c>
      <c r="F181" s="22"/>
      <c r="G181" s="21" t="str">
        <f>Source!DI126</f>
        <v/>
      </c>
      <c r="H181" s="9">
        <f>Source!AV126</f>
        <v>1</v>
      </c>
      <c r="I181" s="9"/>
      <c r="J181" s="22"/>
      <c r="K181" s="22">
        <f>Source!U126</f>
        <v>0.77859999999999996</v>
      </c>
    </row>
    <row r="182" spans="1:22" ht="15" x14ac:dyDescent="0.25">
      <c r="A182" s="26"/>
      <c r="B182" s="26"/>
      <c r="C182" s="26"/>
      <c r="D182" s="26"/>
      <c r="E182" s="26"/>
      <c r="F182" s="26"/>
      <c r="G182" s="26"/>
      <c r="H182" s="26"/>
      <c r="I182" s="61">
        <f>J176+J177+J179+J180+SUM(J178:J178)</f>
        <v>10766.41</v>
      </c>
      <c r="J182" s="61"/>
      <c r="K182" s="27">
        <f>IF(Source!I126&lt;&gt;0, ROUND(I182/Source!I126, 2), 0)</f>
        <v>1076641</v>
      </c>
      <c r="P182" s="24">
        <f>I182</f>
        <v>10766.41</v>
      </c>
    </row>
    <row r="183" spans="1:22" ht="57" x14ac:dyDescent="0.2">
      <c r="A183" s="19">
        <v>16</v>
      </c>
      <c r="B183" s="19" t="str">
        <f>Source!F128</f>
        <v>1.15-3103-4-1/1</v>
      </c>
      <c r="C183" s="19" t="str">
        <f>Source!G128</f>
        <v>Монтаж гибких подводок к водогазоразборной арматуре / подводки с двумя латунными накидными гайками длиной 500 мм</v>
      </c>
      <c r="D183" s="20" t="str">
        <f>Source!H128</f>
        <v>100 м</v>
      </c>
      <c r="E183" s="9">
        <f>Source!I128</f>
        <v>0.01</v>
      </c>
      <c r="F183" s="22"/>
      <c r="G183" s="21"/>
      <c r="H183" s="9"/>
      <c r="I183" s="9"/>
      <c r="J183" s="22"/>
      <c r="K183" s="22"/>
      <c r="Q183">
        <f>ROUND((Source!BZ128/100)*ROUND((Source!AF128*Source!AV128)*Source!I128, 2), 2)</f>
        <v>143.91999999999999</v>
      </c>
      <c r="R183">
        <f>Source!X128</f>
        <v>143.91999999999999</v>
      </c>
      <c r="S183">
        <f>ROUND((Source!CA128/100)*ROUND((Source!AF128*Source!AV128)*Source!I128, 2), 2)</f>
        <v>20.56</v>
      </c>
      <c r="T183">
        <f>Source!Y128</f>
        <v>20.56</v>
      </c>
      <c r="U183">
        <f>ROUND((175/100)*ROUND((Source!AE128*Source!AV128)*Source!I128, 2), 2)</f>
        <v>0</v>
      </c>
      <c r="V183">
        <f>ROUND((108/100)*ROUND(Source!CS128*Source!I128, 2), 2)</f>
        <v>0</v>
      </c>
    </row>
    <row r="184" spans="1:22" x14ac:dyDescent="0.2">
      <c r="C184" s="23" t="str">
        <f>"Объем: "&amp;Source!I128&amp;"=1/"&amp;"100"</f>
        <v>Объем: 0,01=1/100</v>
      </c>
    </row>
    <row r="185" spans="1:22" ht="14.25" x14ac:dyDescent="0.2">
      <c r="A185" s="19"/>
      <c r="B185" s="19"/>
      <c r="C185" s="19" t="s">
        <v>521</v>
      </c>
      <c r="D185" s="20"/>
      <c r="E185" s="9"/>
      <c r="F185" s="22">
        <f>Source!AO128</f>
        <v>20560.240000000002</v>
      </c>
      <c r="G185" s="21" t="str">
        <f>Source!DG128</f>
        <v/>
      </c>
      <c r="H185" s="9">
        <f>Source!AV128</f>
        <v>1</v>
      </c>
      <c r="I185" s="9">
        <f>IF(Source!BA128&lt;&gt; 0, Source!BA128, 1)</f>
        <v>1</v>
      </c>
      <c r="J185" s="22">
        <f>Source!S128</f>
        <v>205.6</v>
      </c>
      <c r="K185" s="22"/>
    </row>
    <row r="186" spans="1:22" ht="14.25" x14ac:dyDescent="0.2">
      <c r="A186" s="19"/>
      <c r="B186" s="19"/>
      <c r="C186" s="19" t="s">
        <v>529</v>
      </c>
      <c r="D186" s="20"/>
      <c r="E186" s="9"/>
      <c r="F186" s="22">
        <f>Source!AL128</f>
        <v>26460</v>
      </c>
      <c r="G186" s="21" t="str">
        <f>Source!DD128</f>
        <v/>
      </c>
      <c r="H186" s="9">
        <f>Source!AW128</f>
        <v>1</v>
      </c>
      <c r="I186" s="9">
        <f>IF(Source!BC128&lt;&gt; 0, Source!BC128, 1)</f>
        <v>1</v>
      </c>
      <c r="J186" s="22">
        <f>Source!P128</f>
        <v>264.60000000000002</v>
      </c>
      <c r="K186" s="22"/>
    </row>
    <row r="187" spans="1:22" ht="14.25" x14ac:dyDescent="0.2">
      <c r="A187" s="19"/>
      <c r="B187" s="19"/>
      <c r="C187" s="19" t="s">
        <v>523</v>
      </c>
      <c r="D187" s="20" t="s">
        <v>524</v>
      </c>
      <c r="E187" s="9">
        <f>Source!AT128</f>
        <v>70</v>
      </c>
      <c r="F187" s="22"/>
      <c r="G187" s="21"/>
      <c r="H187" s="9"/>
      <c r="I187" s="9"/>
      <c r="J187" s="22">
        <f>SUM(R183:R186)</f>
        <v>143.91999999999999</v>
      </c>
      <c r="K187" s="22"/>
    </row>
    <row r="188" spans="1:22" ht="14.25" x14ac:dyDescent="0.2">
      <c r="A188" s="19"/>
      <c r="B188" s="19"/>
      <c r="C188" s="19" t="s">
        <v>525</v>
      </c>
      <c r="D188" s="20" t="s">
        <v>524</v>
      </c>
      <c r="E188" s="9">
        <f>Source!AU128</f>
        <v>10</v>
      </c>
      <c r="F188" s="22"/>
      <c r="G188" s="21"/>
      <c r="H188" s="9"/>
      <c r="I188" s="9"/>
      <c r="J188" s="22">
        <f>SUM(T183:T187)</f>
        <v>20.56</v>
      </c>
      <c r="K188" s="22"/>
    </row>
    <row r="189" spans="1:22" ht="14.25" x14ac:dyDescent="0.2">
      <c r="A189" s="19"/>
      <c r="B189" s="19"/>
      <c r="C189" s="19" t="s">
        <v>526</v>
      </c>
      <c r="D189" s="20" t="s">
        <v>527</v>
      </c>
      <c r="E189" s="9">
        <f>Source!AQ128</f>
        <v>38.76</v>
      </c>
      <c r="F189" s="22"/>
      <c r="G189" s="21" t="str">
        <f>Source!DI128</f>
        <v/>
      </c>
      <c r="H189" s="9">
        <f>Source!AV128</f>
        <v>1</v>
      </c>
      <c r="I189" s="9"/>
      <c r="J189" s="22"/>
      <c r="K189" s="22">
        <f>Source!U128</f>
        <v>0.3876</v>
      </c>
    </row>
    <row r="190" spans="1:22" ht="15" x14ac:dyDescent="0.25">
      <c r="A190" s="26"/>
      <c r="B190" s="26"/>
      <c r="C190" s="26"/>
      <c r="D190" s="26"/>
      <c r="E190" s="26"/>
      <c r="F190" s="26"/>
      <c r="G190" s="26"/>
      <c r="H190" s="26"/>
      <c r="I190" s="61">
        <f>J185+J186+J187+J188</f>
        <v>634.67999999999995</v>
      </c>
      <c r="J190" s="61"/>
      <c r="K190" s="27">
        <f>IF(Source!I128&lt;&gt;0, ROUND(I190/Source!I128, 2), 0)</f>
        <v>63468</v>
      </c>
      <c r="P190" s="24">
        <f>I190</f>
        <v>634.67999999999995</v>
      </c>
    </row>
    <row r="191" spans="1:22" ht="28.5" x14ac:dyDescent="0.2">
      <c r="A191" s="19">
        <v>17</v>
      </c>
      <c r="B191" s="19" t="str">
        <f>Source!F129</f>
        <v>1.15-3204-2-2/1</v>
      </c>
      <c r="C191" s="19" t="str">
        <f>Source!G129</f>
        <v>Демонтаж муфтовой арматуры диаметром 20 мм</v>
      </c>
      <c r="D191" s="20" t="str">
        <f>Source!H129</f>
        <v>10 шт.</v>
      </c>
      <c r="E191" s="9">
        <f>Source!I129</f>
        <v>0.2</v>
      </c>
      <c r="F191" s="22"/>
      <c r="G191" s="21"/>
      <c r="H191" s="9"/>
      <c r="I191" s="9"/>
      <c r="J191" s="22"/>
      <c r="K191" s="22"/>
      <c r="Q191">
        <f>ROUND((Source!BZ129/100)*ROUND((Source!AF129*Source!AV129)*Source!I129, 2), 2)</f>
        <v>89.86</v>
      </c>
      <c r="R191">
        <f>Source!X129</f>
        <v>89.86</v>
      </c>
      <c r="S191">
        <f>ROUND((Source!CA129/100)*ROUND((Source!AF129*Source!AV129)*Source!I129, 2), 2)</f>
        <v>12.84</v>
      </c>
      <c r="T191">
        <f>Source!Y129</f>
        <v>12.84</v>
      </c>
      <c r="U191">
        <f>ROUND((175/100)*ROUND((Source!AE129*Source!AV129)*Source!I129, 2), 2)</f>
        <v>0</v>
      </c>
      <c r="V191">
        <f>ROUND((108/100)*ROUND(Source!CS129*Source!I129, 2), 2)</f>
        <v>0</v>
      </c>
    </row>
    <row r="192" spans="1:22" x14ac:dyDescent="0.2">
      <c r="C192" s="23" t="str">
        <f>"Объем: "&amp;Source!I129&amp;"=2/"&amp;"10"</f>
        <v>Объем: 0,2=2/10</v>
      </c>
    </row>
    <row r="193" spans="1:22" ht="14.25" x14ac:dyDescent="0.2">
      <c r="A193" s="19"/>
      <c r="B193" s="19"/>
      <c r="C193" s="19" t="s">
        <v>521</v>
      </c>
      <c r="D193" s="20"/>
      <c r="E193" s="9"/>
      <c r="F193" s="22">
        <f>Source!AO129</f>
        <v>641.84</v>
      </c>
      <c r="G193" s="21" t="str">
        <f>Source!DG129</f>
        <v/>
      </c>
      <c r="H193" s="9">
        <f>Source!AV129</f>
        <v>1</v>
      </c>
      <c r="I193" s="9">
        <f>IF(Source!BA129&lt;&gt; 0, Source!BA129, 1)</f>
        <v>1</v>
      </c>
      <c r="J193" s="22">
        <f>Source!S129</f>
        <v>128.37</v>
      </c>
      <c r="K193" s="22"/>
    </row>
    <row r="194" spans="1:22" ht="14.25" x14ac:dyDescent="0.2">
      <c r="A194" s="19"/>
      <c r="B194" s="19"/>
      <c r="C194" s="19" t="s">
        <v>523</v>
      </c>
      <c r="D194" s="20" t="s">
        <v>524</v>
      </c>
      <c r="E194" s="9">
        <f>Source!AT129</f>
        <v>70</v>
      </c>
      <c r="F194" s="22"/>
      <c r="G194" s="21"/>
      <c r="H194" s="9"/>
      <c r="I194" s="9"/>
      <c r="J194" s="22">
        <f>SUM(R191:R193)</f>
        <v>89.86</v>
      </c>
      <c r="K194" s="22"/>
    </row>
    <row r="195" spans="1:22" ht="14.25" x14ac:dyDescent="0.2">
      <c r="A195" s="19"/>
      <c r="B195" s="19"/>
      <c r="C195" s="19" t="s">
        <v>525</v>
      </c>
      <c r="D195" s="20" t="s">
        <v>524</v>
      </c>
      <c r="E195" s="9">
        <f>Source!AU129</f>
        <v>10</v>
      </c>
      <c r="F195" s="22"/>
      <c r="G195" s="21"/>
      <c r="H195" s="9"/>
      <c r="I195" s="9"/>
      <c r="J195" s="22">
        <f>SUM(T191:T194)</f>
        <v>12.84</v>
      </c>
      <c r="K195" s="22"/>
    </row>
    <row r="196" spans="1:22" ht="14.25" x14ac:dyDescent="0.2">
      <c r="A196" s="19"/>
      <c r="B196" s="19"/>
      <c r="C196" s="19" t="s">
        <v>526</v>
      </c>
      <c r="D196" s="20" t="s">
        <v>527</v>
      </c>
      <c r="E196" s="9">
        <f>Source!AQ129</f>
        <v>1.21</v>
      </c>
      <c r="F196" s="22"/>
      <c r="G196" s="21" t="str">
        <f>Source!DI129</f>
        <v/>
      </c>
      <c r="H196" s="9">
        <f>Source!AV129</f>
        <v>1</v>
      </c>
      <c r="I196" s="9"/>
      <c r="J196" s="22"/>
      <c r="K196" s="22">
        <f>Source!U129</f>
        <v>0.24199999999999999</v>
      </c>
    </row>
    <row r="197" spans="1:22" ht="15" x14ac:dyDescent="0.25">
      <c r="A197" s="26"/>
      <c r="B197" s="26"/>
      <c r="C197" s="26"/>
      <c r="D197" s="26"/>
      <c r="E197" s="26"/>
      <c r="F197" s="26"/>
      <c r="G197" s="26"/>
      <c r="H197" s="26"/>
      <c r="I197" s="61">
        <f>J193+J194+J195</f>
        <v>231.07000000000002</v>
      </c>
      <c r="J197" s="61"/>
      <c r="K197" s="27">
        <f>IF(Source!I129&lt;&gt;0, ROUND(I197/Source!I129, 2), 0)</f>
        <v>1155.3499999999999</v>
      </c>
      <c r="P197" s="24">
        <f>I197</f>
        <v>231.07000000000002</v>
      </c>
    </row>
    <row r="198" spans="1:22" ht="28.5" x14ac:dyDescent="0.2">
      <c r="A198" s="19">
        <v>18</v>
      </c>
      <c r="B198" s="19" t="str">
        <f>Source!F130</f>
        <v>1.15-3203-5-2/1</v>
      </c>
      <c r="C198" s="19" t="str">
        <f>Source!G130</f>
        <v>Установка муфтовой арматуры диаметром 20 мм</v>
      </c>
      <c r="D198" s="20" t="str">
        <f>Source!H130</f>
        <v>10 шт.</v>
      </c>
      <c r="E198" s="9">
        <f>Source!I130</f>
        <v>0.2</v>
      </c>
      <c r="F198" s="22"/>
      <c r="G198" s="21"/>
      <c r="H198" s="9"/>
      <c r="I198" s="9"/>
      <c r="J198" s="22"/>
      <c r="K198" s="22"/>
      <c r="Q198">
        <f>ROUND((Source!BZ130/100)*ROUND((Source!AF130*Source!AV130)*Source!I130, 2), 2)</f>
        <v>127.73</v>
      </c>
      <c r="R198">
        <f>Source!X130</f>
        <v>127.73</v>
      </c>
      <c r="S198">
        <f>ROUND((Source!CA130/100)*ROUND((Source!AF130*Source!AV130)*Source!I130, 2), 2)</f>
        <v>18.25</v>
      </c>
      <c r="T198">
        <f>Source!Y130</f>
        <v>18.25</v>
      </c>
      <c r="U198">
        <f>ROUND((175/100)*ROUND((Source!AE130*Source!AV130)*Source!I130, 2), 2)</f>
        <v>0</v>
      </c>
      <c r="V198">
        <f>ROUND((108/100)*ROUND(Source!CS130*Source!I130, 2), 2)</f>
        <v>0</v>
      </c>
    </row>
    <row r="199" spans="1:22" x14ac:dyDescent="0.2">
      <c r="C199" s="23" t="str">
        <f>"Объем: "&amp;Source!I130&amp;"=2/"&amp;"10"</f>
        <v>Объем: 0,2=2/10</v>
      </c>
    </row>
    <row r="200" spans="1:22" ht="14.25" x14ac:dyDescent="0.2">
      <c r="A200" s="19"/>
      <c r="B200" s="19"/>
      <c r="C200" s="19" t="s">
        <v>521</v>
      </c>
      <c r="D200" s="20"/>
      <c r="E200" s="9"/>
      <c r="F200" s="22">
        <f>Source!AO130</f>
        <v>912.37</v>
      </c>
      <c r="G200" s="21" t="str">
        <f>Source!DG130</f>
        <v/>
      </c>
      <c r="H200" s="9">
        <f>Source!AV130</f>
        <v>1</v>
      </c>
      <c r="I200" s="9">
        <f>IF(Source!BA130&lt;&gt; 0, Source!BA130, 1)</f>
        <v>1</v>
      </c>
      <c r="J200" s="22">
        <f>Source!S130</f>
        <v>182.47</v>
      </c>
      <c r="K200" s="22"/>
    </row>
    <row r="201" spans="1:22" ht="14.25" x14ac:dyDescent="0.2">
      <c r="A201" s="19"/>
      <c r="B201" s="19"/>
      <c r="C201" s="19" t="s">
        <v>529</v>
      </c>
      <c r="D201" s="20"/>
      <c r="E201" s="9"/>
      <c r="F201" s="22">
        <f>Source!AL130</f>
        <v>59.54</v>
      </c>
      <c r="G201" s="21" t="str">
        <f>Source!DD130</f>
        <v/>
      </c>
      <c r="H201" s="9">
        <f>Source!AW130</f>
        <v>1</v>
      </c>
      <c r="I201" s="9">
        <f>IF(Source!BC130&lt;&gt; 0, Source!BC130, 1)</f>
        <v>1</v>
      </c>
      <c r="J201" s="22">
        <f>Source!P130</f>
        <v>11.91</v>
      </c>
      <c r="K201" s="22"/>
    </row>
    <row r="202" spans="1:22" ht="42.75" x14ac:dyDescent="0.2">
      <c r="A202" s="19" t="s">
        <v>200</v>
      </c>
      <c r="B202" s="19" t="str">
        <f>Source!F131</f>
        <v>21.13-4-40</v>
      </c>
      <c r="C202" s="19" t="str">
        <f>Source!G131</f>
        <v>Краны латунные шаровые муфтовые проходные, марка 11б27п, диаметр 20 мм</v>
      </c>
      <c r="D202" s="20" t="str">
        <f>Source!H131</f>
        <v>шт.</v>
      </c>
      <c r="E202" s="9">
        <f>Source!I131</f>
        <v>2</v>
      </c>
      <c r="F202" s="22">
        <f>Source!AK131</f>
        <v>182.88</v>
      </c>
      <c r="G202" s="29" t="s">
        <v>3</v>
      </c>
      <c r="H202" s="9">
        <f>Source!AW131</f>
        <v>1</v>
      </c>
      <c r="I202" s="9">
        <f>IF(Source!BC131&lt;&gt; 0, Source!BC131, 1)</f>
        <v>1</v>
      </c>
      <c r="J202" s="22">
        <f>Source!O131</f>
        <v>365.76</v>
      </c>
      <c r="K202" s="22"/>
      <c r="Q202">
        <f>ROUND((Source!BZ131/100)*ROUND((Source!AF131*Source!AV131)*Source!I131, 2), 2)</f>
        <v>0</v>
      </c>
      <c r="R202">
        <f>Source!X131</f>
        <v>0</v>
      </c>
      <c r="S202">
        <f>ROUND((Source!CA131/100)*ROUND((Source!AF131*Source!AV131)*Source!I131, 2), 2)</f>
        <v>0</v>
      </c>
      <c r="T202">
        <f>Source!Y131</f>
        <v>0</v>
      </c>
      <c r="U202">
        <f>ROUND((175/100)*ROUND((Source!AE131*Source!AV131)*Source!I131, 2), 2)</f>
        <v>0</v>
      </c>
      <c r="V202">
        <f>ROUND((108/100)*ROUND(Source!CS131*Source!I131, 2), 2)</f>
        <v>0</v>
      </c>
    </row>
    <row r="203" spans="1:22" ht="14.25" x14ac:dyDescent="0.2">
      <c r="A203" s="19"/>
      <c r="B203" s="19"/>
      <c r="C203" s="19" t="s">
        <v>523</v>
      </c>
      <c r="D203" s="20" t="s">
        <v>524</v>
      </c>
      <c r="E203" s="9">
        <f>Source!AT130</f>
        <v>70</v>
      </c>
      <c r="F203" s="22"/>
      <c r="G203" s="21"/>
      <c r="H203" s="9"/>
      <c r="I203" s="9"/>
      <c r="J203" s="22">
        <f>SUM(R198:R202)</f>
        <v>127.73</v>
      </c>
      <c r="K203" s="22"/>
    </row>
    <row r="204" spans="1:22" ht="14.25" x14ac:dyDescent="0.2">
      <c r="A204" s="19"/>
      <c r="B204" s="19"/>
      <c r="C204" s="19" t="s">
        <v>525</v>
      </c>
      <c r="D204" s="20" t="s">
        <v>524</v>
      </c>
      <c r="E204" s="9">
        <f>Source!AU130</f>
        <v>10</v>
      </c>
      <c r="F204" s="22"/>
      <c r="G204" s="21"/>
      <c r="H204" s="9"/>
      <c r="I204" s="9"/>
      <c r="J204" s="22">
        <f>SUM(T198:T203)</f>
        <v>18.25</v>
      </c>
      <c r="K204" s="22"/>
    </row>
    <row r="205" spans="1:22" ht="14.25" x14ac:dyDescent="0.2">
      <c r="A205" s="19"/>
      <c r="B205" s="19"/>
      <c r="C205" s="19" t="s">
        <v>526</v>
      </c>
      <c r="D205" s="20" t="s">
        <v>527</v>
      </c>
      <c r="E205" s="9">
        <f>Source!AQ130</f>
        <v>1.72</v>
      </c>
      <c r="F205" s="22"/>
      <c r="G205" s="21" t="str">
        <f>Source!DI130</f>
        <v/>
      </c>
      <c r="H205" s="9">
        <f>Source!AV130</f>
        <v>1</v>
      </c>
      <c r="I205" s="9"/>
      <c r="J205" s="22"/>
      <c r="K205" s="22">
        <f>Source!U130</f>
        <v>0.34400000000000003</v>
      </c>
    </row>
    <row r="206" spans="1:22" ht="15" x14ac:dyDescent="0.25">
      <c r="A206" s="26"/>
      <c r="B206" s="26"/>
      <c r="C206" s="26"/>
      <c r="D206" s="26"/>
      <c r="E206" s="26"/>
      <c r="F206" s="26"/>
      <c r="G206" s="26"/>
      <c r="H206" s="26"/>
      <c r="I206" s="61">
        <f>J200+J201+J203+J204+SUM(J202:J202)</f>
        <v>706.12</v>
      </c>
      <c r="J206" s="61"/>
      <c r="K206" s="27">
        <f>IF(Source!I130&lt;&gt;0, ROUND(I206/Source!I130, 2), 0)</f>
        <v>3530.6</v>
      </c>
      <c r="P206" s="24">
        <f>I206</f>
        <v>706.12</v>
      </c>
    </row>
    <row r="208" spans="1:22" ht="15" x14ac:dyDescent="0.25">
      <c r="A208" s="65" t="str">
        <f>CONCATENATE("Итого по подразделу: ",IF(Source!G133&lt;&gt;"Новый подраздел", Source!G133, ""))</f>
        <v>Итого по подразделу: Инженерные сети</v>
      </c>
      <c r="B208" s="65"/>
      <c r="C208" s="65"/>
      <c r="D208" s="65"/>
      <c r="E208" s="65"/>
      <c r="F208" s="65"/>
      <c r="G208" s="65"/>
      <c r="H208" s="65"/>
      <c r="I208" s="63">
        <f>SUM(P145:P207)</f>
        <v>21415.46</v>
      </c>
      <c r="J208" s="64"/>
      <c r="K208" s="30"/>
    </row>
    <row r="211" spans="1:22" ht="16.5" x14ac:dyDescent="0.25">
      <c r="A211" s="62" t="str">
        <f>CONCATENATE("Подраздел: ",IF(Source!G163&lt;&gt;"Новый подраздел", Source!G163, ""))</f>
        <v>Подраздел: Электрика</v>
      </c>
      <c r="B211" s="62"/>
      <c r="C211" s="62"/>
      <c r="D211" s="62"/>
      <c r="E211" s="62"/>
      <c r="F211" s="62"/>
      <c r="G211" s="62"/>
      <c r="H211" s="62"/>
      <c r="I211" s="62"/>
      <c r="J211" s="62"/>
      <c r="K211" s="62"/>
    </row>
    <row r="212" spans="1:22" ht="42.75" x14ac:dyDescent="0.2">
      <c r="A212" s="19">
        <v>19</v>
      </c>
      <c r="B212" s="19" t="str">
        <f>Source!F167</f>
        <v>1.21-3102-8-2/1</v>
      </c>
      <c r="C212" s="19" t="str">
        <f>Source!G167</f>
        <v>Замена электроустановочных изделий, открытая проводка, выключатель, розетка (без стоимости материалов)</v>
      </c>
      <c r="D212" s="20" t="str">
        <f>Source!H167</f>
        <v>100 шт.</v>
      </c>
      <c r="E212" s="9">
        <f>Source!I167</f>
        <v>0.04</v>
      </c>
      <c r="F212" s="22"/>
      <c r="G212" s="21"/>
      <c r="H212" s="9"/>
      <c r="I212" s="9"/>
      <c r="J212" s="22"/>
      <c r="K212" s="22"/>
      <c r="Q212">
        <f>ROUND((Source!BZ167/100)*ROUND((Source!AF167*Source!AV167)*Source!I167, 2), 2)</f>
        <v>324.14</v>
      </c>
      <c r="R212">
        <f>Source!X167</f>
        <v>324.14</v>
      </c>
      <c r="S212">
        <f>ROUND((Source!CA167/100)*ROUND((Source!AF167*Source!AV167)*Source!I167, 2), 2)</f>
        <v>46.31</v>
      </c>
      <c r="T212">
        <f>Source!Y167</f>
        <v>46.31</v>
      </c>
      <c r="U212">
        <f>ROUND((175/100)*ROUND((Source!AE167*Source!AV167)*Source!I167, 2), 2)</f>
        <v>0</v>
      </c>
      <c r="V212">
        <f>ROUND((108/100)*ROUND(Source!CS167*Source!I167, 2), 2)</f>
        <v>0</v>
      </c>
    </row>
    <row r="213" spans="1:22" x14ac:dyDescent="0.2">
      <c r="C213" s="23" t="str">
        <f>"Объем: "&amp;Source!I167&amp;"=4/"&amp;"100"</f>
        <v>Объем: 0,04=4/100</v>
      </c>
    </row>
    <row r="214" spans="1:22" ht="14.25" x14ac:dyDescent="0.2">
      <c r="A214" s="19"/>
      <c r="B214" s="19"/>
      <c r="C214" s="19" t="s">
        <v>521</v>
      </c>
      <c r="D214" s="20"/>
      <c r="E214" s="9"/>
      <c r="F214" s="22">
        <f>Source!AO167</f>
        <v>11576.6</v>
      </c>
      <c r="G214" s="21" t="str">
        <f>Source!DG167</f>
        <v/>
      </c>
      <c r="H214" s="9">
        <f>Source!AV167</f>
        <v>1</v>
      </c>
      <c r="I214" s="9">
        <f>IF(Source!BA167&lt;&gt; 0, Source!BA167, 1)</f>
        <v>1</v>
      </c>
      <c r="J214" s="22">
        <f>Source!S167</f>
        <v>463.06</v>
      </c>
      <c r="K214" s="22"/>
    </row>
    <row r="215" spans="1:22" ht="41.25" x14ac:dyDescent="0.2">
      <c r="A215" s="19" t="s">
        <v>209</v>
      </c>
      <c r="B215" s="19" t="str">
        <f>Source!F168</f>
        <v>Цена пост.</v>
      </c>
      <c r="C215" s="19" t="s">
        <v>540</v>
      </c>
      <c r="D215" s="20" t="str">
        <f>Source!H168</f>
        <v>шт.</v>
      </c>
      <c r="E215" s="9">
        <f>Source!I168</f>
        <v>2</v>
      </c>
      <c r="F215" s="22">
        <f>Source!AK168</f>
        <v>285</v>
      </c>
      <c r="G215" s="29" t="s">
        <v>3</v>
      </c>
      <c r="H215" s="9">
        <f>Source!AW168</f>
        <v>1</v>
      </c>
      <c r="I215" s="9">
        <f>IF(Source!BC168&lt;&gt; 0, Source!BC168, 1)</f>
        <v>1</v>
      </c>
      <c r="J215" s="22">
        <f>Source!O168</f>
        <v>570</v>
      </c>
      <c r="K215" s="22"/>
      <c r="Q215">
        <f>ROUND((Source!BZ168/100)*ROUND((Source!AF168*Source!AV168)*Source!I168, 2), 2)</f>
        <v>0</v>
      </c>
      <c r="R215">
        <f>Source!X168</f>
        <v>0</v>
      </c>
      <c r="S215">
        <f>ROUND((Source!CA168/100)*ROUND((Source!AF168*Source!AV168)*Source!I168, 2), 2)</f>
        <v>0</v>
      </c>
      <c r="T215">
        <f>Source!Y168</f>
        <v>0</v>
      </c>
      <c r="U215">
        <f>ROUND((175/100)*ROUND((Source!AE168*Source!AV168)*Source!I168, 2), 2)</f>
        <v>0</v>
      </c>
      <c r="V215">
        <f>ROUND((108/100)*ROUND(Source!CS168*Source!I168, 2), 2)</f>
        <v>0</v>
      </c>
    </row>
    <row r="216" spans="1:22" ht="57" x14ac:dyDescent="0.2">
      <c r="A216" s="19" t="s">
        <v>212</v>
      </c>
      <c r="B216" s="19" t="str">
        <f>Source!F169</f>
        <v>21.21-5-24</v>
      </c>
      <c r="C216" s="19" t="str">
        <f>Source!G169</f>
        <v>Выключатели, серия "Прима", напряжение 250 В, сила тока 6 А, тип: А16-051, одноклавишный, открытой установки</v>
      </c>
      <c r="D216" s="20" t="str">
        <f>Source!H169</f>
        <v>шт.</v>
      </c>
      <c r="E216" s="9">
        <f>Source!I169</f>
        <v>2</v>
      </c>
      <c r="F216" s="22">
        <f>Source!AK169</f>
        <v>90.55</v>
      </c>
      <c r="G216" s="29" t="s">
        <v>3</v>
      </c>
      <c r="H216" s="9">
        <f>Source!AW169</f>
        <v>1</v>
      </c>
      <c r="I216" s="9">
        <f>IF(Source!BC169&lt;&gt; 0, Source!BC169, 1)</f>
        <v>1</v>
      </c>
      <c r="J216" s="22">
        <f>Source!O169</f>
        <v>181.1</v>
      </c>
      <c r="K216" s="22"/>
      <c r="Q216">
        <f>ROUND((Source!BZ169/100)*ROUND((Source!AF169*Source!AV169)*Source!I169, 2), 2)</f>
        <v>0</v>
      </c>
      <c r="R216">
        <f>Source!X169</f>
        <v>0</v>
      </c>
      <c r="S216">
        <f>ROUND((Source!CA169/100)*ROUND((Source!AF169*Source!AV169)*Source!I169, 2), 2)</f>
        <v>0</v>
      </c>
      <c r="T216">
        <f>Source!Y169</f>
        <v>0</v>
      </c>
      <c r="U216">
        <f>ROUND((175/100)*ROUND((Source!AE169*Source!AV169)*Source!I169, 2), 2)</f>
        <v>0</v>
      </c>
      <c r="V216">
        <f>ROUND((108/100)*ROUND(Source!CS169*Source!I169, 2), 2)</f>
        <v>0</v>
      </c>
    </row>
    <row r="217" spans="1:22" ht="14.25" x14ac:dyDescent="0.2">
      <c r="A217" s="19"/>
      <c r="B217" s="19"/>
      <c r="C217" s="19" t="s">
        <v>523</v>
      </c>
      <c r="D217" s="20" t="s">
        <v>524</v>
      </c>
      <c r="E217" s="9">
        <f>Source!AT167</f>
        <v>70</v>
      </c>
      <c r="F217" s="22"/>
      <c r="G217" s="21"/>
      <c r="H217" s="9"/>
      <c r="I217" s="9"/>
      <c r="J217" s="22">
        <f>SUM(R212:R216)</f>
        <v>324.14</v>
      </c>
      <c r="K217" s="22"/>
    </row>
    <row r="218" spans="1:22" ht="14.25" x14ac:dyDescent="0.2">
      <c r="A218" s="19"/>
      <c r="B218" s="19"/>
      <c r="C218" s="19" t="s">
        <v>525</v>
      </c>
      <c r="D218" s="20" t="s">
        <v>524</v>
      </c>
      <c r="E218" s="9">
        <f>Source!AU167</f>
        <v>10</v>
      </c>
      <c r="F218" s="22"/>
      <c r="G218" s="21"/>
      <c r="H218" s="9"/>
      <c r="I218" s="9"/>
      <c r="J218" s="22">
        <f>SUM(T212:T217)</f>
        <v>46.31</v>
      </c>
      <c r="K218" s="22"/>
    </row>
    <row r="219" spans="1:22" ht="14.25" x14ac:dyDescent="0.2">
      <c r="A219" s="19"/>
      <c r="B219" s="19"/>
      <c r="C219" s="19" t="s">
        <v>526</v>
      </c>
      <c r="D219" s="20" t="s">
        <v>527</v>
      </c>
      <c r="E219" s="9">
        <f>Source!AQ167</f>
        <v>29.74</v>
      </c>
      <c r="F219" s="22"/>
      <c r="G219" s="21" t="str">
        <f>Source!DI167</f>
        <v/>
      </c>
      <c r="H219" s="9">
        <f>Source!AV167</f>
        <v>1</v>
      </c>
      <c r="I219" s="9"/>
      <c r="J219" s="22"/>
      <c r="K219" s="22">
        <f>Source!U167</f>
        <v>1.1896</v>
      </c>
    </row>
    <row r="220" spans="1:22" ht="15" x14ac:dyDescent="0.25">
      <c r="A220" s="26"/>
      <c r="B220" s="26"/>
      <c r="C220" s="26"/>
      <c r="D220" s="26"/>
      <c r="E220" s="26"/>
      <c r="F220" s="26"/>
      <c r="G220" s="26"/>
      <c r="H220" s="26"/>
      <c r="I220" s="61">
        <f>J214+J217+J218+SUM(J215:J216)</f>
        <v>1584.6100000000001</v>
      </c>
      <c r="J220" s="61"/>
      <c r="K220" s="27">
        <f>IF(Source!I167&lt;&gt;0, ROUND(I220/Source!I167, 2), 0)</f>
        <v>39615.25</v>
      </c>
      <c r="P220" s="24">
        <f>I220</f>
        <v>1584.6100000000001</v>
      </c>
    </row>
    <row r="222" spans="1:22" ht="15" x14ac:dyDescent="0.25">
      <c r="A222" s="65" t="str">
        <f>CONCATENATE("Итого по подразделу: ",IF(Source!G171&lt;&gt;"Новый подраздел", Source!G171, ""))</f>
        <v>Итого по подразделу: Электрика</v>
      </c>
      <c r="B222" s="65"/>
      <c r="C222" s="65"/>
      <c r="D222" s="65"/>
      <c r="E222" s="65"/>
      <c r="F222" s="65"/>
      <c r="G222" s="65"/>
      <c r="H222" s="65"/>
      <c r="I222" s="63">
        <f>SUM(P211:P221)</f>
        <v>1584.6100000000001</v>
      </c>
      <c r="J222" s="64"/>
      <c r="K222" s="30"/>
    </row>
    <row r="225" spans="1:22" ht="16.5" x14ac:dyDescent="0.25">
      <c r="A225" s="62" t="str">
        <f>CONCATENATE("Подраздел: ",IF(Source!G201&lt;&gt;"Новый подраздел", Source!G201, ""))</f>
        <v>Подраздел: Прочее</v>
      </c>
      <c r="B225" s="62"/>
      <c r="C225" s="62"/>
      <c r="D225" s="62"/>
      <c r="E225" s="62"/>
      <c r="F225" s="62"/>
      <c r="G225" s="62"/>
      <c r="H225" s="62"/>
      <c r="I225" s="62"/>
      <c r="J225" s="62"/>
      <c r="K225" s="62"/>
    </row>
    <row r="226" spans="1:22" ht="42.75" x14ac:dyDescent="0.2">
      <c r="A226" s="19">
        <v>20</v>
      </c>
      <c r="B226" s="19" t="str">
        <f>Source!F205</f>
        <v>1.18-3202-1-1/1</v>
      </c>
      <c r="C226" s="19" t="str">
        <f>Source!G205</f>
        <v>Смена вентиляционных решеток стальных штампованных, тип РШ, размеры 200х200 мм</v>
      </c>
      <c r="D226" s="20" t="str">
        <f>Source!H205</f>
        <v>100 шт.</v>
      </c>
      <c r="E226" s="9">
        <f>Source!I205</f>
        <v>0.03</v>
      </c>
      <c r="F226" s="22"/>
      <c r="G226" s="21"/>
      <c r="H226" s="9"/>
      <c r="I226" s="9"/>
      <c r="J226" s="22"/>
      <c r="K226" s="22"/>
      <c r="Q226">
        <f>ROUND((Source!BZ205/100)*ROUND((Source!AF205*Source!AV205)*Source!I205, 2), 2)</f>
        <v>422.32</v>
      </c>
      <c r="R226">
        <f>Source!X205</f>
        <v>422.32</v>
      </c>
      <c r="S226">
        <f>ROUND((Source!CA205/100)*ROUND((Source!AF205*Source!AV205)*Source!I205, 2), 2)</f>
        <v>60.33</v>
      </c>
      <c r="T226">
        <f>Source!Y205</f>
        <v>60.33</v>
      </c>
      <c r="U226">
        <f>ROUND((175/100)*ROUND((Source!AE205*Source!AV205)*Source!I205, 2), 2)</f>
        <v>0</v>
      </c>
      <c r="V226">
        <f>ROUND((108/100)*ROUND(Source!CS205*Source!I205, 2), 2)</f>
        <v>0</v>
      </c>
    </row>
    <row r="227" spans="1:22" x14ac:dyDescent="0.2">
      <c r="C227" s="23" t="str">
        <f>"Объем: "&amp;Source!I205&amp;"=3/"&amp;"100"</f>
        <v>Объем: 0,03=3/100</v>
      </c>
    </row>
    <row r="228" spans="1:22" ht="14.25" x14ac:dyDescent="0.2">
      <c r="A228" s="19"/>
      <c r="B228" s="19"/>
      <c r="C228" s="19" t="s">
        <v>521</v>
      </c>
      <c r="D228" s="20"/>
      <c r="E228" s="9"/>
      <c r="F228" s="22">
        <f>Source!AO205</f>
        <v>20110.66</v>
      </c>
      <c r="G228" s="21" t="str">
        <f>Source!DG205</f>
        <v/>
      </c>
      <c r="H228" s="9">
        <f>Source!AV205</f>
        <v>1</v>
      </c>
      <c r="I228" s="9">
        <f>IF(Source!BA205&lt;&gt; 0, Source!BA205, 1)</f>
        <v>1</v>
      </c>
      <c r="J228" s="22">
        <f>Source!S205</f>
        <v>603.32000000000005</v>
      </c>
      <c r="K228" s="22"/>
    </row>
    <row r="229" spans="1:22" ht="14.25" x14ac:dyDescent="0.2">
      <c r="A229" s="19"/>
      <c r="B229" s="19"/>
      <c r="C229" s="19" t="s">
        <v>529</v>
      </c>
      <c r="D229" s="20"/>
      <c r="E229" s="9"/>
      <c r="F229" s="22">
        <f>Source!AL205</f>
        <v>29124.880000000001</v>
      </c>
      <c r="G229" s="21" t="str">
        <f>Source!DD205</f>
        <v/>
      </c>
      <c r="H229" s="9">
        <f>Source!AW205</f>
        <v>1</v>
      </c>
      <c r="I229" s="9">
        <f>IF(Source!BC205&lt;&gt; 0, Source!BC205, 1)</f>
        <v>1</v>
      </c>
      <c r="J229" s="22">
        <f>Source!P205</f>
        <v>873.75</v>
      </c>
      <c r="K229" s="22"/>
    </row>
    <row r="230" spans="1:22" ht="57" x14ac:dyDescent="0.2">
      <c r="A230" s="19" t="s">
        <v>221</v>
      </c>
      <c r="B230" s="19" t="str">
        <f>Source!F206</f>
        <v>21.19-11-46</v>
      </c>
      <c r="C230" s="19" t="str">
        <f>Source!G206</f>
        <v>Решетки вентиляционные, жалюзийные, регулируемые, стальные, марка РС-Г, размер 425х225 мм (300х400 мм)</v>
      </c>
      <c r="D230" s="20" t="str">
        <f>Source!H206</f>
        <v>шт.</v>
      </c>
      <c r="E230" s="9">
        <f>Source!I206</f>
        <v>3</v>
      </c>
      <c r="F230" s="22">
        <f>Source!AK206</f>
        <v>776.22</v>
      </c>
      <c r="G230" s="29" t="s">
        <v>3</v>
      </c>
      <c r="H230" s="9">
        <f>Source!AW206</f>
        <v>1</v>
      </c>
      <c r="I230" s="9">
        <f>IF(Source!BC206&lt;&gt; 0, Source!BC206, 1)</f>
        <v>1</v>
      </c>
      <c r="J230" s="22">
        <f>Source!O206</f>
        <v>2328.66</v>
      </c>
      <c r="K230" s="22"/>
      <c r="Q230">
        <f>ROUND((Source!BZ206/100)*ROUND((Source!AF206*Source!AV206)*Source!I206, 2), 2)</f>
        <v>0</v>
      </c>
      <c r="R230">
        <f>Source!X206</f>
        <v>0</v>
      </c>
      <c r="S230">
        <f>ROUND((Source!CA206/100)*ROUND((Source!AF206*Source!AV206)*Source!I206, 2), 2)</f>
        <v>0</v>
      </c>
      <c r="T230">
        <f>Source!Y206</f>
        <v>0</v>
      </c>
      <c r="U230">
        <f>ROUND((175/100)*ROUND((Source!AE206*Source!AV206)*Source!I206, 2), 2)</f>
        <v>0</v>
      </c>
      <c r="V230">
        <f>ROUND((108/100)*ROUND(Source!CS206*Source!I206, 2), 2)</f>
        <v>0</v>
      </c>
    </row>
    <row r="231" spans="1:22" ht="57" x14ac:dyDescent="0.2">
      <c r="A231" s="19" t="s">
        <v>225</v>
      </c>
      <c r="B231" s="19" t="str">
        <f>Source!F207</f>
        <v>21.19-11-22</v>
      </c>
      <c r="C231" s="19" t="s">
        <v>541</v>
      </c>
      <c r="D231" s="20" t="str">
        <f>Source!H207</f>
        <v>шт.</v>
      </c>
      <c r="E231" s="9">
        <f>Source!I207</f>
        <v>-3</v>
      </c>
      <c r="F231" s="22">
        <f>Source!AK207</f>
        <v>287.24</v>
      </c>
      <c r="G231" s="29" t="s">
        <v>3</v>
      </c>
      <c r="H231" s="9">
        <f>Source!AW207</f>
        <v>1</v>
      </c>
      <c r="I231" s="9">
        <f>IF(Source!BC207&lt;&gt; 0, Source!BC207, 1)</f>
        <v>1</v>
      </c>
      <c r="J231" s="22">
        <f>Source!O207</f>
        <v>-861.72</v>
      </c>
      <c r="K231" s="22"/>
      <c r="Q231">
        <f>ROUND((Source!BZ207/100)*ROUND((Source!AF207*Source!AV207)*Source!I207, 2), 2)</f>
        <v>0</v>
      </c>
      <c r="R231">
        <f>Source!X207</f>
        <v>0</v>
      </c>
      <c r="S231">
        <f>ROUND((Source!CA207/100)*ROUND((Source!AF207*Source!AV207)*Source!I207, 2), 2)</f>
        <v>0</v>
      </c>
      <c r="T231">
        <f>Source!Y207</f>
        <v>0</v>
      </c>
      <c r="U231">
        <f>ROUND((175/100)*ROUND((Source!AE207*Source!AV207)*Source!I207, 2), 2)</f>
        <v>0</v>
      </c>
      <c r="V231">
        <f>ROUND((108/100)*ROUND(Source!CS207*Source!I207, 2), 2)</f>
        <v>0</v>
      </c>
    </row>
    <row r="232" spans="1:22" ht="14.25" x14ac:dyDescent="0.2">
      <c r="A232" s="19"/>
      <c r="B232" s="19"/>
      <c r="C232" s="19" t="s">
        <v>523</v>
      </c>
      <c r="D232" s="20" t="s">
        <v>524</v>
      </c>
      <c r="E232" s="9">
        <f>Source!AT205</f>
        <v>70</v>
      </c>
      <c r="F232" s="22"/>
      <c r="G232" s="21"/>
      <c r="H232" s="9"/>
      <c r="I232" s="9"/>
      <c r="J232" s="22">
        <f>SUM(R226:R231)</f>
        <v>422.32</v>
      </c>
      <c r="K232" s="22"/>
    </row>
    <row r="233" spans="1:22" ht="14.25" x14ac:dyDescent="0.2">
      <c r="A233" s="19"/>
      <c r="B233" s="19"/>
      <c r="C233" s="19" t="s">
        <v>525</v>
      </c>
      <c r="D233" s="20" t="s">
        <v>524</v>
      </c>
      <c r="E233" s="9">
        <f>Source!AU205</f>
        <v>10</v>
      </c>
      <c r="F233" s="22"/>
      <c r="G233" s="21"/>
      <c r="H233" s="9"/>
      <c r="I233" s="9"/>
      <c r="J233" s="22">
        <f>SUM(T226:T232)</f>
        <v>60.33</v>
      </c>
      <c r="K233" s="22"/>
    </row>
    <row r="234" spans="1:22" ht="14.25" x14ac:dyDescent="0.2">
      <c r="A234" s="19"/>
      <c r="B234" s="19"/>
      <c r="C234" s="19" t="s">
        <v>526</v>
      </c>
      <c r="D234" s="20" t="s">
        <v>527</v>
      </c>
      <c r="E234" s="9">
        <f>Source!AQ205</f>
        <v>46.19</v>
      </c>
      <c r="F234" s="22"/>
      <c r="G234" s="21" t="str">
        <f>Source!DI205</f>
        <v/>
      </c>
      <c r="H234" s="9">
        <f>Source!AV205</f>
        <v>1</v>
      </c>
      <c r="I234" s="9"/>
      <c r="J234" s="22"/>
      <c r="K234" s="22">
        <f>Source!U205</f>
        <v>1.3856999999999999</v>
      </c>
    </row>
    <row r="235" spans="1:22" ht="15" x14ac:dyDescent="0.25">
      <c r="A235" s="26"/>
      <c r="B235" s="26"/>
      <c r="C235" s="26"/>
      <c r="D235" s="26"/>
      <c r="E235" s="26"/>
      <c r="F235" s="26"/>
      <c r="G235" s="26"/>
      <c r="H235" s="26"/>
      <c r="I235" s="61">
        <f>J228+J229+J232+J233+SUM(J230:J231)</f>
        <v>3426.66</v>
      </c>
      <c r="J235" s="61"/>
      <c r="K235" s="27">
        <f>IF(Source!I205&lt;&gt;0, ROUND(I235/Source!I205, 2), 0)</f>
        <v>114222</v>
      </c>
      <c r="P235" s="24">
        <f>I235</f>
        <v>3426.66</v>
      </c>
    </row>
    <row r="237" spans="1:22" ht="15" x14ac:dyDescent="0.25">
      <c r="A237" s="65" t="str">
        <f>CONCATENATE("Итого по подразделу: ",IF(Source!G209&lt;&gt;"Новый подраздел", Source!G209, ""))</f>
        <v>Итого по подразделу: Прочее</v>
      </c>
      <c r="B237" s="65"/>
      <c r="C237" s="65"/>
      <c r="D237" s="65"/>
      <c r="E237" s="65"/>
      <c r="F237" s="65"/>
      <c r="G237" s="65"/>
      <c r="H237" s="65"/>
      <c r="I237" s="63">
        <f>SUM(P225:P236)</f>
        <v>3426.66</v>
      </c>
      <c r="J237" s="64"/>
      <c r="K237" s="30"/>
    </row>
    <row r="240" spans="1:22" ht="15" x14ac:dyDescent="0.25">
      <c r="A240" s="65" t="str">
        <f>CONCATENATE("Итого по разделу: ",IF(Source!G239&lt;&gt;"Новый раздел", Source!G239, ""))</f>
        <v>Итого по разделу: Второй этаж, кабинет № 216</v>
      </c>
      <c r="B240" s="65"/>
      <c r="C240" s="65"/>
      <c r="D240" s="65"/>
      <c r="E240" s="65"/>
      <c r="F240" s="65"/>
      <c r="G240" s="65"/>
      <c r="H240" s="65"/>
      <c r="I240" s="63">
        <f>SUM(P34:P239)</f>
        <v>231390.31</v>
      </c>
      <c r="J240" s="64"/>
      <c r="K240" s="30"/>
    </row>
    <row r="243" spans="1:22" ht="16.5" x14ac:dyDescent="0.25">
      <c r="A243" s="62" t="str">
        <f>CONCATENATE("Раздел: ",IF(Source!G269&lt;&gt;"Новый раздел", Source!G269, ""))</f>
        <v>Раздел: Второй этаж, кабинет № 311</v>
      </c>
      <c r="B243" s="62"/>
      <c r="C243" s="62"/>
      <c r="D243" s="62"/>
      <c r="E243" s="62"/>
      <c r="F243" s="62"/>
      <c r="G243" s="62"/>
      <c r="H243" s="62"/>
      <c r="I243" s="62"/>
      <c r="J243" s="62"/>
      <c r="K243" s="62"/>
    </row>
    <row r="245" spans="1:22" ht="16.5" x14ac:dyDescent="0.25">
      <c r="A245" s="62" t="str">
        <f>CONCATENATE("Подраздел: ",IF(Source!G273&lt;&gt;"Новый подраздел", Source!G273, ""))</f>
        <v>Подраздел: Полы</v>
      </c>
      <c r="B245" s="62"/>
      <c r="C245" s="62"/>
      <c r="D245" s="62"/>
      <c r="E245" s="62"/>
      <c r="F245" s="62"/>
      <c r="G245" s="62"/>
      <c r="H245" s="62"/>
      <c r="I245" s="62"/>
      <c r="J245" s="62"/>
      <c r="K245" s="62"/>
    </row>
    <row r="246" spans="1:22" ht="28.5" x14ac:dyDescent="0.2">
      <c r="A246" s="19">
        <v>21</v>
      </c>
      <c r="B246" s="19" t="str">
        <f>Source!F277</f>
        <v>1.10-3404-5-1/1</v>
      </c>
      <c r="C246" s="19" t="str">
        <f>Source!G277</f>
        <v>Разборка (снятие) металлической накладной полосы (порожка)</v>
      </c>
      <c r="D246" s="20" t="str">
        <f>Source!H277</f>
        <v>100 м</v>
      </c>
      <c r="E246" s="9">
        <f>Source!I277</f>
        <v>8.9999999999999993E-3</v>
      </c>
      <c r="F246" s="22"/>
      <c r="G246" s="21"/>
      <c r="H246" s="9"/>
      <c r="I246" s="9"/>
      <c r="J246" s="22"/>
      <c r="K246" s="22"/>
      <c r="Q246">
        <f>ROUND((Source!BZ277/100)*ROUND((Source!AF277*Source!AV277)*Source!I277, 2), 2)</f>
        <v>7.97</v>
      </c>
      <c r="R246">
        <f>Source!X277</f>
        <v>7.97</v>
      </c>
      <c r="S246">
        <f>ROUND((Source!CA277/100)*ROUND((Source!AF277*Source!AV277)*Source!I277, 2), 2)</f>
        <v>1.1399999999999999</v>
      </c>
      <c r="T246">
        <f>Source!Y277</f>
        <v>1.1399999999999999</v>
      </c>
      <c r="U246">
        <f>ROUND((175/100)*ROUND((Source!AE277*Source!AV277)*Source!I277, 2), 2)</f>
        <v>0</v>
      </c>
      <c r="V246">
        <f>ROUND((108/100)*ROUND(Source!CS277*Source!I277, 2), 2)</f>
        <v>0</v>
      </c>
    </row>
    <row r="247" spans="1:22" x14ac:dyDescent="0.2">
      <c r="C247" s="23" t="str">
        <f>"Объем: "&amp;Source!I277&amp;"=0,9/"&amp;"100"</f>
        <v>Объем: 0,009=0,9/100</v>
      </c>
    </row>
    <row r="248" spans="1:22" ht="14.25" x14ac:dyDescent="0.2">
      <c r="A248" s="19"/>
      <c r="B248" s="19"/>
      <c r="C248" s="19" t="s">
        <v>521</v>
      </c>
      <c r="D248" s="20"/>
      <c r="E248" s="9"/>
      <c r="F248" s="22">
        <f>Source!AO277</f>
        <v>1265.9000000000001</v>
      </c>
      <c r="G248" s="21" t="str">
        <f>Source!DG277</f>
        <v/>
      </c>
      <c r="H248" s="9">
        <f>Source!AV277</f>
        <v>1</v>
      </c>
      <c r="I248" s="9">
        <f>IF(Source!BA277&lt;&gt; 0, Source!BA277, 1)</f>
        <v>1</v>
      </c>
      <c r="J248" s="22">
        <f>Source!S277</f>
        <v>11.39</v>
      </c>
      <c r="K248" s="22"/>
    </row>
    <row r="249" spans="1:22" ht="14.25" x14ac:dyDescent="0.2">
      <c r="A249" s="19"/>
      <c r="B249" s="19"/>
      <c r="C249" s="19" t="s">
        <v>522</v>
      </c>
      <c r="D249" s="20"/>
      <c r="E249" s="9"/>
      <c r="F249" s="22">
        <f>Source!AM277</f>
        <v>7.44</v>
      </c>
      <c r="G249" s="21" t="str">
        <f>Source!DE277</f>
        <v/>
      </c>
      <c r="H249" s="9">
        <f>Source!AV277</f>
        <v>1</v>
      </c>
      <c r="I249" s="9">
        <f>IF(Source!BB277&lt;&gt; 0, Source!BB277, 1)</f>
        <v>1</v>
      </c>
      <c r="J249" s="22">
        <f>Source!Q277</f>
        <v>7.0000000000000007E-2</v>
      </c>
      <c r="K249" s="22"/>
    </row>
    <row r="250" spans="1:22" ht="14.25" x14ac:dyDescent="0.2">
      <c r="A250" s="19"/>
      <c r="B250" s="19"/>
      <c r="C250" s="19" t="s">
        <v>523</v>
      </c>
      <c r="D250" s="20" t="s">
        <v>524</v>
      </c>
      <c r="E250" s="9">
        <f>Source!AT277</f>
        <v>70</v>
      </c>
      <c r="F250" s="22"/>
      <c r="G250" s="21"/>
      <c r="H250" s="9"/>
      <c r="I250" s="9"/>
      <c r="J250" s="22">
        <f>SUM(R246:R249)</f>
        <v>7.97</v>
      </c>
      <c r="K250" s="22"/>
    </row>
    <row r="251" spans="1:22" ht="14.25" x14ac:dyDescent="0.2">
      <c r="A251" s="19"/>
      <c r="B251" s="19"/>
      <c r="C251" s="19" t="s">
        <v>525</v>
      </c>
      <c r="D251" s="20" t="s">
        <v>524</v>
      </c>
      <c r="E251" s="9">
        <f>Source!AU277</f>
        <v>10</v>
      </c>
      <c r="F251" s="22"/>
      <c r="G251" s="21"/>
      <c r="H251" s="9"/>
      <c r="I251" s="9"/>
      <c r="J251" s="22">
        <f>SUM(T246:T250)</f>
        <v>1.1399999999999999</v>
      </c>
      <c r="K251" s="22"/>
    </row>
    <row r="252" spans="1:22" ht="14.25" x14ac:dyDescent="0.2">
      <c r="A252" s="19"/>
      <c r="B252" s="19"/>
      <c r="C252" s="19" t="s">
        <v>526</v>
      </c>
      <c r="D252" s="20" t="s">
        <v>527</v>
      </c>
      <c r="E252" s="9">
        <f>Source!AQ277</f>
        <v>3.13</v>
      </c>
      <c r="F252" s="22"/>
      <c r="G252" s="21" t="str">
        <f>Source!DI277</f>
        <v/>
      </c>
      <c r="H252" s="9">
        <f>Source!AV277</f>
        <v>1</v>
      </c>
      <c r="I252" s="9"/>
      <c r="J252" s="22"/>
      <c r="K252" s="22">
        <f>Source!U277</f>
        <v>2.8169999999999997E-2</v>
      </c>
    </row>
    <row r="253" spans="1:22" ht="15" x14ac:dyDescent="0.25">
      <c r="A253" s="26"/>
      <c r="B253" s="26"/>
      <c r="C253" s="26"/>
      <c r="D253" s="26"/>
      <c r="E253" s="26"/>
      <c r="F253" s="26"/>
      <c r="G253" s="26"/>
      <c r="H253" s="26"/>
      <c r="I253" s="61">
        <f>J248+J249+J250+J251</f>
        <v>20.57</v>
      </c>
      <c r="J253" s="61"/>
      <c r="K253" s="27">
        <f>IF(Source!I277&lt;&gt;0, ROUND(I253/Source!I277, 2), 0)</f>
        <v>2285.56</v>
      </c>
      <c r="P253" s="24">
        <f>I253</f>
        <v>20.57</v>
      </c>
    </row>
    <row r="254" spans="1:22" ht="28.5" x14ac:dyDescent="0.2">
      <c r="A254" s="19">
        <v>22</v>
      </c>
      <c r="B254" s="19" t="str">
        <f>Source!F278</f>
        <v>1.10-3804-1-1/1</v>
      </c>
      <c r="C254" s="19" t="str">
        <f>Source!G278</f>
        <v>Разборка деревянных плинтусов</v>
      </c>
      <c r="D254" s="20" t="str">
        <f>Source!H278</f>
        <v>100 м</v>
      </c>
      <c r="E254" s="9">
        <f>Source!I278</f>
        <v>0.3095</v>
      </c>
      <c r="F254" s="22"/>
      <c r="G254" s="21"/>
      <c r="H254" s="9"/>
      <c r="I254" s="9"/>
      <c r="J254" s="22"/>
      <c r="K254" s="22"/>
      <c r="Q254">
        <f>ROUND((Source!BZ278/100)*ROUND((Source!AF278*Source!AV278)*Source!I278, 2), 2)</f>
        <v>317.93</v>
      </c>
      <c r="R254">
        <f>Source!X278</f>
        <v>317.93</v>
      </c>
      <c r="S254">
        <f>ROUND((Source!CA278/100)*ROUND((Source!AF278*Source!AV278)*Source!I278, 2), 2)</f>
        <v>45.42</v>
      </c>
      <c r="T254">
        <f>Source!Y278</f>
        <v>45.42</v>
      </c>
      <c r="U254">
        <f>ROUND((175/100)*ROUND((Source!AE278*Source!AV278)*Source!I278, 2), 2)</f>
        <v>0</v>
      </c>
      <c r="V254">
        <f>ROUND((108/100)*ROUND(Source!CS278*Source!I278, 2), 2)</f>
        <v>0</v>
      </c>
    </row>
    <row r="255" spans="1:22" x14ac:dyDescent="0.2">
      <c r="C255" s="23" t="str">
        <f>"Объем: "&amp;Source!I278&amp;"=30,95/"&amp;"100"</f>
        <v>Объем: 0,3095=30,95/100</v>
      </c>
    </row>
    <row r="256" spans="1:22" ht="14.25" x14ac:dyDescent="0.2">
      <c r="A256" s="19"/>
      <c r="B256" s="19"/>
      <c r="C256" s="19" t="s">
        <v>521</v>
      </c>
      <c r="D256" s="20"/>
      <c r="E256" s="9"/>
      <c r="F256" s="22">
        <f>Source!AO278</f>
        <v>1467.51</v>
      </c>
      <c r="G256" s="21" t="str">
        <f>Source!DG278</f>
        <v/>
      </c>
      <c r="H256" s="9">
        <f>Source!AV278</f>
        <v>1</v>
      </c>
      <c r="I256" s="9">
        <f>IF(Source!BA278&lt;&gt; 0, Source!BA278, 1)</f>
        <v>1</v>
      </c>
      <c r="J256" s="22">
        <f>Source!S278</f>
        <v>454.19</v>
      </c>
      <c r="K256" s="22"/>
    </row>
    <row r="257" spans="1:22" ht="14.25" x14ac:dyDescent="0.2">
      <c r="A257" s="19"/>
      <c r="B257" s="19"/>
      <c r="C257" s="19" t="s">
        <v>523</v>
      </c>
      <c r="D257" s="20" t="s">
        <v>524</v>
      </c>
      <c r="E257" s="9">
        <f>Source!AT278</f>
        <v>70</v>
      </c>
      <c r="F257" s="22"/>
      <c r="G257" s="21"/>
      <c r="H257" s="9"/>
      <c r="I257" s="9"/>
      <c r="J257" s="22">
        <f>SUM(R254:R256)</f>
        <v>317.93</v>
      </c>
      <c r="K257" s="22"/>
    </row>
    <row r="258" spans="1:22" ht="14.25" x14ac:dyDescent="0.2">
      <c r="A258" s="19"/>
      <c r="B258" s="19"/>
      <c r="C258" s="19" t="s">
        <v>525</v>
      </c>
      <c r="D258" s="20" t="s">
        <v>524</v>
      </c>
      <c r="E258" s="9">
        <f>Source!AU278</f>
        <v>10</v>
      </c>
      <c r="F258" s="22"/>
      <c r="G258" s="21"/>
      <c r="H258" s="9"/>
      <c r="I258" s="9"/>
      <c r="J258" s="22">
        <f>SUM(T254:T257)</f>
        <v>45.42</v>
      </c>
      <c r="K258" s="22"/>
    </row>
    <row r="259" spans="1:22" ht="14.25" x14ac:dyDescent="0.2">
      <c r="A259" s="19"/>
      <c r="B259" s="19"/>
      <c r="C259" s="19" t="s">
        <v>526</v>
      </c>
      <c r="D259" s="20" t="s">
        <v>527</v>
      </c>
      <c r="E259" s="9">
        <f>Source!AQ278</f>
        <v>3.77</v>
      </c>
      <c r="F259" s="22"/>
      <c r="G259" s="21" t="str">
        <f>Source!DI278</f>
        <v/>
      </c>
      <c r="H259" s="9">
        <f>Source!AV278</f>
        <v>1</v>
      </c>
      <c r="I259" s="9"/>
      <c r="J259" s="22"/>
      <c r="K259" s="22">
        <f>Source!U278</f>
        <v>1.1668149999999999</v>
      </c>
    </row>
    <row r="260" spans="1:22" ht="15" x14ac:dyDescent="0.25">
      <c r="A260" s="26"/>
      <c r="B260" s="26"/>
      <c r="C260" s="26"/>
      <c r="D260" s="26"/>
      <c r="E260" s="26"/>
      <c r="F260" s="26"/>
      <c r="G260" s="26"/>
      <c r="H260" s="26"/>
      <c r="I260" s="61">
        <f>J256+J257+J258</f>
        <v>817.54</v>
      </c>
      <c r="J260" s="61"/>
      <c r="K260" s="27">
        <f>IF(Source!I278&lt;&gt;0, ROUND(I260/Source!I278, 2), 0)</f>
        <v>2641.49</v>
      </c>
      <c r="P260" s="24">
        <f>I260</f>
        <v>817.54</v>
      </c>
    </row>
    <row r="261" spans="1:22" ht="28.5" x14ac:dyDescent="0.2">
      <c r="A261" s="19">
        <v>23</v>
      </c>
      <c r="B261" s="19" t="str">
        <f>Source!F279</f>
        <v>1.10-3803-1-2/1</v>
      </c>
      <c r="C261" s="19" t="str">
        <f>Source!G279</f>
        <v>Устройство плинтусов неокрашенных из древесины хвойных пород</v>
      </c>
      <c r="D261" s="20" t="str">
        <f>Source!H279</f>
        <v>100 м</v>
      </c>
      <c r="E261" s="9">
        <f>Source!I279</f>
        <v>0.315</v>
      </c>
      <c r="F261" s="22"/>
      <c r="G261" s="21"/>
      <c r="H261" s="9"/>
      <c r="I261" s="9"/>
      <c r="J261" s="22"/>
      <c r="K261" s="22"/>
      <c r="Q261">
        <f>ROUND((Source!BZ279/100)*ROUND((Source!AF279*Source!AV279)*Source!I279, 2), 2)</f>
        <v>844.83</v>
      </c>
      <c r="R261">
        <f>Source!X279</f>
        <v>844.83</v>
      </c>
      <c r="S261">
        <f>ROUND((Source!CA279/100)*ROUND((Source!AF279*Source!AV279)*Source!I279, 2), 2)</f>
        <v>120.69</v>
      </c>
      <c r="T261">
        <f>Source!Y279</f>
        <v>120.69</v>
      </c>
      <c r="U261">
        <f>ROUND((175/100)*ROUND((Source!AE279*Source!AV279)*Source!I279, 2), 2)</f>
        <v>0</v>
      </c>
      <c r="V261">
        <f>ROUND((108/100)*ROUND(Source!CS279*Source!I279, 2), 2)</f>
        <v>0</v>
      </c>
    </row>
    <row r="262" spans="1:22" x14ac:dyDescent="0.2">
      <c r="C262" s="23" t="str">
        <f>"Объем: "&amp;Source!I279&amp;"=31,5/"&amp;"100"</f>
        <v>Объем: 0,315=31,5/100</v>
      </c>
    </row>
    <row r="263" spans="1:22" ht="14.25" x14ac:dyDescent="0.2">
      <c r="A263" s="19"/>
      <c r="B263" s="19"/>
      <c r="C263" s="19" t="s">
        <v>521</v>
      </c>
      <c r="D263" s="20"/>
      <c r="E263" s="9"/>
      <c r="F263" s="22">
        <f>Source!AO279</f>
        <v>3831.43</v>
      </c>
      <c r="G263" s="21" t="str">
        <f>Source!DG279</f>
        <v/>
      </c>
      <c r="H263" s="9">
        <f>Source!AV279</f>
        <v>1</v>
      </c>
      <c r="I263" s="9">
        <f>IF(Source!BA279&lt;&gt; 0, Source!BA279, 1)</f>
        <v>1</v>
      </c>
      <c r="J263" s="22">
        <f>Source!S279</f>
        <v>1206.9000000000001</v>
      </c>
      <c r="K263" s="22"/>
    </row>
    <row r="264" spans="1:22" ht="14.25" x14ac:dyDescent="0.2">
      <c r="A264" s="19"/>
      <c r="B264" s="19"/>
      <c r="C264" s="19" t="s">
        <v>529</v>
      </c>
      <c r="D264" s="20"/>
      <c r="E264" s="9"/>
      <c r="F264" s="22">
        <f>Source!AL279</f>
        <v>3955.76</v>
      </c>
      <c r="G264" s="21" t="str">
        <f>Source!DD279</f>
        <v/>
      </c>
      <c r="H264" s="9">
        <f>Source!AW279</f>
        <v>1</v>
      </c>
      <c r="I264" s="9">
        <f>IF(Source!BC279&lt;&gt; 0, Source!BC279, 1)</f>
        <v>1</v>
      </c>
      <c r="J264" s="22">
        <f>Source!P279</f>
        <v>1246.06</v>
      </c>
      <c r="K264" s="22"/>
    </row>
    <row r="265" spans="1:22" ht="55.5" x14ac:dyDescent="0.2">
      <c r="A265" s="19" t="s">
        <v>236</v>
      </c>
      <c r="B265" s="19" t="str">
        <f>Source!F280</f>
        <v>цена пост.</v>
      </c>
      <c r="C265" s="19" t="s">
        <v>531</v>
      </c>
      <c r="D265" s="20" t="str">
        <f>Source!H280</f>
        <v>м</v>
      </c>
      <c r="E265" s="9">
        <f>Source!I280</f>
        <v>33.075000000000003</v>
      </c>
      <c r="F265" s="22">
        <f>Source!AK280</f>
        <v>87.13</v>
      </c>
      <c r="G265" s="29" t="s">
        <v>3</v>
      </c>
      <c r="H265" s="9">
        <f>Source!AW280</f>
        <v>1</v>
      </c>
      <c r="I265" s="9">
        <f>IF(Source!BC280&lt;&gt; 0, Source!BC280, 1)</f>
        <v>1</v>
      </c>
      <c r="J265" s="22">
        <f>Source!O280</f>
        <v>2881.82</v>
      </c>
      <c r="K265" s="22"/>
      <c r="Q265">
        <f>ROUND((Source!BZ280/100)*ROUND((Source!AF280*Source!AV280)*Source!I280, 2), 2)</f>
        <v>0</v>
      </c>
      <c r="R265">
        <f>Source!X280</f>
        <v>0</v>
      </c>
      <c r="S265">
        <f>ROUND((Source!CA280/100)*ROUND((Source!AF280*Source!AV280)*Source!I280, 2), 2)</f>
        <v>0</v>
      </c>
      <c r="T265">
        <f>Source!Y280</f>
        <v>0</v>
      </c>
      <c r="U265">
        <f>ROUND((175/100)*ROUND((Source!AE280*Source!AV280)*Source!I280, 2), 2)</f>
        <v>0</v>
      </c>
      <c r="V265">
        <f>ROUND((108/100)*ROUND(Source!CS280*Source!I280, 2), 2)</f>
        <v>0</v>
      </c>
    </row>
    <row r="266" spans="1:22" ht="42.75" x14ac:dyDescent="0.2">
      <c r="A266" s="19" t="s">
        <v>237</v>
      </c>
      <c r="B266" s="19" t="str">
        <f>Source!F281</f>
        <v>21.9-12-58</v>
      </c>
      <c r="C266" s="19" t="s">
        <v>532</v>
      </c>
      <c r="D266" s="20" t="str">
        <f>Source!H281</f>
        <v>м</v>
      </c>
      <c r="E266" s="9">
        <f>Source!I281</f>
        <v>-33.075000000000003</v>
      </c>
      <c r="F266" s="22">
        <f>Source!AK281</f>
        <v>37.29</v>
      </c>
      <c r="G266" s="29" t="s">
        <v>3</v>
      </c>
      <c r="H266" s="9">
        <f>Source!AW281</f>
        <v>1</v>
      </c>
      <c r="I266" s="9">
        <f>IF(Source!BC281&lt;&gt; 0, Source!BC281, 1)</f>
        <v>1</v>
      </c>
      <c r="J266" s="22">
        <f>Source!O281</f>
        <v>-1233.3699999999999</v>
      </c>
      <c r="K266" s="22"/>
      <c r="Q266">
        <f>ROUND((Source!BZ281/100)*ROUND((Source!AF281*Source!AV281)*Source!I281, 2), 2)</f>
        <v>0</v>
      </c>
      <c r="R266">
        <f>Source!X281</f>
        <v>0</v>
      </c>
      <c r="S266">
        <f>ROUND((Source!CA281/100)*ROUND((Source!AF281*Source!AV281)*Source!I281, 2), 2)</f>
        <v>0</v>
      </c>
      <c r="T266">
        <f>Source!Y281</f>
        <v>0</v>
      </c>
      <c r="U266">
        <f>ROUND((175/100)*ROUND((Source!AE281*Source!AV281)*Source!I281, 2), 2)</f>
        <v>0</v>
      </c>
      <c r="V266">
        <f>ROUND((108/100)*ROUND(Source!CS281*Source!I281, 2), 2)</f>
        <v>0</v>
      </c>
    </row>
    <row r="267" spans="1:22" ht="14.25" x14ac:dyDescent="0.2">
      <c r="A267" s="19"/>
      <c r="B267" s="19"/>
      <c r="C267" s="19" t="s">
        <v>523</v>
      </c>
      <c r="D267" s="20" t="s">
        <v>524</v>
      </c>
      <c r="E267" s="9">
        <f>Source!AT279</f>
        <v>70</v>
      </c>
      <c r="F267" s="22"/>
      <c r="G267" s="21"/>
      <c r="H267" s="9"/>
      <c r="I267" s="9"/>
      <c r="J267" s="22">
        <f>SUM(R261:R266)</f>
        <v>844.83</v>
      </c>
      <c r="K267" s="22"/>
    </row>
    <row r="268" spans="1:22" ht="14.25" x14ac:dyDescent="0.2">
      <c r="A268" s="19"/>
      <c r="B268" s="19"/>
      <c r="C268" s="19" t="s">
        <v>525</v>
      </c>
      <c r="D268" s="20" t="s">
        <v>524</v>
      </c>
      <c r="E268" s="9">
        <f>Source!AU279</f>
        <v>10</v>
      </c>
      <c r="F268" s="22"/>
      <c r="G268" s="21"/>
      <c r="H268" s="9"/>
      <c r="I268" s="9"/>
      <c r="J268" s="22">
        <f>SUM(T261:T267)</f>
        <v>120.69</v>
      </c>
      <c r="K268" s="22"/>
    </row>
    <row r="269" spans="1:22" ht="14.25" x14ac:dyDescent="0.2">
      <c r="A269" s="19"/>
      <c r="B269" s="19"/>
      <c r="C269" s="19" t="s">
        <v>526</v>
      </c>
      <c r="D269" s="20" t="s">
        <v>527</v>
      </c>
      <c r="E269" s="9">
        <f>Source!AQ279</f>
        <v>8.8000000000000007</v>
      </c>
      <c r="F269" s="22"/>
      <c r="G269" s="21" t="str">
        <f>Source!DI279</f>
        <v/>
      </c>
      <c r="H269" s="9">
        <f>Source!AV279</f>
        <v>1</v>
      </c>
      <c r="I269" s="9"/>
      <c r="J269" s="22"/>
      <c r="K269" s="22">
        <f>Source!U279</f>
        <v>2.7720000000000002</v>
      </c>
    </row>
    <row r="270" spans="1:22" ht="15" x14ac:dyDescent="0.25">
      <c r="A270" s="26"/>
      <c r="B270" s="26"/>
      <c r="C270" s="26"/>
      <c r="D270" s="26"/>
      <c r="E270" s="26"/>
      <c r="F270" s="26"/>
      <c r="G270" s="26"/>
      <c r="H270" s="26"/>
      <c r="I270" s="61">
        <f>J263+J264+J267+J268+SUM(J265:J266)</f>
        <v>5066.93</v>
      </c>
      <c r="J270" s="61"/>
      <c r="K270" s="27">
        <f>IF(Source!I279&lt;&gt;0, ROUND(I270/Source!I279, 2), 0)</f>
        <v>16085.49</v>
      </c>
      <c r="P270" s="24">
        <f>I270</f>
        <v>5066.93</v>
      </c>
    </row>
    <row r="271" spans="1:22" ht="57" x14ac:dyDescent="0.2">
      <c r="A271" s="19">
        <v>24</v>
      </c>
      <c r="B271" s="19" t="str">
        <f>Source!F282</f>
        <v>1.10-3403-5-6/1</v>
      </c>
      <c r="C271" s="19" t="str">
        <f>Source!G282</f>
        <v>Покрытие полов лаком по огрунтованной или окрашенной поверхности за 2 раза (покрытие плинтуса морилкой)</v>
      </c>
      <c r="D271" s="20" t="str">
        <f>Source!H282</f>
        <v>100 м2</v>
      </c>
      <c r="E271" s="9">
        <f>Source!I282</f>
        <v>1.5800000000000002E-2</v>
      </c>
      <c r="F271" s="22"/>
      <c r="G271" s="21"/>
      <c r="H271" s="9"/>
      <c r="I271" s="9"/>
      <c r="J271" s="22"/>
      <c r="K271" s="22"/>
      <c r="Q271">
        <f>ROUND((Source!BZ282/100)*ROUND((Source!AF282*Source!AV282)*Source!I282, 2), 2)</f>
        <v>78.95</v>
      </c>
      <c r="R271">
        <f>Source!X282</f>
        <v>78.95</v>
      </c>
      <c r="S271">
        <f>ROUND((Source!CA282/100)*ROUND((Source!AF282*Source!AV282)*Source!I282, 2), 2)</f>
        <v>11.28</v>
      </c>
      <c r="T271">
        <f>Source!Y282</f>
        <v>11.28</v>
      </c>
      <c r="U271">
        <f>ROUND((175/100)*ROUND((Source!AE282*Source!AV282)*Source!I282, 2), 2)</f>
        <v>0</v>
      </c>
      <c r="V271">
        <f>ROUND((108/100)*ROUND(Source!CS282*Source!I282, 2), 2)</f>
        <v>0</v>
      </c>
    </row>
    <row r="272" spans="1:22" x14ac:dyDescent="0.2">
      <c r="C272" s="23" t="str">
        <f>"Объем: "&amp;Source!I282&amp;"=1,58/"&amp;"100"</f>
        <v>Объем: 0,0158=1,58/100</v>
      </c>
    </row>
    <row r="273" spans="1:22" ht="14.25" x14ac:dyDescent="0.2">
      <c r="A273" s="19"/>
      <c r="B273" s="19"/>
      <c r="C273" s="19" t="s">
        <v>521</v>
      </c>
      <c r="D273" s="20"/>
      <c r="E273" s="9"/>
      <c r="F273" s="22">
        <f>Source!AO282</f>
        <v>7138.1</v>
      </c>
      <c r="G273" s="21" t="str">
        <f>Source!DG282</f>
        <v/>
      </c>
      <c r="H273" s="9">
        <f>Source!AV282</f>
        <v>1</v>
      </c>
      <c r="I273" s="9">
        <f>IF(Source!BA282&lt;&gt; 0, Source!BA282, 1)</f>
        <v>1</v>
      </c>
      <c r="J273" s="22">
        <f>Source!S282</f>
        <v>112.78</v>
      </c>
      <c r="K273" s="22"/>
    </row>
    <row r="274" spans="1:22" ht="14.25" x14ac:dyDescent="0.2">
      <c r="A274" s="19"/>
      <c r="B274" s="19"/>
      <c r="C274" s="19" t="s">
        <v>529</v>
      </c>
      <c r="D274" s="20"/>
      <c r="E274" s="9"/>
      <c r="F274" s="22">
        <f>Source!AL282</f>
        <v>5145.8599999999997</v>
      </c>
      <c r="G274" s="21" t="str">
        <f>Source!DD282</f>
        <v/>
      </c>
      <c r="H274" s="9">
        <f>Source!AW282</f>
        <v>1</v>
      </c>
      <c r="I274" s="9">
        <f>IF(Source!BC282&lt;&gt; 0, Source!BC282, 1)</f>
        <v>1</v>
      </c>
      <c r="J274" s="22">
        <f>Source!P282</f>
        <v>81.3</v>
      </c>
      <c r="K274" s="22"/>
    </row>
    <row r="275" spans="1:22" ht="14.25" x14ac:dyDescent="0.2">
      <c r="A275" s="19" t="s">
        <v>239</v>
      </c>
      <c r="B275" s="19" t="str">
        <f>Source!F283</f>
        <v>21.1-8-4</v>
      </c>
      <c r="C275" s="19" t="str">
        <f>Source!G283</f>
        <v>Морилка натуральная (в 2 слоя)</v>
      </c>
      <c r="D275" s="20" t="str">
        <f>Source!H283</f>
        <v>кг</v>
      </c>
      <c r="E275" s="9">
        <f>Source!I283</f>
        <v>0.39500000000000002</v>
      </c>
      <c r="F275" s="22">
        <f>Source!AK283</f>
        <v>309.42</v>
      </c>
      <c r="G275" s="29" t="s">
        <v>3</v>
      </c>
      <c r="H275" s="9">
        <f>Source!AW283</f>
        <v>1</v>
      </c>
      <c r="I275" s="9">
        <f>IF(Source!BC283&lt;&gt; 0, Source!BC283, 1)</f>
        <v>1</v>
      </c>
      <c r="J275" s="22">
        <f>Source!O283</f>
        <v>122.22</v>
      </c>
      <c r="K275" s="22"/>
      <c r="Q275">
        <f>ROUND((Source!BZ283/100)*ROUND((Source!AF283*Source!AV283)*Source!I283, 2), 2)</f>
        <v>0</v>
      </c>
      <c r="R275">
        <f>Source!X283</f>
        <v>0</v>
      </c>
      <c r="S275">
        <f>ROUND((Source!CA283/100)*ROUND((Source!AF283*Source!AV283)*Source!I283, 2), 2)</f>
        <v>0</v>
      </c>
      <c r="T275">
        <f>Source!Y283</f>
        <v>0</v>
      </c>
      <c r="U275">
        <f>ROUND((175/100)*ROUND((Source!AE283*Source!AV283)*Source!I283, 2), 2)</f>
        <v>0</v>
      </c>
      <c r="V275">
        <f>ROUND((108/100)*ROUND(Source!CS283*Source!I283, 2), 2)</f>
        <v>0</v>
      </c>
    </row>
    <row r="276" spans="1:22" ht="28.5" x14ac:dyDescent="0.2">
      <c r="A276" s="19" t="s">
        <v>240</v>
      </c>
      <c r="B276" s="19" t="str">
        <f>Source!F284</f>
        <v>21.1-6-81</v>
      </c>
      <c r="C276" s="19" t="s">
        <v>533</v>
      </c>
      <c r="D276" s="20" t="str">
        <f>Source!H284</f>
        <v>т</v>
      </c>
      <c r="E276" s="9">
        <f>Source!I284</f>
        <v>-3.2899999999999997E-4</v>
      </c>
      <c r="F276" s="22">
        <f>Source!AK284</f>
        <v>247397.04</v>
      </c>
      <c r="G276" s="29" t="s">
        <v>3</v>
      </c>
      <c r="H276" s="9">
        <f>Source!AW284</f>
        <v>1</v>
      </c>
      <c r="I276" s="9">
        <f>IF(Source!BC284&lt;&gt; 0, Source!BC284, 1)</f>
        <v>1</v>
      </c>
      <c r="J276" s="22">
        <f>Source!O284</f>
        <v>-81.39</v>
      </c>
      <c r="K276" s="22"/>
      <c r="Q276">
        <f>ROUND((Source!BZ284/100)*ROUND((Source!AF284*Source!AV284)*Source!I284, 2), 2)</f>
        <v>0</v>
      </c>
      <c r="R276">
        <f>Source!X284</f>
        <v>0</v>
      </c>
      <c r="S276">
        <f>ROUND((Source!CA284/100)*ROUND((Source!AF284*Source!AV284)*Source!I284, 2), 2)</f>
        <v>0</v>
      </c>
      <c r="T276">
        <f>Source!Y284</f>
        <v>0</v>
      </c>
      <c r="U276">
        <f>ROUND((175/100)*ROUND((Source!AE284*Source!AV284)*Source!I284, 2), 2)</f>
        <v>0</v>
      </c>
      <c r="V276">
        <f>ROUND((108/100)*ROUND(Source!CS284*Source!I284, 2), 2)</f>
        <v>0</v>
      </c>
    </row>
    <row r="277" spans="1:22" ht="14.25" x14ac:dyDescent="0.2">
      <c r="A277" s="19"/>
      <c r="B277" s="19"/>
      <c r="C277" s="19" t="s">
        <v>523</v>
      </c>
      <c r="D277" s="20" t="s">
        <v>524</v>
      </c>
      <c r="E277" s="9">
        <f>Source!AT282</f>
        <v>70</v>
      </c>
      <c r="F277" s="22"/>
      <c r="G277" s="21"/>
      <c r="H277" s="9"/>
      <c r="I277" s="9"/>
      <c r="J277" s="22">
        <f>SUM(R271:R276)</f>
        <v>78.95</v>
      </c>
      <c r="K277" s="22"/>
    </row>
    <row r="278" spans="1:22" ht="14.25" x14ac:dyDescent="0.2">
      <c r="A278" s="19"/>
      <c r="B278" s="19"/>
      <c r="C278" s="19" t="s">
        <v>525</v>
      </c>
      <c r="D278" s="20" t="s">
        <v>524</v>
      </c>
      <c r="E278" s="9">
        <f>Source!AU282</f>
        <v>10</v>
      </c>
      <c r="F278" s="22"/>
      <c r="G278" s="21"/>
      <c r="H278" s="9"/>
      <c r="I278" s="9"/>
      <c r="J278" s="22">
        <f>SUM(T271:T277)</f>
        <v>11.28</v>
      </c>
      <c r="K278" s="22"/>
    </row>
    <row r="279" spans="1:22" ht="14.25" x14ac:dyDescent="0.2">
      <c r="A279" s="19"/>
      <c r="B279" s="19"/>
      <c r="C279" s="19" t="s">
        <v>526</v>
      </c>
      <c r="D279" s="20" t="s">
        <v>527</v>
      </c>
      <c r="E279" s="9">
        <f>Source!AQ282</f>
        <v>12.88</v>
      </c>
      <c r="F279" s="22"/>
      <c r="G279" s="21" t="str">
        <f>Source!DI282</f>
        <v/>
      </c>
      <c r="H279" s="9">
        <f>Source!AV282</f>
        <v>1</v>
      </c>
      <c r="I279" s="9"/>
      <c r="J279" s="22"/>
      <c r="K279" s="22">
        <f>Source!U282</f>
        <v>0.20350400000000005</v>
      </c>
    </row>
    <row r="280" spans="1:22" ht="15" x14ac:dyDescent="0.25">
      <c r="A280" s="26"/>
      <c r="B280" s="26"/>
      <c r="C280" s="26"/>
      <c r="D280" s="26"/>
      <c r="E280" s="26"/>
      <c r="F280" s="26"/>
      <c r="G280" s="26"/>
      <c r="H280" s="26"/>
      <c r="I280" s="61">
        <f>J273+J274+J277+J278+SUM(J275:J276)</f>
        <v>325.13999999999993</v>
      </c>
      <c r="J280" s="61"/>
      <c r="K280" s="27">
        <f>IF(Source!I282&lt;&gt;0, ROUND(I280/Source!I282, 2), 0)</f>
        <v>20578.48</v>
      </c>
      <c r="P280" s="24">
        <f>I280</f>
        <v>325.13999999999993</v>
      </c>
    </row>
    <row r="281" spans="1:22" ht="28.5" x14ac:dyDescent="0.2">
      <c r="A281" s="19">
        <v>25</v>
      </c>
      <c r="B281" s="19" t="str">
        <f>Source!F285</f>
        <v>1.10-3405-2-1/1</v>
      </c>
      <c r="C281" s="19" t="str">
        <f>Source!G285</f>
        <v>Укладка металлической накладной полосы (порожка)</v>
      </c>
      <c r="D281" s="20" t="str">
        <f>Source!H285</f>
        <v>100 м</v>
      </c>
      <c r="E281" s="9">
        <f>Source!I285</f>
        <v>8.9999999999999993E-3</v>
      </c>
      <c r="F281" s="22"/>
      <c r="G281" s="21"/>
      <c r="H281" s="9"/>
      <c r="I281" s="9"/>
      <c r="J281" s="22"/>
      <c r="K281" s="22"/>
      <c r="Q281">
        <f>ROUND((Source!BZ285/100)*ROUND((Source!AF285*Source!AV285)*Source!I285, 2), 2)</f>
        <v>54.4</v>
      </c>
      <c r="R281">
        <f>Source!X285</f>
        <v>54.4</v>
      </c>
      <c r="S281">
        <f>ROUND((Source!CA285/100)*ROUND((Source!AF285*Source!AV285)*Source!I285, 2), 2)</f>
        <v>7.77</v>
      </c>
      <c r="T281">
        <f>Source!Y285</f>
        <v>7.77</v>
      </c>
      <c r="U281">
        <f>ROUND((175/100)*ROUND((Source!AE285*Source!AV285)*Source!I285, 2), 2)</f>
        <v>0.16</v>
      </c>
      <c r="V281">
        <f>ROUND((108/100)*ROUND(Source!CS285*Source!I285, 2), 2)</f>
        <v>0.1</v>
      </c>
    </row>
    <row r="282" spans="1:22" x14ac:dyDescent="0.2">
      <c r="C282" s="23" t="str">
        <f>"Объем: "&amp;Source!I285&amp;"=0,9/"&amp;"100"</f>
        <v>Объем: 0,009=0,9/100</v>
      </c>
    </row>
    <row r="283" spans="1:22" ht="14.25" x14ac:dyDescent="0.2">
      <c r="A283" s="19"/>
      <c r="B283" s="19"/>
      <c r="C283" s="19" t="s">
        <v>521</v>
      </c>
      <c r="D283" s="20"/>
      <c r="E283" s="9"/>
      <c r="F283" s="22">
        <f>Source!AO285</f>
        <v>8635</v>
      </c>
      <c r="G283" s="21" t="str">
        <f>Source!DG285</f>
        <v/>
      </c>
      <c r="H283" s="9">
        <f>Source!AV285</f>
        <v>1</v>
      </c>
      <c r="I283" s="9">
        <f>IF(Source!BA285&lt;&gt; 0, Source!BA285, 1)</f>
        <v>1</v>
      </c>
      <c r="J283" s="22">
        <f>Source!S285</f>
        <v>77.72</v>
      </c>
      <c r="K283" s="22"/>
    </row>
    <row r="284" spans="1:22" ht="14.25" x14ac:dyDescent="0.2">
      <c r="A284" s="19"/>
      <c r="B284" s="19"/>
      <c r="C284" s="19" t="s">
        <v>522</v>
      </c>
      <c r="D284" s="20"/>
      <c r="E284" s="9"/>
      <c r="F284" s="22">
        <f>Source!AM285</f>
        <v>89.91</v>
      </c>
      <c r="G284" s="21" t="str">
        <f>Source!DE285</f>
        <v/>
      </c>
      <c r="H284" s="9">
        <f>Source!AV285</f>
        <v>1</v>
      </c>
      <c r="I284" s="9">
        <f>IF(Source!BB285&lt;&gt; 0, Source!BB285, 1)</f>
        <v>1</v>
      </c>
      <c r="J284" s="22">
        <f>Source!Q285</f>
        <v>0.81</v>
      </c>
      <c r="K284" s="22"/>
    </row>
    <row r="285" spans="1:22" ht="14.25" x14ac:dyDescent="0.2">
      <c r="A285" s="19"/>
      <c r="B285" s="19"/>
      <c r="C285" s="19" t="s">
        <v>528</v>
      </c>
      <c r="D285" s="20"/>
      <c r="E285" s="9"/>
      <c r="F285" s="22">
        <f>Source!AN285</f>
        <v>10.32</v>
      </c>
      <c r="G285" s="21" t="str">
        <f>Source!DF285</f>
        <v/>
      </c>
      <c r="H285" s="9">
        <f>Source!AV285</f>
        <v>1</v>
      </c>
      <c r="I285" s="9">
        <f>IF(Source!BS285&lt;&gt; 0, Source!BS285, 1)</f>
        <v>1</v>
      </c>
      <c r="J285" s="28">
        <f>Source!R285</f>
        <v>0.09</v>
      </c>
      <c r="K285" s="22"/>
    </row>
    <row r="286" spans="1:22" ht="14.25" x14ac:dyDescent="0.2">
      <c r="A286" s="19"/>
      <c r="B286" s="19"/>
      <c r="C286" s="19" t="s">
        <v>529</v>
      </c>
      <c r="D286" s="20"/>
      <c r="E286" s="9"/>
      <c r="F286" s="22">
        <f>Source!AL285</f>
        <v>16476.439999999999</v>
      </c>
      <c r="G286" s="21" t="str">
        <f>Source!DD285</f>
        <v/>
      </c>
      <c r="H286" s="9">
        <f>Source!AW285</f>
        <v>1</v>
      </c>
      <c r="I286" s="9">
        <f>IF(Source!BC285&lt;&gt; 0, Source!BC285, 1)</f>
        <v>1</v>
      </c>
      <c r="J286" s="22">
        <f>Source!P285</f>
        <v>148.29</v>
      </c>
      <c r="K286" s="22"/>
    </row>
    <row r="287" spans="1:22" ht="14.25" x14ac:dyDescent="0.2">
      <c r="A287" s="19"/>
      <c r="B287" s="19"/>
      <c r="C287" s="19" t="s">
        <v>523</v>
      </c>
      <c r="D287" s="20" t="s">
        <v>524</v>
      </c>
      <c r="E287" s="9">
        <f>Source!AT285</f>
        <v>70</v>
      </c>
      <c r="F287" s="22"/>
      <c r="G287" s="21"/>
      <c r="H287" s="9"/>
      <c r="I287" s="9"/>
      <c r="J287" s="22">
        <f>SUM(R281:R286)</f>
        <v>54.4</v>
      </c>
      <c r="K287" s="22"/>
    </row>
    <row r="288" spans="1:22" ht="14.25" x14ac:dyDescent="0.2">
      <c r="A288" s="19"/>
      <c r="B288" s="19"/>
      <c r="C288" s="19" t="s">
        <v>525</v>
      </c>
      <c r="D288" s="20" t="s">
        <v>524</v>
      </c>
      <c r="E288" s="9">
        <f>Source!AU285</f>
        <v>10</v>
      </c>
      <c r="F288" s="22"/>
      <c r="G288" s="21"/>
      <c r="H288" s="9"/>
      <c r="I288" s="9"/>
      <c r="J288" s="22">
        <f>SUM(T281:T287)</f>
        <v>7.77</v>
      </c>
      <c r="K288" s="22"/>
    </row>
    <row r="289" spans="1:22" ht="14.25" x14ac:dyDescent="0.2">
      <c r="A289" s="19"/>
      <c r="B289" s="19"/>
      <c r="C289" s="19" t="s">
        <v>530</v>
      </c>
      <c r="D289" s="20" t="s">
        <v>524</v>
      </c>
      <c r="E289" s="9">
        <f>108</f>
        <v>108</v>
      </c>
      <c r="F289" s="22"/>
      <c r="G289" s="21"/>
      <c r="H289" s="9"/>
      <c r="I289" s="9"/>
      <c r="J289" s="22">
        <f>SUM(V281:V288)</f>
        <v>0.1</v>
      </c>
      <c r="K289" s="22"/>
    </row>
    <row r="290" spans="1:22" ht="14.25" x14ac:dyDescent="0.2">
      <c r="A290" s="19"/>
      <c r="B290" s="19"/>
      <c r="C290" s="19" t="s">
        <v>526</v>
      </c>
      <c r="D290" s="20" t="s">
        <v>527</v>
      </c>
      <c r="E290" s="9">
        <f>Source!AQ285</f>
        <v>19.14</v>
      </c>
      <c r="F290" s="22"/>
      <c r="G290" s="21" t="str">
        <f>Source!DI285</f>
        <v/>
      </c>
      <c r="H290" s="9">
        <f>Source!AV285</f>
        <v>1</v>
      </c>
      <c r="I290" s="9"/>
      <c r="J290" s="22"/>
      <c r="K290" s="22">
        <f>Source!U285</f>
        <v>0.17226</v>
      </c>
    </row>
    <row r="291" spans="1:22" ht="15" x14ac:dyDescent="0.25">
      <c r="A291" s="26"/>
      <c r="B291" s="26"/>
      <c r="C291" s="26"/>
      <c r="D291" s="26"/>
      <c r="E291" s="26"/>
      <c r="F291" s="26"/>
      <c r="G291" s="26"/>
      <c r="H291" s="26"/>
      <c r="I291" s="61">
        <f>J283+J284+J286+J287+J288+J289</f>
        <v>289.08999999999997</v>
      </c>
      <c r="J291" s="61"/>
      <c r="K291" s="27">
        <f>IF(Source!I285&lt;&gt;0, ROUND(I291/Source!I285, 2), 0)</f>
        <v>32121.11</v>
      </c>
      <c r="P291" s="24">
        <f>I291</f>
        <v>289.08999999999997</v>
      </c>
    </row>
    <row r="292" spans="1:22" ht="28.5" x14ac:dyDescent="0.2">
      <c r="A292" s="19">
        <v>26</v>
      </c>
      <c r="B292" s="19" t="str">
        <f>Source!F286</f>
        <v>1.10-3504-1-1/1</v>
      </c>
      <c r="C292" s="19" t="str">
        <f>Source!G286</f>
        <v>Разборка покрытий из линолеума и релина</v>
      </c>
      <c r="D292" s="20" t="str">
        <f>Source!H286</f>
        <v>100 м2</v>
      </c>
      <c r="E292" s="9">
        <f>Source!I286</f>
        <v>0.54100000000000004</v>
      </c>
      <c r="F292" s="22"/>
      <c r="G292" s="21"/>
      <c r="H292" s="9"/>
      <c r="I292" s="9"/>
      <c r="J292" s="22"/>
      <c r="K292" s="22"/>
      <c r="Q292">
        <f>ROUND((Source!BZ286/100)*ROUND((Source!AF286*Source!AV286)*Source!I286, 2), 2)</f>
        <v>1679.03</v>
      </c>
      <c r="R292">
        <f>Source!X286</f>
        <v>1679.03</v>
      </c>
      <c r="S292">
        <f>ROUND((Source!CA286/100)*ROUND((Source!AF286*Source!AV286)*Source!I286, 2), 2)</f>
        <v>239.86</v>
      </c>
      <c r="T292">
        <f>Source!Y286</f>
        <v>239.86</v>
      </c>
      <c r="U292">
        <f>ROUND((175/100)*ROUND((Source!AE286*Source!AV286)*Source!I286, 2), 2)</f>
        <v>0</v>
      </c>
      <c r="V292">
        <f>ROUND((108/100)*ROUND(Source!CS286*Source!I286, 2), 2)</f>
        <v>0</v>
      </c>
    </row>
    <row r="293" spans="1:22" x14ac:dyDescent="0.2">
      <c r="C293" s="23" t="str">
        <f>"Объем: "&amp;Source!I286&amp;"=54,1/"&amp;"100"</f>
        <v>Объем: 0,541=54,1/100</v>
      </c>
    </row>
    <row r="294" spans="1:22" ht="14.25" x14ac:dyDescent="0.2">
      <c r="A294" s="19"/>
      <c r="B294" s="19"/>
      <c r="C294" s="19" t="s">
        <v>521</v>
      </c>
      <c r="D294" s="20"/>
      <c r="E294" s="9"/>
      <c r="F294" s="22">
        <f>Source!AO286</f>
        <v>4433.67</v>
      </c>
      <c r="G294" s="21" t="str">
        <f>Source!DG286</f>
        <v/>
      </c>
      <c r="H294" s="9">
        <f>Source!AV286</f>
        <v>1</v>
      </c>
      <c r="I294" s="9">
        <f>IF(Source!BA286&lt;&gt; 0, Source!BA286, 1)</f>
        <v>1</v>
      </c>
      <c r="J294" s="22">
        <f>Source!S286</f>
        <v>2398.62</v>
      </c>
      <c r="K294" s="22"/>
    </row>
    <row r="295" spans="1:22" ht="14.25" x14ac:dyDescent="0.2">
      <c r="A295" s="19"/>
      <c r="B295" s="19"/>
      <c r="C295" s="19" t="s">
        <v>523</v>
      </c>
      <c r="D295" s="20" t="s">
        <v>524</v>
      </c>
      <c r="E295" s="9">
        <f>Source!AT286</f>
        <v>70</v>
      </c>
      <c r="F295" s="22"/>
      <c r="G295" s="21"/>
      <c r="H295" s="9"/>
      <c r="I295" s="9"/>
      <c r="J295" s="22">
        <f>SUM(R292:R294)</f>
        <v>1679.03</v>
      </c>
      <c r="K295" s="22"/>
    </row>
    <row r="296" spans="1:22" ht="14.25" x14ac:dyDescent="0.2">
      <c r="A296" s="19"/>
      <c r="B296" s="19"/>
      <c r="C296" s="19" t="s">
        <v>525</v>
      </c>
      <c r="D296" s="20" t="s">
        <v>524</v>
      </c>
      <c r="E296" s="9">
        <f>Source!AU286</f>
        <v>10</v>
      </c>
      <c r="F296" s="22"/>
      <c r="G296" s="21"/>
      <c r="H296" s="9"/>
      <c r="I296" s="9"/>
      <c r="J296" s="22">
        <f>SUM(T292:T295)</f>
        <v>239.86</v>
      </c>
      <c r="K296" s="22"/>
    </row>
    <row r="297" spans="1:22" ht="14.25" x14ac:dyDescent="0.2">
      <c r="A297" s="19"/>
      <c r="B297" s="19"/>
      <c r="C297" s="19" t="s">
        <v>526</v>
      </c>
      <c r="D297" s="20" t="s">
        <v>527</v>
      </c>
      <c r="E297" s="9">
        <f>Source!AQ286</f>
        <v>11.39</v>
      </c>
      <c r="F297" s="22"/>
      <c r="G297" s="21" t="str">
        <f>Source!DI286</f>
        <v/>
      </c>
      <c r="H297" s="9">
        <f>Source!AV286</f>
        <v>1</v>
      </c>
      <c r="I297" s="9"/>
      <c r="J297" s="22"/>
      <c r="K297" s="22">
        <f>Source!U286</f>
        <v>6.1619900000000003</v>
      </c>
    </row>
    <row r="298" spans="1:22" ht="15" x14ac:dyDescent="0.25">
      <c r="A298" s="26"/>
      <c r="B298" s="26"/>
      <c r="C298" s="26"/>
      <c r="D298" s="26"/>
      <c r="E298" s="26"/>
      <c r="F298" s="26"/>
      <c r="G298" s="26"/>
      <c r="H298" s="26"/>
      <c r="I298" s="61">
        <f>J294+J295+J296</f>
        <v>4317.5099999999993</v>
      </c>
      <c r="J298" s="61"/>
      <c r="K298" s="27">
        <f>IF(Source!I286&lt;&gt;0, ROUND(I298/Source!I286, 2), 0)</f>
        <v>7980.61</v>
      </c>
      <c r="P298" s="24">
        <f>I298</f>
        <v>4317.5099999999993</v>
      </c>
    </row>
    <row r="299" spans="1:22" ht="42.75" x14ac:dyDescent="0.2">
      <c r="A299" s="19">
        <v>27</v>
      </c>
      <c r="B299" s="19" t="str">
        <f>Source!F287</f>
        <v>1.10-3103-2-11/1</v>
      </c>
      <c r="C299" s="19" t="str">
        <f>Source!G287</f>
        <v>Устройство самовыравнивающихся стяжек из специализированных сухих смесей толщиной 5 мм</v>
      </c>
      <c r="D299" s="20" t="str">
        <f>Source!H287</f>
        <v>100 м2</v>
      </c>
      <c r="E299" s="9">
        <f>Source!I287</f>
        <v>0.54100000000000004</v>
      </c>
      <c r="F299" s="22"/>
      <c r="G299" s="21"/>
      <c r="H299" s="9"/>
      <c r="I299" s="9"/>
      <c r="J299" s="22"/>
      <c r="K299" s="22"/>
      <c r="Q299">
        <f>ROUND((Source!BZ287/100)*ROUND((Source!AF287*Source!AV287)*Source!I287, 2), 2)</f>
        <v>6769.5</v>
      </c>
      <c r="R299">
        <f>Source!X287</f>
        <v>6769.5</v>
      </c>
      <c r="S299">
        <f>ROUND((Source!CA287/100)*ROUND((Source!AF287*Source!AV287)*Source!I287, 2), 2)</f>
        <v>967.07</v>
      </c>
      <c r="T299">
        <f>Source!Y287</f>
        <v>967.07</v>
      </c>
      <c r="U299">
        <f>ROUND((175/100)*ROUND((Source!AE287*Source!AV287)*Source!I287, 2), 2)</f>
        <v>25.31</v>
      </c>
      <c r="V299">
        <f>ROUND((108/100)*ROUND(Source!CS287*Source!I287, 2), 2)</f>
        <v>15.62</v>
      </c>
    </row>
    <row r="300" spans="1:22" x14ac:dyDescent="0.2">
      <c r="C300" s="23" t="str">
        <f>"Объем: "&amp;Source!I287&amp;"=54,1/"&amp;"100"</f>
        <v>Объем: 0,541=54,1/100</v>
      </c>
    </row>
    <row r="301" spans="1:22" ht="14.25" x14ac:dyDescent="0.2">
      <c r="A301" s="19"/>
      <c r="B301" s="19"/>
      <c r="C301" s="19" t="s">
        <v>521</v>
      </c>
      <c r="D301" s="20"/>
      <c r="E301" s="9"/>
      <c r="F301" s="22">
        <f>Source!AO287</f>
        <v>17875.61</v>
      </c>
      <c r="G301" s="21" t="str">
        <f>Source!DG287</f>
        <v/>
      </c>
      <c r="H301" s="9">
        <f>Source!AV287</f>
        <v>1</v>
      </c>
      <c r="I301" s="9">
        <f>IF(Source!BA287&lt;&gt; 0, Source!BA287, 1)</f>
        <v>1</v>
      </c>
      <c r="J301" s="22">
        <f>Source!S287</f>
        <v>9670.7099999999991</v>
      </c>
      <c r="K301" s="22"/>
    </row>
    <row r="302" spans="1:22" ht="14.25" x14ac:dyDescent="0.2">
      <c r="A302" s="19"/>
      <c r="B302" s="19"/>
      <c r="C302" s="19" t="s">
        <v>522</v>
      </c>
      <c r="D302" s="20"/>
      <c r="E302" s="9"/>
      <c r="F302" s="22">
        <f>Source!AM287</f>
        <v>242.43</v>
      </c>
      <c r="G302" s="21" t="str">
        <f>Source!DE287</f>
        <v/>
      </c>
      <c r="H302" s="9">
        <f>Source!AV287</f>
        <v>1</v>
      </c>
      <c r="I302" s="9">
        <f>IF(Source!BB287&lt;&gt; 0, Source!BB287, 1)</f>
        <v>1</v>
      </c>
      <c r="J302" s="22">
        <f>Source!Q287</f>
        <v>131.15</v>
      </c>
      <c r="K302" s="22"/>
    </row>
    <row r="303" spans="1:22" ht="14.25" x14ac:dyDescent="0.2">
      <c r="A303" s="19"/>
      <c r="B303" s="19"/>
      <c r="C303" s="19" t="s">
        <v>528</v>
      </c>
      <c r="D303" s="20"/>
      <c r="E303" s="9"/>
      <c r="F303" s="22">
        <f>Source!AN287</f>
        <v>26.72</v>
      </c>
      <c r="G303" s="21" t="str">
        <f>Source!DF287</f>
        <v/>
      </c>
      <c r="H303" s="9">
        <f>Source!AV287</f>
        <v>1</v>
      </c>
      <c r="I303" s="9">
        <f>IF(Source!BS287&lt;&gt; 0, Source!BS287, 1)</f>
        <v>1</v>
      </c>
      <c r="J303" s="28">
        <f>Source!R287</f>
        <v>14.46</v>
      </c>
      <c r="K303" s="22"/>
    </row>
    <row r="304" spans="1:22" ht="14.25" x14ac:dyDescent="0.2">
      <c r="A304" s="19"/>
      <c r="B304" s="19"/>
      <c r="C304" s="19" t="s">
        <v>529</v>
      </c>
      <c r="D304" s="20"/>
      <c r="E304" s="9"/>
      <c r="F304" s="22">
        <f>Source!AL287</f>
        <v>50429.440000000002</v>
      </c>
      <c r="G304" s="21" t="str">
        <f>Source!DD287</f>
        <v/>
      </c>
      <c r="H304" s="9">
        <f>Source!AW287</f>
        <v>1</v>
      </c>
      <c r="I304" s="9">
        <f>IF(Source!BC287&lt;&gt; 0, Source!BC287, 1)</f>
        <v>1</v>
      </c>
      <c r="J304" s="22">
        <f>Source!P287</f>
        <v>27282.33</v>
      </c>
      <c r="K304" s="22"/>
    </row>
    <row r="305" spans="1:22" ht="14.25" x14ac:dyDescent="0.2">
      <c r="A305" s="19"/>
      <c r="B305" s="19"/>
      <c r="C305" s="19" t="s">
        <v>523</v>
      </c>
      <c r="D305" s="20" t="s">
        <v>524</v>
      </c>
      <c r="E305" s="9">
        <f>Source!AT287</f>
        <v>70</v>
      </c>
      <c r="F305" s="22"/>
      <c r="G305" s="21"/>
      <c r="H305" s="9"/>
      <c r="I305" s="9"/>
      <c r="J305" s="22">
        <f>SUM(R299:R304)</f>
        <v>6769.5</v>
      </c>
      <c r="K305" s="22"/>
    </row>
    <row r="306" spans="1:22" ht="14.25" x14ac:dyDescent="0.2">
      <c r="A306" s="19"/>
      <c r="B306" s="19"/>
      <c r="C306" s="19" t="s">
        <v>525</v>
      </c>
      <c r="D306" s="20" t="s">
        <v>524</v>
      </c>
      <c r="E306" s="9">
        <f>Source!AU287</f>
        <v>10</v>
      </c>
      <c r="F306" s="22"/>
      <c r="G306" s="21"/>
      <c r="H306" s="9"/>
      <c r="I306" s="9"/>
      <c r="J306" s="22">
        <f>SUM(T299:T305)</f>
        <v>967.07</v>
      </c>
      <c r="K306" s="22"/>
    </row>
    <row r="307" spans="1:22" ht="14.25" x14ac:dyDescent="0.2">
      <c r="A307" s="19"/>
      <c r="B307" s="19"/>
      <c r="C307" s="19" t="s">
        <v>530</v>
      </c>
      <c r="D307" s="20" t="s">
        <v>524</v>
      </c>
      <c r="E307" s="9">
        <f>108</f>
        <v>108</v>
      </c>
      <c r="F307" s="22"/>
      <c r="G307" s="21"/>
      <c r="H307" s="9"/>
      <c r="I307" s="9"/>
      <c r="J307" s="22">
        <f>SUM(V299:V306)</f>
        <v>15.62</v>
      </c>
      <c r="K307" s="22"/>
    </row>
    <row r="308" spans="1:22" ht="14.25" x14ac:dyDescent="0.2">
      <c r="A308" s="19"/>
      <c r="B308" s="19"/>
      <c r="C308" s="19" t="s">
        <v>526</v>
      </c>
      <c r="D308" s="20" t="s">
        <v>527</v>
      </c>
      <c r="E308" s="9">
        <f>Source!AQ287</f>
        <v>37.97</v>
      </c>
      <c r="F308" s="22"/>
      <c r="G308" s="21" t="str">
        <f>Source!DI287</f>
        <v/>
      </c>
      <c r="H308" s="9">
        <f>Source!AV287</f>
        <v>1</v>
      </c>
      <c r="I308" s="9"/>
      <c r="J308" s="22"/>
      <c r="K308" s="22">
        <f>Source!U287</f>
        <v>20.54177</v>
      </c>
    </row>
    <row r="309" spans="1:22" ht="15" x14ac:dyDescent="0.25">
      <c r="A309" s="26"/>
      <c r="B309" s="26"/>
      <c r="C309" s="26"/>
      <c r="D309" s="26"/>
      <c r="E309" s="26"/>
      <c r="F309" s="26"/>
      <c r="G309" s="26"/>
      <c r="H309" s="26"/>
      <c r="I309" s="61">
        <f>J301+J302+J304+J305+J306+J307</f>
        <v>44836.380000000005</v>
      </c>
      <c r="J309" s="61"/>
      <c r="K309" s="27">
        <f>IF(Source!I287&lt;&gt;0, ROUND(I309/Source!I287, 2), 0)</f>
        <v>82876.86</v>
      </c>
      <c r="P309" s="24">
        <f>I309</f>
        <v>44836.380000000005</v>
      </c>
    </row>
    <row r="310" spans="1:22" ht="57" x14ac:dyDescent="0.2">
      <c r="A310" s="19">
        <v>28</v>
      </c>
      <c r="B310" s="19" t="str">
        <f>Source!F288</f>
        <v>1.10-3503-1-5/2</v>
      </c>
      <c r="C310" s="19" t="str">
        <f>Source!G288</f>
        <v>Устройство покрытий на клее из линолеума высокой износостойкости толщиной 2 мм, истираемостью группы Р со сваркой стыков</v>
      </c>
      <c r="D310" s="20" t="str">
        <f>Source!H288</f>
        <v>100 м2</v>
      </c>
      <c r="E310" s="9">
        <f>Source!I288</f>
        <v>0.54100000000000004</v>
      </c>
      <c r="F310" s="22"/>
      <c r="G310" s="21"/>
      <c r="H310" s="9"/>
      <c r="I310" s="9"/>
      <c r="J310" s="22"/>
      <c r="K310" s="22"/>
      <c r="Q310">
        <f>ROUND((Source!BZ288/100)*ROUND((Source!AF288*Source!AV288)*Source!I288, 2), 2)</f>
        <v>10740.93</v>
      </c>
      <c r="R310">
        <f>Source!X288</f>
        <v>10740.93</v>
      </c>
      <c r="S310">
        <f>ROUND((Source!CA288/100)*ROUND((Source!AF288*Source!AV288)*Source!I288, 2), 2)</f>
        <v>1534.42</v>
      </c>
      <c r="T310">
        <f>Source!Y288</f>
        <v>1534.42</v>
      </c>
      <c r="U310">
        <f>ROUND((175/100)*ROUND((Source!AE288*Source!AV288)*Source!I288, 2), 2)</f>
        <v>1.96</v>
      </c>
      <c r="V310">
        <f>ROUND((108/100)*ROUND(Source!CS288*Source!I288, 2), 2)</f>
        <v>1.21</v>
      </c>
    </row>
    <row r="311" spans="1:22" x14ac:dyDescent="0.2">
      <c r="C311" s="23" t="str">
        <f>"Объем: "&amp;Source!I288&amp;"=54,1/"&amp;"100"</f>
        <v>Объем: 0,541=54,1/100</v>
      </c>
    </row>
    <row r="312" spans="1:22" ht="14.25" x14ac:dyDescent="0.2">
      <c r="A312" s="19"/>
      <c r="B312" s="19"/>
      <c r="C312" s="19" t="s">
        <v>521</v>
      </c>
      <c r="D312" s="20"/>
      <c r="E312" s="9"/>
      <c r="F312" s="22">
        <f>Source!AO288</f>
        <v>28362.65</v>
      </c>
      <c r="G312" s="21" t="str">
        <f>Source!DG288</f>
        <v/>
      </c>
      <c r="H312" s="9">
        <f>Source!AV288</f>
        <v>1</v>
      </c>
      <c r="I312" s="9">
        <f>IF(Source!BA288&lt;&gt; 0, Source!BA288, 1)</f>
        <v>1</v>
      </c>
      <c r="J312" s="22">
        <f>Source!S288</f>
        <v>15344.19</v>
      </c>
      <c r="K312" s="22"/>
    </row>
    <row r="313" spans="1:22" ht="14.25" x14ac:dyDescent="0.2">
      <c r="A313" s="19"/>
      <c r="B313" s="19"/>
      <c r="C313" s="19" t="s">
        <v>522</v>
      </c>
      <c r="D313" s="20"/>
      <c r="E313" s="9"/>
      <c r="F313" s="22">
        <f>Source!AM288</f>
        <v>425.55</v>
      </c>
      <c r="G313" s="21" t="str">
        <f>Source!DE288</f>
        <v/>
      </c>
      <c r="H313" s="9">
        <f>Source!AV288</f>
        <v>1</v>
      </c>
      <c r="I313" s="9">
        <f>IF(Source!BB288&lt;&gt; 0, Source!BB288, 1)</f>
        <v>1</v>
      </c>
      <c r="J313" s="22">
        <f>Source!Q288</f>
        <v>230.22</v>
      </c>
      <c r="K313" s="22"/>
    </row>
    <row r="314" spans="1:22" ht="14.25" x14ac:dyDescent="0.2">
      <c r="A314" s="19"/>
      <c r="B314" s="19"/>
      <c r="C314" s="19" t="s">
        <v>528</v>
      </c>
      <c r="D314" s="20"/>
      <c r="E314" s="9"/>
      <c r="F314" s="22">
        <f>Source!AN288</f>
        <v>2.0699999999999998</v>
      </c>
      <c r="G314" s="21" t="str">
        <f>Source!DF288</f>
        <v/>
      </c>
      <c r="H314" s="9">
        <f>Source!AV288</f>
        <v>1</v>
      </c>
      <c r="I314" s="9">
        <f>IF(Source!BS288&lt;&gt; 0, Source!BS288, 1)</f>
        <v>1</v>
      </c>
      <c r="J314" s="28">
        <f>Source!R288</f>
        <v>1.1200000000000001</v>
      </c>
      <c r="K314" s="22"/>
    </row>
    <row r="315" spans="1:22" ht="14.25" x14ac:dyDescent="0.2">
      <c r="A315" s="19"/>
      <c r="B315" s="19"/>
      <c r="C315" s="19" t="s">
        <v>529</v>
      </c>
      <c r="D315" s="20"/>
      <c r="E315" s="9"/>
      <c r="F315" s="22">
        <f>Source!AL288</f>
        <v>132412.01999999999</v>
      </c>
      <c r="G315" s="21" t="str">
        <f>Source!DD288</f>
        <v/>
      </c>
      <c r="H315" s="9">
        <f>Source!AW288</f>
        <v>1</v>
      </c>
      <c r="I315" s="9">
        <f>IF(Source!BC288&lt;&gt; 0, Source!BC288, 1)</f>
        <v>1</v>
      </c>
      <c r="J315" s="22">
        <f>Source!P288</f>
        <v>71634.899999999994</v>
      </c>
      <c r="K315" s="22"/>
    </row>
    <row r="316" spans="1:22" ht="14.25" x14ac:dyDescent="0.2">
      <c r="A316" s="19"/>
      <c r="B316" s="19"/>
      <c r="C316" s="19" t="s">
        <v>523</v>
      </c>
      <c r="D316" s="20" t="s">
        <v>524</v>
      </c>
      <c r="E316" s="9">
        <f>Source!AT288</f>
        <v>70</v>
      </c>
      <c r="F316" s="22"/>
      <c r="G316" s="21"/>
      <c r="H316" s="9"/>
      <c r="I316" s="9"/>
      <c r="J316" s="22">
        <f>SUM(R310:R315)</f>
        <v>10740.93</v>
      </c>
      <c r="K316" s="22"/>
    </row>
    <row r="317" spans="1:22" ht="14.25" x14ac:dyDescent="0.2">
      <c r="A317" s="19"/>
      <c r="B317" s="19"/>
      <c r="C317" s="19" t="s">
        <v>525</v>
      </c>
      <c r="D317" s="20" t="s">
        <v>524</v>
      </c>
      <c r="E317" s="9">
        <f>Source!AU288</f>
        <v>10</v>
      </c>
      <c r="F317" s="22"/>
      <c r="G317" s="21"/>
      <c r="H317" s="9"/>
      <c r="I317" s="9"/>
      <c r="J317" s="22">
        <f>SUM(T310:T316)</f>
        <v>1534.42</v>
      </c>
      <c r="K317" s="22"/>
    </row>
    <row r="318" spans="1:22" ht="14.25" x14ac:dyDescent="0.2">
      <c r="A318" s="19"/>
      <c r="B318" s="19"/>
      <c r="C318" s="19" t="s">
        <v>530</v>
      </c>
      <c r="D318" s="20" t="s">
        <v>524</v>
      </c>
      <c r="E318" s="9">
        <f>108</f>
        <v>108</v>
      </c>
      <c r="F318" s="22"/>
      <c r="G318" s="21"/>
      <c r="H318" s="9"/>
      <c r="I318" s="9"/>
      <c r="J318" s="22">
        <f>SUM(V310:V317)</f>
        <v>1.21</v>
      </c>
      <c r="K318" s="22"/>
    </row>
    <row r="319" spans="1:22" ht="14.25" x14ac:dyDescent="0.2">
      <c r="A319" s="19"/>
      <c r="B319" s="19"/>
      <c r="C319" s="19" t="s">
        <v>526</v>
      </c>
      <c r="D319" s="20" t="s">
        <v>527</v>
      </c>
      <c r="E319" s="9">
        <f>Source!AQ288</f>
        <v>60.04</v>
      </c>
      <c r="F319" s="22"/>
      <c r="G319" s="21" t="str">
        <f>Source!DI288</f>
        <v/>
      </c>
      <c r="H319" s="9">
        <f>Source!AV288</f>
        <v>1</v>
      </c>
      <c r="I319" s="9"/>
      <c r="J319" s="22"/>
      <c r="K319" s="22">
        <f>Source!U288</f>
        <v>32.481639999999999</v>
      </c>
    </row>
    <row r="320" spans="1:22" ht="15" x14ac:dyDescent="0.25">
      <c r="A320" s="26"/>
      <c r="B320" s="26"/>
      <c r="C320" s="26"/>
      <c r="D320" s="26"/>
      <c r="E320" s="26"/>
      <c r="F320" s="26"/>
      <c r="G320" s="26"/>
      <c r="H320" s="26"/>
      <c r="I320" s="61">
        <f>J312+J313+J315+J316+J317+J318</f>
        <v>99485.87</v>
      </c>
      <c r="J320" s="61"/>
      <c r="K320" s="27">
        <f>IF(Source!I288&lt;&gt;0, ROUND(I320/Source!I288, 2), 0)</f>
        <v>183892.55</v>
      </c>
      <c r="P320" s="24">
        <f>I320</f>
        <v>99485.87</v>
      </c>
    </row>
    <row r="322" spans="1:22" ht="15" x14ac:dyDescent="0.25">
      <c r="A322" s="65" t="str">
        <f>CONCATENATE("Итого по подразделу: ",IF(Source!G290&lt;&gt;"Новый подраздел", Source!G290, ""))</f>
        <v>Итого по подразделу: Полы</v>
      </c>
      <c r="B322" s="65"/>
      <c r="C322" s="65"/>
      <c r="D322" s="65"/>
      <c r="E322" s="65"/>
      <c r="F322" s="65"/>
      <c r="G322" s="65"/>
      <c r="H322" s="65"/>
      <c r="I322" s="63">
        <f>SUM(P245:P321)</f>
        <v>155159.03</v>
      </c>
      <c r="J322" s="64"/>
      <c r="K322" s="30"/>
    </row>
    <row r="325" spans="1:22" ht="16.5" x14ac:dyDescent="0.25">
      <c r="A325" s="62" t="str">
        <f>CONCATENATE("Подраздел: ",IF(Source!G320&lt;&gt;"Новый подраздел", Source!G320, ""))</f>
        <v>Подраздел: Стены</v>
      </c>
      <c r="B325" s="62"/>
      <c r="C325" s="62"/>
      <c r="D325" s="62"/>
      <c r="E325" s="62"/>
      <c r="F325" s="62"/>
      <c r="G325" s="62"/>
      <c r="H325" s="62"/>
      <c r="I325" s="62"/>
      <c r="J325" s="62"/>
      <c r="K325" s="62"/>
    </row>
    <row r="326" spans="1:22" ht="85.5" x14ac:dyDescent="0.2">
      <c r="A326" s="19">
        <v>29</v>
      </c>
      <c r="B326" s="19" t="str">
        <f>Source!F324</f>
        <v>1.13-3201-23-2/3</v>
      </c>
      <c r="C326" s="19" t="str">
        <f>Source!G324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D326" s="20" t="str">
        <f>Source!H324</f>
        <v>100 м2</v>
      </c>
      <c r="E326" s="9">
        <f>Source!I324</f>
        <v>0.77800000000000002</v>
      </c>
      <c r="F326" s="22"/>
      <c r="G326" s="21"/>
      <c r="H326" s="9"/>
      <c r="I326" s="9"/>
      <c r="J326" s="22"/>
      <c r="K326" s="22"/>
      <c r="Q326">
        <f>ROUND((Source!BZ324/100)*ROUND((Source!AF324*Source!AV324)*Source!I324, 2), 2)</f>
        <v>6135.79</v>
      </c>
      <c r="R326">
        <f>Source!X324</f>
        <v>6135.79</v>
      </c>
      <c r="S326">
        <f>ROUND((Source!CA324/100)*ROUND((Source!AF324*Source!AV324)*Source!I324, 2), 2)</f>
        <v>876.54</v>
      </c>
      <c r="T326">
        <f>Source!Y324</f>
        <v>876.54</v>
      </c>
      <c r="U326">
        <f>ROUND((175/100)*ROUND((Source!AE324*Source!AV324)*Source!I324, 2), 2)</f>
        <v>0</v>
      </c>
      <c r="V326">
        <f>ROUND((108/100)*ROUND(Source!CS324*Source!I324, 2), 2)</f>
        <v>0</v>
      </c>
    </row>
    <row r="327" spans="1:22" x14ac:dyDescent="0.2">
      <c r="C327" s="23" t="str">
        <f>"Объем: "&amp;Source!I324&amp;"=77,8/"&amp;"100"</f>
        <v>Объем: 0,778=77,8/100</v>
      </c>
    </row>
    <row r="328" spans="1:22" ht="14.25" x14ac:dyDescent="0.2">
      <c r="A328" s="19"/>
      <c r="B328" s="19"/>
      <c r="C328" s="19" t="s">
        <v>521</v>
      </c>
      <c r="D328" s="20"/>
      <c r="E328" s="9"/>
      <c r="F328" s="22">
        <f>Source!AO324</f>
        <v>11266.59</v>
      </c>
      <c r="G328" s="21" t="str">
        <f>Source!DG324</f>
        <v/>
      </c>
      <c r="H328" s="9">
        <f>Source!AV324</f>
        <v>1</v>
      </c>
      <c r="I328" s="9">
        <f>IF(Source!BA324&lt;&gt; 0, Source!BA324, 1)</f>
        <v>1</v>
      </c>
      <c r="J328" s="22">
        <f>Source!S324</f>
        <v>8765.41</v>
      </c>
      <c r="K328" s="22"/>
    </row>
    <row r="329" spans="1:22" ht="14.25" x14ac:dyDescent="0.2">
      <c r="A329" s="19"/>
      <c r="B329" s="19"/>
      <c r="C329" s="19" t="s">
        <v>529</v>
      </c>
      <c r="D329" s="20"/>
      <c r="E329" s="9"/>
      <c r="F329" s="22">
        <f>Source!AL324</f>
        <v>7258.13</v>
      </c>
      <c r="G329" s="21" t="str">
        <f>Source!DD324</f>
        <v/>
      </c>
      <c r="H329" s="9">
        <f>Source!AW324</f>
        <v>1</v>
      </c>
      <c r="I329" s="9">
        <f>IF(Source!BC324&lt;&gt; 0, Source!BC324, 1)</f>
        <v>1</v>
      </c>
      <c r="J329" s="22">
        <f>Source!P324</f>
        <v>5646.83</v>
      </c>
      <c r="K329" s="22"/>
    </row>
    <row r="330" spans="1:22" ht="28.5" x14ac:dyDescent="0.2">
      <c r="A330" s="19" t="s">
        <v>249</v>
      </c>
      <c r="B330" s="19" t="str">
        <f>Source!F325</f>
        <v>21.1-6-103</v>
      </c>
      <c r="C330" s="19" t="str">
        <f>Source!G325</f>
        <v>Пигменты сухие для красок, охра золотистая (цвет по согласованию)</v>
      </c>
      <c r="D330" s="20" t="str">
        <f>Source!H325</f>
        <v>т</v>
      </c>
      <c r="E330" s="9">
        <f>Source!I325</f>
        <v>1.323E-3</v>
      </c>
      <c r="F330" s="22">
        <f>Source!AK325</f>
        <v>198992.34</v>
      </c>
      <c r="G330" s="29" t="s">
        <v>3</v>
      </c>
      <c r="H330" s="9">
        <f>Source!AW325</f>
        <v>1</v>
      </c>
      <c r="I330" s="9">
        <f>IF(Source!BC325&lt;&gt; 0, Source!BC325, 1)</f>
        <v>1</v>
      </c>
      <c r="J330" s="22">
        <f>Source!O325</f>
        <v>263.27</v>
      </c>
      <c r="K330" s="22"/>
      <c r="Q330">
        <f>ROUND((Source!BZ325/100)*ROUND((Source!AF325*Source!AV325)*Source!I325, 2), 2)</f>
        <v>0</v>
      </c>
      <c r="R330">
        <f>Source!X325</f>
        <v>0</v>
      </c>
      <c r="S330">
        <f>ROUND((Source!CA325/100)*ROUND((Source!AF325*Source!AV325)*Source!I325, 2), 2)</f>
        <v>0</v>
      </c>
      <c r="T330">
        <f>Source!Y325</f>
        <v>0</v>
      </c>
      <c r="U330">
        <f>ROUND((175/100)*ROUND((Source!AE325*Source!AV325)*Source!I325, 2), 2)</f>
        <v>0</v>
      </c>
      <c r="V330">
        <f>ROUND((108/100)*ROUND(Source!CS325*Source!I325, 2), 2)</f>
        <v>0</v>
      </c>
    </row>
    <row r="331" spans="1:22" ht="14.25" x14ac:dyDescent="0.2">
      <c r="A331" s="19"/>
      <c r="B331" s="19"/>
      <c r="C331" s="19" t="s">
        <v>523</v>
      </c>
      <c r="D331" s="20" t="s">
        <v>524</v>
      </c>
      <c r="E331" s="9">
        <f>Source!AT324</f>
        <v>70</v>
      </c>
      <c r="F331" s="22"/>
      <c r="G331" s="21"/>
      <c r="H331" s="9"/>
      <c r="I331" s="9"/>
      <c r="J331" s="22">
        <f>SUM(R326:R330)</f>
        <v>6135.79</v>
      </c>
      <c r="K331" s="22"/>
    </row>
    <row r="332" spans="1:22" ht="14.25" x14ac:dyDescent="0.2">
      <c r="A332" s="19"/>
      <c r="B332" s="19"/>
      <c r="C332" s="19" t="s">
        <v>525</v>
      </c>
      <c r="D332" s="20" t="s">
        <v>524</v>
      </c>
      <c r="E332" s="9">
        <f>Source!AU324</f>
        <v>10</v>
      </c>
      <c r="F332" s="22"/>
      <c r="G332" s="21"/>
      <c r="H332" s="9"/>
      <c r="I332" s="9"/>
      <c r="J332" s="22">
        <f>SUM(T326:T331)</f>
        <v>876.54</v>
      </c>
      <c r="K332" s="22"/>
    </row>
    <row r="333" spans="1:22" ht="14.25" x14ac:dyDescent="0.2">
      <c r="A333" s="19"/>
      <c r="B333" s="19"/>
      <c r="C333" s="19" t="s">
        <v>526</v>
      </c>
      <c r="D333" s="20" t="s">
        <v>527</v>
      </c>
      <c r="E333" s="9">
        <f>Source!AQ324</f>
        <v>24.52</v>
      </c>
      <c r="F333" s="22"/>
      <c r="G333" s="21" t="str">
        <f>Source!DI324</f>
        <v/>
      </c>
      <c r="H333" s="9">
        <f>Source!AV324</f>
        <v>1</v>
      </c>
      <c r="I333" s="9"/>
      <c r="J333" s="22"/>
      <c r="K333" s="22">
        <f>Source!U324</f>
        <v>19.076560000000001</v>
      </c>
    </row>
    <row r="334" spans="1:22" ht="15" x14ac:dyDescent="0.25">
      <c r="A334" s="26"/>
      <c r="B334" s="26"/>
      <c r="C334" s="26"/>
      <c r="D334" s="26"/>
      <c r="E334" s="26"/>
      <c r="F334" s="26"/>
      <c r="G334" s="26"/>
      <c r="H334" s="26"/>
      <c r="I334" s="61">
        <f>J328+J329+J331+J332+SUM(J330:J330)</f>
        <v>21687.84</v>
      </c>
      <c r="J334" s="61"/>
      <c r="K334" s="27">
        <f>IF(Source!I324&lt;&gt;0, ROUND(I334/Source!I324, 2), 0)</f>
        <v>27876.400000000001</v>
      </c>
      <c r="P334" s="24">
        <f>I334</f>
        <v>21687.84</v>
      </c>
    </row>
    <row r="336" spans="1:22" ht="15" x14ac:dyDescent="0.25">
      <c r="A336" s="65" t="str">
        <f>CONCATENATE("Итого по подразделу: ",IF(Source!G327&lt;&gt;"Новый подраздел", Source!G327, ""))</f>
        <v>Итого по подразделу: Стены</v>
      </c>
      <c r="B336" s="65"/>
      <c r="C336" s="65"/>
      <c r="D336" s="65"/>
      <c r="E336" s="65"/>
      <c r="F336" s="65"/>
      <c r="G336" s="65"/>
      <c r="H336" s="65"/>
      <c r="I336" s="63">
        <f>SUM(P325:P335)</f>
        <v>21687.84</v>
      </c>
      <c r="J336" s="64"/>
      <c r="K336" s="30"/>
    </row>
    <row r="339" spans="1:22" ht="16.5" x14ac:dyDescent="0.25">
      <c r="A339" s="62" t="str">
        <f>CONCATENATE("Подраздел: ",IF(Source!G357&lt;&gt;"Новый подраздел", Source!G357, ""))</f>
        <v>Подраздел: Потолок</v>
      </c>
      <c r="B339" s="62"/>
      <c r="C339" s="62"/>
      <c r="D339" s="62"/>
      <c r="E339" s="62"/>
      <c r="F339" s="62"/>
      <c r="G339" s="62"/>
      <c r="H339" s="62"/>
      <c r="I339" s="62"/>
      <c r="J339" s="62"/>
      <c r="K339" s="62"/>
    </row>
    <row r="340" spans="1:22" ht="85.5" x14ac:dyDescent="0.2">
      <c r="A340" s="19">
        <v>30</v>
      </c>
      <c r="B340" s="19" t="str">
        <f>Source!F361</f>
        <v>1.13-3201-23-5/2</v>
      </c>
      <c r="C340" s="19" t="str">
        <f>Source!G361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D340" s="20" t="str">
        <f>Source!H361</f>
        <v>100 м2</v>
      </c>
      <c r="E340" s="9">
        <f>Source!I361</f>
        <v>0.54700000000000004</v>
      </c>
      <c r="F340" s="22"/>
      <c r="G340" s="21"/>
      <c r="H340" s="9"/>
      <c r="I340" s="9"/>
      <c r="J340" s="22"/>
      <c r="K340" s="22"/>
      <c r="Q340">
        <f>ROUND((Source!BZ361/100)*ROUND((Source!AF361*Source!AV361)*Source!I361, 2), 2)</f>
        <v>5397.2</v>
      </c>
      <c r="R340">
        <f>Source!X361</f>
        <v>5397.2</v>
      </c>
      <c r="S340">
        <f>ROUND((Source!CA361/100)*ROUND((Source!AF361*Source!AV361)*Source!I361, 2), 2)</f>
        <v>771.03</v>
      </c>
      <c r="T340">
        <f>Source!Y361</f>
        <v>771.03</v>
      </c>
      <c r="U340">
        <f>ROUND((175/100)*ROUND((Source!AE361*Source!AV361)*Source!I361, 2), 2)</f>
        <v>0</v>
      </c>
      <c r="V340">
        <f>ROUND((108/100)*ROUND(Source!CS361*Source!I361, 2), 2)</f>
        <v>0</v>
      </c>
    </row>
    <row r="341" spans="1:22" x14ac:dyDescent="0.2">
      <c r="C341" s="23" t="str">
        <f>"Объем: "&amp;Source!I361&amp;"=54,7/"&amp;"100"</f>
        <v>Объем: 0,547=54,7/100</v>
      </c>
    </row>
    <row r="342" spans="1:22" ht="14.25" x14ac:dyDescent="0.2">
      <c r="A342" s="19"/>
      <c r="B342" s="19"/>
      <c r="C342" s="19" t="s">
        <v>521</v>
      </c>
      <c r="D342" s="20"/>
      <c r="E342" s="9"/>
      <c r="F342" s="22">
        <f>Source!AO361</f>
        <v>14095.57</v>
      </c>
      <c r="G342" s="21" t="str">
        <f>Source!DG361</f>
        <v/>
      </c>
      <c r="H342" s="9">
        <f>Source!AV361</f>
        <v>1</v>
      </c>
      <c r="I342" s="9">
        <f>IF(Source!BA361&lt;&gt; 0, Source!BA361, 1)</f>
        <v>1</v>
      </c>
      <c r="J342" s="22">
        <f>Source!S361</f>
        <v>7710.28</v>
      </c>
      <c r="K342" s="22"/>
    </row>
    <row r="343" spans="1:22" ht="14.25" x14ac:dyDescent="0.2">
      <c r="A343" s="19"/>
      <c r="B343" s="19"/>
      <c r="C343" s="19" t="s">
        <v>529</v>
      </c>
      <c r="D343" s="20"/>
      <c r="E343" s="9"/>
      <c r="F343" s="22">
        <f>Source!AL361</f>
        <v>6116.06</v>
      </c>
      <c r="G343" s="21" t="str">
        <f>Source!DD361</f>
        <v/>
      </c>
      <c r="H343" s="9">
        <f>Source!AW361</f>
        <v>1</v>
      </c>
      <c r="I343" s="9">
        <f>IF(Source!BC361&lt;&gt; 0, Source!BC361, 1)</f>
        <v>1</v>
      </c>
      <c r="J343" s="22">
        <f>Source!P361</f>
        <v>3345.48</v>
      </c>
      <c r="K343" s="22"/>
    </row>
    <row r="344" spans="1:22" ht="14.25" x14ac:dyDescent="0.2">
      <c r="A344" s="19"/>
      <c r="B344" s="19"/>
      <c r="C344" s="19" t="s">
        <v>523</v>
      </c>
      <c r="D344" s="20" t="s">
        <v>524</v>
      </c>
      <c r="E344" s="9">
        <f>Source!AT361</f>
        <v>70</v>
      </c>
      <c r="F344" s="22"/>
      <c r="G344" s="21"/>
      <c r="H344" s="9"/>
      <c r="I344" s="9"/>
      <c r="J344" s="22">
        <f>SUM(R340:R343)</f>
        <v>5397.2</v>
      </c>
      <c r="K344" s="22"/>
    </row>
    <row r="345" spans="1:22" ht="14.25" x14ac:dyDescent="0.2">
      <c r="A345" s="19"/>
      <c r="B345" s="19"/>
      <c r="C345" s="19" t="s">
        <v>525</v>
      </c>
      <c r="D345" s="20" t="s">
        <v>524</v>
      </c>
      <c r="E345" s="9">
        <f>Source!AU361</f>
        <v>10</v>
      </c>
      <c r="F345" s="22"/>
      <c r="G345" s="21"/>
      <c r="H345" s="9"/>
      <c r="I345" s="9"/>
      <c r="J345" s="22">
        <f>SUM(T340:T344)</f>
        <v>771.03</v>
      </c>
      <c r="K345" s="22"/>
    </row>
    <row r="346" spans="1:22" ht="14.25" x14ac:dyDescent="0.2">
      <c r="A346" s="19"/>
      <c r="B346" s="19"/>
      <c r="C346" s="19" t="s">
        <v>526</v>
      </c>
      <c r="D346" s="20" t="s">
        <v>527</v>
      </c>
      <c r="E346" s="9">
        <f>Source!AQ361</f>
        <v>30.74</v>
      </c>
      <c r="F346" s="22"/>
      <c r="G346" s="21" t="str">
        <f>Source!DI361</f>
        <v/>
      </c>
      <c r="H346" s="9">
        <f>Source!AV361</f>
        <v>1</v>
      </c>
      <c r="I346" s="9"/>
      <c r="J346" s="22"/>
      <c r="K346" s="22">
        <f>Source!U361</f>
        <v>16.814779999999999</v>
      </c>
    </row>
    <row r="347" spans="1:22" ht="15" x14ac:dyDescent="0.25">
      <c r="A347" s="26"/>
      <c r="B347" s="26"/>
      <c r="C347" s="26"/>
      <c r="D347" s="26"/>
      <c r="E347" s="26"/>
      <c r="F347" s="26"/>
      <c r="G347" s="26"/>
      <c r="H347" s="26"/>
      <c r="I347" s="61">
        <f>J342+J343+J344+J345</f>
        <v>17223.989999999998</v>
      </c>
      <c r="J347" s="61"/>
      <c r="K347" s="27">
        <f>IF(Source!I361&lt;&gt;0, ROUND(I347/Source!I361, 2), 0)</f>
        <v>31488.1</v>
      </c>
      <c r="P347" s="24">
        <f>I347</f>
        <v>17223.989999999998</v>
      </c>
    </row>
    <row r="349" spans="1:22" ht="15" x14ac:dyDescent="0.25">
      <c r="A349" s="65" t="str">
        <f>CONCATENATE("Итого по подразделу: ",IF(Source!G363&lt;&gt;"Новый подраздел", Source!G363, ""))</f>
        <v>Итого по подразделу: Потолок</v>
      </c>
      <c r="B349" s="65"/>
      <c r="C349" s="65"/>
      <c r="D349" s="65"/>
      <c r="E349" s="65"/>
      <c r="F349" s="65"/>
      <c r="G349" s="65"/>
      <c r="H349" s="65"/>
      <c r="I349" s="63">
        <f>SUM(P339:P348)</f>
        <v>17223.989999999998</v>
      </c>
      <c r="J349" s="64"/>
      <c r="K349" s="30"/>
    </row>
    <row r="352" spans="1:22" ht="16.5" x14ac:dyDescent="0.25">
      <c r="A352" s="62" t="str">
        <f>CONCATENATE("Подраздел: ",IF(Source!G393&lt;&gt;"Новый подраздел", Source!G393, ""))</f>
        <v>Подраздел: Окна</v>
      </c>
      <c r="B352" s="62"/>
      <c r="C352" s="62"/>
      <c r="D352" s="62"/>
      <c r="E352" s="62"/>
      <c r="F352" s="62"/>
      <c r="G352" s="62"/>
      <c r="H352" s="62"/>
      <c r="I352" s="62"/>
      <c r="J352" s="62"/>
      <c r="K352" s="62"/>
    </row>
    <row r="353" spans="1:22" ht="156" x14ac:dyDescent="0.2">
      <c r="A353" s="19">
        <v>31</v>
      </c>
      <c r="B353" s="19" t="s">
        <v>542</v>
      </c>
      <c r="C353" s="19" t="s">
        <v>543</v>
      </c>
      <c r="D353" s="20" t="str">
        <f>Source!H397</f>
        <v>100 м</v>
      </c>
      <c r="E353" s="9">
        <f>Source!I397</f>
        <v>0.123</v>
      </c>
      <c r="F353" s="22"/>
      <c r="G353" s="21"/>
      <c r="H353" s="9"/>
      <c r="I353" s="9"/>
      <c r="J353" s="22"/>
      <c r="K353" s="22"/>
      <c r="Q353">
        <f>ROUND((Source!BZ397/100)*ROUND((Source!AF397*Source!AV397)*Source!I397, 2), 2)</f>
        <v>59.09</v>
      </c>
      <c r="R353">
        <f>Source!X397</f>
        <v>59.09</v>
      </c>
      <c r="S353">
        <f>ROUND((Source!CA397/100)*ROUND((Source!AF397*Source!AV397)*Source!I397, 2), 2)</f>
        <v>8.44</v>
      </c>
      <c r="T353">
        <f>Source!Y397</f>
        <v>8.44</v>
      </c>
      <c r="U353">
        <f>ROUND((175/100)*ROUND((Source!AE397*Source!AV397)*Source!I397, 2), 2)</f>
        <v>0</v>
      </c>
      <c r="V353">
        <f>ROUND((108/100)*ROUND(Source!CS397*Source!I397, 2), 2)</f>
        <v>0</v>
      </c>
    </row>
    <row r="354" spans="1:22" x14ac:dyDescent="0.2">
      <c r="C354" s="23" t="str">
        <f>"Объем: "&amp;Source!I397&amp;"=12,3/"&amp;"100"</f>
        <v>Объем: 0,123=12,3/100</v>
      </c>
    </row>
    <row r="355" spans="1:22" ht="14.25" x14ac:dyDescent="0.2">
      <c r="A355" s="19"/>
      <c r="B355" s="19"/>
      <c r="C355" s="19" t="s">
        <v>521</v>
      </c>
      <c r="D355" s="20"/>
      <c r="E355" s="9"/>
      <c r="F355" s="22">
        <f>Source!AO397</f>
        <v>3431.17</v>
      </c>
      <c r="G355" s="21" t="str">
        <f>Source!DG397</f>
        <v>*0,2</v>
      </c>
      <c r="H355" s="9">
        <f>Source!AV397</f>
        <v>1</v>
      </c>
      <c r="I355" s="9">
        <f>IF(Source!BA397&lt;&gt; 0, Source!BA397, 1)</f>
        <v>1</v>
      </c>
      <c r="J355" s="22">
        <f>Source!S397</f>
        <v>84.41</v>
      </c>
      <c r="K355" s="22"/>
    </row>
    <row r="356" spans="1:22" ht="14.25" x14ac:dyDescent="0.2">
      <c r="A356" s="19"/>
      <c r="B356" s="19"/>
      <c r="C356" s="19" t="s">
        <v>523</v>
      </c>
      <c r="D356" s="20" t="s">
        <v>524</v>
      </c>
      <c r="E356" s="9">
        <f>Source!AT397</f>
        <v>70</v>
      </c>
      <c r="F356" s="22"/>
      <c r="G356" s="21"/>
      <c r="H356" s="9"/>
      <c r="I356" s="9"/>
      <c r="J356" s="22">
        <f>SUM(R353:R355)</f>
        <v>59.09</v>
      </c>
      <c r="K356" s="22"/>
    </row>
    <row r="357" spans="1:22" ht="14.25" x14ac:dyDescent="0.2">
      <c r="A357" s="19"/>
      <c r="B357" s="19"/>
      <c r="C357" s="19" t="s">
        <v>525</v>
      </c>
      <c r="D357" s="20" t="s">
        <v>524</v>
      </c>
      <c r="E357" s="9">
        <f>Source!AU397</f>
        <v>10</v>
      </c>
      <c r="F357" s="22"/>
      <c r="G357" s="21"/>
      <c r="H357" s="9"/>
      <c r="I357" s="9"/>
      <c r="J357" s="22">
        <f>SUM(T353:T356)</f>
        <v>8.44</v>
      </c>
      <c r="K357" s="22"/>
    </row>
    <row r="358" spans="1:22" ht="14.25" x14ac:dyDescent="0.2">
      <c r="A358" s="19"/>
      <c r="B358" s="19"/>
      <c r="C358" s="19" t="s">
        <v>526</v>
      </c>
      <c r="D358" s="20" t="s">
        <v>527</v>
      </c>
      <c r="E358" s="9">
        <f>Source!AQ397</f>
        <v>7.4</v>
      </c>
      <c r="F358" s="22"/>
      <c r="G358" s="21" t="str">
        <f>Source!DI397</f>
        <v>*0,2</v>
      </c>
      <c r="H358" s="9">
        <f>Source!AV397</f>
        <v>1</v>
      </c>
      <c r="I358" s="9"/>
      <c r="J358" s="22"/>
      <c r="K358" s="22">
        <f>Source!U397</f>
        <v>0.18204000000000004</v>
      </c>
    </row>
    <row r="359" spans="1:22" ht="15" x14ac:dyDescent="0.25">
      <c r="A359" s="26"/>
      <c r="B359" s="26"/>
      <c r="C359" s="26"/>
      <c r="D359" s="26"/>
      <c r="E359" s="26"/>
      <c r="F359" s="26"/>
      <c r="G359" s="26"/>
      <c r="H359" s="26"/>
      <c r="I359" s="61">
        <f>J355+J356+J357</f>
        <v>151.94</v>
      </c>
      <c r="J359" s="61"/>
      <c r="K359" s="27">
        <f>IF(Source!I397&lt;&gt;0, ROUND(I359/Source!I397, 2), 0)</f>
        <v>1235.28</v>
      </c>
      <c r="P359" s="24">
        <f>I359</f>
        <v>151.94</v>
      </c>
    </row>
    <row r="360" spans="1:22" ht="156" x14ac:dyDescent="0.2">
      <c r="A360" s="19">
        <v>32</v>
      </c>
      <c r="B360" s="19" t="s">
        <v>544</v>
      </c>
      <c r="C360" s="19" t="s">
        <v>545</v>
      </c>
      <c r="D360" s="20" t="str">
        <f>Source!H398</f>
        <v>100 м</v>
      </c>
      <c r="E360" s="9">
        <f>Source!I398</f>
        <v>7.1999999999999995E-2</v>
      </c>
      <c r="F360" s="22"/>
      <c r="G360" s="21"/>
      <c r="H360" s="9"/>
      <c r="I360" s="9"/>
      <c r="J360" s="22"/>
      <c r="K360" s="22"/>
      <c r="Q360">
        <f>ROUND((Source!BZ398/100)*ROUND((Source!AF398*Source!AV398)*Source!I398, 2), 2)</f>
        <v>36.659999999999997</v>
      </c>
      <c r="R360">
        <f>Source!X398</f>
        <v>36.659999999999997</v>
      </c>
      <c r="S360">
        <f>ROUND((Source!CA398/100)*ROUND((Source!AF398*Source!AV398)*Source!I398, 2), 2)</f>
        <v>5.24</v>
      </c>
      <c r="T360">
        <f>Source!Y398</f>
        <v>5.24</v>
      </c>
      <c r="U360">
        <f>ROUND((175/100)*ROUND((Source!AE398*Source!AV398)*Source!I398, 2), 2)</f>
        <v>0</v>
      </c>
      <c r="V360">
        <f>ROUND((108/100)*ROUND(Source!CS398*Source!I398, 2), 2)</f>
        <v>0</v>
      </c>
    </row>
    <row r="361" spans="1:22" x14ac:dyDescent="0.2">
      <c r="C361" s="23" t="str">
        <f>"Объем: "&amp;Source!I398&amp;"=7,2/"&amp;"100"</f>
        <v>Объем: 0,072=7,2/100</v>
      </c>
    </row>
    <row r="362" spans="1:22" ht="14.25" x14ac:dyDescent="0.2">
      <c r="A362" s="19"/>
      <c r="B362" s="19"/>
      <c r="C362" s="19" t="s">
        <v>521</v>
      </c>
      <c r="D362" s="20"/>
      <c r="E362" s="9"/>
      <c r="F362" s="22">
        <f>Source!AO398</f>
        <v>3636.49</v>
      </c>
      <c r="G362" s="21" t="str">
        <f>Source!DG398</f>
        <v>*0,2</v>
      </c>
      <c r="H362" s="9">
        <f>Source!AV398</f>
        <v>1</v>
      </c>
      <c r="I362" s="9">
        <f>IF(Source!BA398&lt;&gt; 0, Source!BA398, 1)</f>
        <v>1</v>
      </c>
      <c r="J362" s="22">
        <f>Source!S398</f>
        <v>52.37</v>
      </c>
      <c r="K362" s="22"/>
    </row>
    <row r="363" spans="1:22" ht="14.25" x14ac:dyDescent="0.2">
      <c r="A363" s="19"/>
      <c r="B363" s="19"/>
      <c r="C363" s="19" t="s">
        <v>523</v>
      </c>
      <c r="D363" s="20" t="s">
        <v>524</v>
      </c>
      <c r="E363" s="9">
        <f>Source!AT398</f>
        <v>70</v>
      </c>
      <c r="F363" s="22"/>
      <c r="G363" s="21"/>
      <c r="H363" s="9"/>
      <c r="I363" s="9"/>
      <c r="J363" s="22">
        <f>SUM(R360:R362)</f>
        <v>36.659999999999997</v>
      </c>
      <c r="K363" s="22"/>
    </row>
    <row r="364" spans="1:22" ht="14.25" x14ac:dyDescent="0.2">
      <c r="A364" s="19"/>
      <c r="B364" s="19"/>
      <c r="C364" s="19" t="s">
        <v>525</v>
      </c>
      <c r="D364" s="20" t="s">
        <v>524</v>
      </c>
      <c r="E364" s="9">
        <f>Source!AU398</f>
        <v>10</v>
      </c>
      <c r="F364" s="22"/>
      <c r="G364" s="21"/>
      <c r="H364" s="9"/>
      <c r="I364" s="9"/>
      <c r="J364" s="22">
        <f>SUM(T360:T363)</f>
        <v>5.24</v>
      </c>
      <c r="K364" s="22"/>
    </row>
    <row r="365" spans="1:22" ht="14.25" x14ac:dyDescent="0.2">
      <c r="A365" s="19"/>
      <c r="B365" s="19"/>
      <c r="C365" s="19" t="s">
        <v>526</v>
      </c>
      <c r="D365" s="20" t="s">
        <v>527</v>
      </c>
      <c r="E365" s="9">
        <f>Source!AQ398</f>
        <v>8</v>
      </c>
      <c r="F365" s="22"/>
      <c r="G365" s="21" t="str">
        <f>Source!DI398</f>
        <v>*0,2</v>
      </c>
      <c r="H365" s="9">
        <f>Source!AV398</f>
        <v>1</v>
      </c>
      <c r="I365" s="9"/>
      <c r="J365" s="22"/>
      <c r="K365" s="22">
        <f>Source!U398</f>
        <v>0.1152</v>
      </c>
    </row>
    <row r="366" spans="1:22" ht="15" x14ac:dyDescent="0.25">
      <c r="A366" s="26"/>
      <c r="B366" s="26"/>
      <c r="C366" s="26"/>
      <c r="D366" s="26"/>
      <c r="E366" s="26"/>
      <c r="F366" s="26"/>
      <c r="G366" s="26"/>
      <c r="H366" s="26"/>
      <c r="I366" s="61">
        <f>J362+J363+J364</f>
        <v>94.27</v>
      </c>
      <c r="J366" s="61"/>
      <c r="K366" s="27">
        <f>IF(Source!I398&lt;&gt;0, ROUND(I366/Source!I398, 2), 0)</f>
        <v>1309.31</v>
      </c>
      <c r="P366" s="24">
        <f>I366</f>
        <v>94.27</v>
      </c>
    </row>
    <row r="367" spans="1:22" ht="28.5" x14ac:dyDescent="0.2">
      <c r="A367" s="19">
        <v>33</v>
      </c>
      <c r="B367" s="19" t="str">
        <f>Source!F399</f>
        <v>1.13-3703-3-1/1</v>
      </c>
      <c r="C367" s="19" t="str">
        <f>Source!G399</f>
        <v>Обрамление углов стен, откосов уголком ПВХ - вертикальные</v>
      </c>
      <c r="D367" s="20" t="str">
        <f>Source!H399</f>
        <v>100 м</v>
      </c>
      <c r="E367" s="9">
        <f>Source!I399</f>
        <v>0.123</v>
      </c>
      <c r="F367" s="22"/>
      <c r="G367" s="21"/>
      <c r="H367" s="9"/>
      <c r="I367" s="9"/>
      <c r="J367" s="22"/>
      <c r="K367" s="22"/>
      <c r="Q367">
        <f>ROUND((Source!BZ399/100)*ROUND((Source!AF399*Source!AV399)*Source!I399, 2), 2)</f>
        <v>295.42</v>
      </c>
      <c r="R367">
        <f>Source!X399</f>
        <v>295.42</v>
      </c>
      <c r="S367">
        <f>ROUND((Source!CA399/100)*ROUND((Source!AF399*Source!AV399)*Source!I399, 2), 2)</f>
        <v>42.2</v>
      </c>
      <c r="T367">
        <f>Source!Y399</f>
        <v>42.2</v>
      </c>
      <c r="U367">
        <f>ROUND((175/100)*ROUND((Source!AE399*Source!AV399)*Source!I399, 2), 2)</f>
        <v>0</v>
      </c>
      <c r="V367">
        <f>ROUND((108/100)*ROUND(Source!CS399*Source!I399, 2), 2)</f>
        <v>0</v>
      </c>
    </row>
    <row r="368" spans="1:22" x14ac:dyDescent="0.2">
      <c r="C368" s="23" t="str">
        <f>"Объем: "&amp;Source!I399&amp;"=12,3/"&amp;"100"</f>
        <v>Объем: 0,123=12,3/100</v>
      </c>
    </row>
    <row r="369" spans="1:22" ht="14.25" x14ac:dyDescent="0.2">
      <c r="A369" s="19"/>
      <c r="B369" s="19"/>
      <c r="C369" s="19" t="s">
        <v>521</v>
      </c>
      <c r="D369" s="20"/>
      <c r="E369" s="9"/>
      <c r="F369" s="22">
        <f>Source!AO399</f>
        <v>3431.17</v>
      </c>
      <c r="G369" s="21" t="str">
        <f>Source!DG399</f>
        <v/>
      </c>
      <c r="H369" s="9">
        <f>Source!AV399</f>
        <v>1</v>
      </c>
      <c r="I369" s="9">
        <f>IF(Source!BA399&lt;&gt; 0, Source!BA399, 1)</f>
        <v>1</v>
      </c>
      <c r="J369" s="22">
        <f>Source!S399</f>
        <v>422.03</v>
      </c>
      <c r="K369" s="22"/>
    </row>
    <row r="370" spans="1:22" ht="14.25" x14ac:dyDescent="0.2">
      <c r="A370" s="19"/>
      <c r="B370" s="19"/>
      <c r="C370" s="19" t="s">
        <v>529</v>
      </c>
      <c r="D370" s="20"/>
      <c r="E370" s="9"/>
      <c r="F370" s="22">
        <f>Source!AL399</f>
        <v>368.06</v>
      </c>
      <c r="G370" s="21" t="str">
        <f>Source!DD399</f>
        <v/>
      </c>
      <c r="H370" s="9">
        <f>Source!AW399</f>
        <v>1</v>
      </c>
      <c r="I370" s="9">
        <f>IF(Source!BC399&lt;&gt; 0, Source!BC399, 1)</f>
        <v>1</v>
      </c>
      <c r="J370" s="22">
        <f>Source!P399</f>
        <v>45.27</v>
      </c>
      <c r="K370" s="22"/>
    </row>
    <row r="371" spans="1:22" ht="57" x14ac:dyDescent="0.2">
      <c r="A371" s="19" t="s">
        <v>268</v>
      </c>
      <c r="B371" s="19" t="str">
        <f>Source!F400</f>
        <v>21.1-25-1068</v>
      </c>
      <c r="C371" s="19" t="str">
        <f>Source!G400</f>
        <v>Уголки поливинилхлоридные декоративные для внутренней облицовки, внешние, размеры 40х40 мм, белые</v>
      </c>
      <c r="D371" s="20" t="str">
        <f>Source!H400</f>
        <v>м</v>
      </c>
      <c r="E371" s="9">
        <f>Source!I400</f>
        <v>12.423</v>
      </c>
      <c r="F371" s="22">
        <f>Source!AK400</f>
        <v>28.54</v>
      </c>
      <c r="G371" s="29" t="s">
        <v>3</v>
      </c>
      <c r="H371" s="9">
        <f>Source!AW400</f>
        <v>1</v>
      </c>
      <c r="I371" s="9">
        <f>IF(Source!BC400&lt;&gt; 0, Source!BC400, 1)</f>
        <v>1</v>
      </c>
      <c r="J371" s="22">
        <f>Source!O400</f>
        <v>354.55</v>
      </c>
      <c r="K371" s="22"/>
      <c r="Q371">
        <f>ROUND((Source!BZ400/100)*ROUND((Source!AF400*Source!AV400)*Source!I400, 2), 2)</f>
        <v>0</v>
      </c>
      <c r="R371">
        <f>Source!X400</f>
        <v>0</v>
      </c>
      <c r="S371">
        <f>ROUND((Source!CA400/100)*ROUND((Source!AF400*Source!AV400)*Source!I400, 2), 2)</f>
        <v>0</v>
      </c>
      <c r="T371">
        <f>Source!Y400</f>
        <v>0</v>
      </c>
      <c r="U371">
        <f>ROUND((175/100)*ROUND((Source!AE400*Source!AV400)*Source!I400, 2), 2)</f>
        <v>0</v>
      </c>
      <c r="V371">
        <f>ROUND((108/100)*ROUND(Source!CS400*Source!I400, 2), 2)</f>
        <v>0</v>
      </c>
    </row>
    <row r="372" spans="1:22" ht="14.25" x14ac:dyDescent="0.2">
      <c r="A372" s="19"/>
      <c r="B372" s="19"/>
      <c r="C372" s="19" t="s">
        <v>523</v>
      </c>
      <c r="D372" s="20" t="s">
        <v>524</v>
      </c>
      <c r="E372" s="9">
        <f>Source!AT399</f>
        <v>70</v>
      </c>
      <c r="F372" s="22"/>
      <c r="G372" s="21"/>
      <c r="H372" s="9"/>
      <c r="I372" s="9"/>
      <c r="J372" s="22">
        <f>SUM(R367:R371)</f>
        <v>295.42</v>
      </c>
      <c r="K372" s="22"/>
    </row>
    <row r="373" spans="1:22" ht="14.25" x14ac:dyDescent="0.2">
      <c r="A373" s="19"/>
      <c r="B373" s="19"/>
      <c r="C373" s="19" t="s">
        <v>525</v>
      </c>
      <c r="D373" s="20" t="s">
        <v>524</v>
      </c>
      <c r="E373" s="9">
        <f>Source!AU399</f>
        <v>10</v>
      </c>
      <c r="F373" s="22"/>
      <c r="G373" s="21"/>
      <c r="H373" s="9"/>
      <c r="I373" s="9"/>
      <c r="J373" s="22">
        <f>SUM(T367:T372)</f>
        <v>42.2</v>
      </c>
      <c r="K373" s="22"/>
    </row>
    <row r="374" spans="1:22" ht="14.25" x14ac:dyDescent="0.2">
      <c r="A374" s="19"/>
      <c r="B374" s="19"/>
      <c r="C374" s="19" t="s">
        <v>526</v>
      </c>
      <c r="D374" s="20" t="s">
        <v>527</v>
      </c>
      <c r="E374" s="9">
        <f>Source!AQ399</f>
        <v>7.4</v>
      </c>
      <c r="F374" s="22"/>
      <c r="G374" s="21" t="str">
        <f>Source!DI399</f>
        <v/>
      </c>
      <c r="H374" s="9">
        <f>Source!AV399</f>
        <v>1</v>
      </c>
      <c r="I374" s="9"/>
      <c r="J374" s="22"/>
      <c r="K374" s="22">
        <f>Source!U399</f>
        <v>0.91020000000000001</v>
      </c>
    </row>
    <row r="375" spans="1:22" ht="15" x14ac:dyDescent="0.25">
      <c r="A375" s="26"/>
      <c r="B375" s="26"/>
      <c r="C375" s="26"/>
      <c r="D375" s="26"/>
      <c r="E375" s="26"/>
      <c r="F375" s="26"/>
      <c r="G375" s="26"/>
      <c r="H375" s="26"/>
      <c r="I375" s="61">
        <f>J369+J370+J372+J373+SUM(J371:J371)</f>
        <v>1159.47</v>
      </c>
      <c r="J375" s="61"/>
      <c r="K375" s="27">
        <f>IF(Source!I399&lt;&gt;0, ROUND(I375/Source!I399, 2), 0)</f>
        <v>9426.59</v>
      </c>
      <c r="P375" s="24">
        <f>I375</f>
        <v>1159.47</v>
      </c>
    </row>
    <row r="376" spans="1:22" ht="28.5" x14ac:dyDescent="0.2">
      <c r="A376" s="19">
        <v>34</v>
      </c>
      <c r="B376" s="19" t="str">
        <f>Source!F401</f>
        <v>1.13-3703-3-2/1</v>
      </c>
      <c r="C376" s="19" t="str">
        <f>Source!G401</f>
        <v>Обрамление углов стен, откосов уголком ПВХ - горизонтальные</v>
      </c>
      <c r="D376" s="20" t="str">
        <f>Source!H401</f>
        <v>100 м</v>
      </c>
      <c r="E376" s="9">
        <f>Source!I401</f>
        <v>7.1999999999999995E-2</v>
      </c>
      <c r="F376" s="22"/>
      <c r="G376" s="21"/>
      <c r="H376" s="9"/>
      <c r="I376" s="9"/>
      <c r="J376" s="22"/>
      <c r="K376" s="22"/>
      <c r="Q376">
        <f>ROUND((Source!BZ401/100)*ROUND((Source!AF401*Source!AV401)*Source!I401, 2), 2)</f>
        <v>183.28</v>
      </c>
      <c r="R376">
        <f>Source!X401</f>
        <v>183.28</v>
      </c>
      <c r="S376">
        <f>ROUND((Source!CA401/100)*ROUND((Source!AF401*Source!AV401)*Source!I401, 2), 2)</f>
        <v>26.18</v>
      </c>
      <c r="T376">
        <f>Source!Y401</f>
        <v>26.18</v>
      </c>
      <c r="U376">
        <f>ROUND((175/100)*ROUND((Source!AE401*Source!AV401)*Source!I401, 2), 2)</f>
        <v>0</v>
      </c>
      <c r="V376">
        <f>ROUND((108/100)*ROUND(Source!CS401*Source!I401, 2), 2)</f>
        <v>0</v>
      </c>
    </row>
    <row r="377" spans="1:22" x14ac:dyDescent="0.2">
      <c r="C377" s="23" t="str">
        <f>"Объем: "&amp;Source!I401&amp;"=7,2/"&amp;"100"</f>
        <v>Объем: 0,072=7,2/100</v>
      </c>
    </row>
    <row r="378" spans="1:22" ht="14.25" x14ac:dyDescent="0.2">
      <c r="A378" s="19"/>
      <c r="B378" s="19"/>
      <c r="C378" s="19" t="s">
        <v>521</v>
      </c>
      <c r="D378" s="20"/>
      <c r="E378" s="9"/>
      <c r="F378" s="22">
        <f>Source!AO401</f>
        <v>3636.49</v>
      </c>
      <c r="G378" s="21" t="str">
        <f>Source!DG401</f>
        <v/>
      </c>
      <c r="H378" s="9">
        <f>Source!AV401</f>
        <v>1</v>
      </c>
      <c r="I378" s="9">
        <f>IF(Source!BA401&lt;&gt; 0, Source!BA401, 1)</f>
        <v>1</v>
      </c>
      <c r="J378" s="22">
        <f>Source!S401</f>
        <v>261.83</v>
      </c>
      <c r="K378" s="22"/>
    </row>
    <row r="379" spans="1:22" ht="14.25" x14ac:dyDescent="0.2">
      <c r="A379" s="19"/>
      <c r="B379" s="19"/>
      <c r="C379" s="19" t="s">
        <v>529</v>
      </c>
      <c r="D379" s="20"/>
      <c r="E379" s="9"/>
      <c r="F379" s="22">
        <f>Source!AL401</f>
        <v>368.06</v>
      </c>
      <c r="G379" s="21" t="str">
        <f>Source!DD401</f>
        <v/>
      </c>
      <c r="H379" s="9">
        <f>Source!AW401</f>
        <v>1</v>
      </c>
      <c r="I379" s="9">
        <f>IF(Source!BC401&lt;&gt; 0, Source!BC401, 1)</f>
        <v>1</v>
      </c>
      <c r="J379" s="22">
        <f>Source!P401</f>
        <v>26.5</v>
      </c>
      <c r="K379" s="22"/>
    </row>
    <row r="380" spans="1:22" ht="57" x14ac:dyDescent="0.2">
      <c r="A380" s="19" t="s">
        <v>274</v>
      </c>
      <c r="B380" s="19" t="str">
        <f>Source!F402</f>
        <v>21.1-25-1068</v>
      </c>
      <c r="C380" s="19" t="str">
        <f>Source!G402</f>
        <v>Уголки поливинилхлоридные декоративные для внутренней облицовки, внешние, размеры 40х40 мм, белые</v>
      </c>
      <c r="D380" s="20" t="str">
        <f>Source!H402</f>
        <v>м</v>
      </c>
      <c r="E380" s="9">
        <f>Source!I402</f>
        <v>7.2720000000000002</v>
      </c>
      <c r="F380" s="22">
        <f>Source!AK402</f>
        <v>28.54</v>
      </c>
      <c r="G380" s="29" t="s">
        <v>3</v>
      </c>
      <c r="H380" s="9">
        <f>Source!AW402</f>
        <v>1</v>
      </c>
      <c r="I380" s="9">
        <f>IF(Source!BC402&lt;&gt; 0, Source!BC402, 1)</f>
        <v>1</v>
      </c>
      <c r="J380" s="22">
        <f>Source!O402</f>
        <v>207.54</v>
      </c>
      <c r="K380" s="22"/>
      <c r="Q380">
        <f>ROUND((Source!BZ402/100)*ROUND((Source!AF402*Source!AV402)*Source!I402, 2), 2)</f>
        <v>0</v>
      </c>
      <c r="R380">
        <f>Source!X402</f>
        <v>0</v>
      </c>
      <c r="S380">
        <f>ROUND((Source!CA402/100)*ROUND((Source!AF402*Source!AV402)*Source!I402, 2), 2)</f>
        <v>0</v>
      </c>
      <c r="T380">
        <f>Source!Y402</f>
        <v>0</v>
      </c>
      <c r="U380">
        <f>ROUND((175/100)*ROUND((Source!AE402*Source!AV402)*Source!I402, 2), 2)</f>
        <v>0</v>
      </c>
      <c r="V380">
        <f>ROUND((108/100)*ROUND(Source!CS402*Source!I402, 2), 2)</f>
        <v>0</v>
      </c>
    </row>
    <row r="381" spans="1:22" ht="14.25" x14ac:dyDescent="0.2">
      <c r="A381" s="19"/>
      <c r="B381" s="19"/>
      <c r="C381" s="19" t="s">
        <v>523</v>
      </c>
      <c r="D381" s="20" t="s">
        <v>524</v>
      </c>
      <c r="E381" s="9">
        <f>Source!AT401</f>
        <v>70</v>
      </c>
      <c r="F381" s="22"/>
      <c r="G381" s="21"/>
      <c r="H381" s="9"/>
      <c r="I381" s="9"/>
      <c r="J381" s="22">
        <f>SUM(R376:R380)</f>
        <v>183.28</v>
      </c>
      <c r="K381" s="22"/>
    </row>
    <row r="382" spans="1:22" ht="14.25" x14ac:dyDescent="0.2">
      <c r="A382" s="19"/>
      <c r="B382" s="19"/>
      <c r="C382" s="19" t="s">
        <v>525</v>
      </c>
      <c r="D382" s="20" t="s">
        <v>524</v>
      </c>
      <c r="E382" s="9">
        <f>Source!AU401</f>
        <v>10</v>
      </c>
      <c r="F382" s="22"/>
      <c r="G382" s="21"/>
      <c r="H382" s="9"/>
      <c r="I382" s="9"/>
      <c r="J382" s="22">
        <f>SUM(T376:T381)</f>
        <v>26.18</v>
      </c>
      <c r="K382" s="22"/>
    </row>
    <row r="383" spans="1:22" ht="14.25" x14ac:dyDescent="0.2">
      <c r="A383" s="19"/>
      <c r="B383" s="19"/>
      <c r="C383" s="19" t="s">
        <v>526</v>
      </c>
      <c r="D383" s="20" t="s">
        <v>527</v>
      </c>
      <c r="E383" s="9">
        <f>Source!AQ401</f>
        <v>8</v>
      </c>
      <c r="F383" s="22"/>
      <c r="G383" s="21" t="str">
        <f>Source!DI401</f>
        <v/>
      </c>
      <c r="H383" s="9">
        <f>Source!AV401</f>
        <v>1</v>
      </c>
      <c r="I383" s="9"/>
      <c r="J383" s="22"/>
      <c r="K383" s="22">
        <f>Source!U401</f>
        <v>0.57599999999999996</v>
      </c>
    </row>
    <row r="384" spans="1:22" ht="15" x14ac:dyDescent="0.25">
      <c r="A384" s="26"/>
      <c r="B384" s="26"/>
      <c r="C384" s="26"/>
      <c r="D384" s="26"/>
      <c r="E384" s="26"/>
      <c r="F384" s="26"/>
      <c r="G384" s="26"/>
      <c r="H384" s="26"/>
      <c r="I384" s="61">
        <f>J378+J379+J381+J382+SUM(J380:J380)</f>
        <v>705.33</v>
      </c>
      <c r="J384" s="61"/>
      <c r="K384" s="27">
        <f>IF(Source!I401&lt;&gt;0, ROUND(I384/Source!I401, 2), 0)</f>
        <v>9796.25</v>
      </c>
      <c r="P384" s="24">
        <f>I384</f>
        <v>705.33</v>
      </c>
    </row>
    <row r="386" spans="1:22" ht="15" x14ac:dyDescent="0.25">
      <c r="A386" s="65" t="str">
        <f>CONCATENATE("Итого по подразделу: ",IF(Source!G404&lt;&gt;"Новый подраздел", Source!G404, ""))</f>
        <v>Итого по подразделу: Окна</v>
      </c>
      <c r="B386" s="65"/>
      <c r="C386" s="65"/>
      <c r="D386" s="65"/>
      <c r="E386" s="65"/>
      <c r="F386" s="65"/>
      <c r="G386" s="65"/>
      <c r="H386" s="65"/>
      <c r="I386" s="63">
        <f>SUM(P352:P385)</f>
        <v>2111.0100000000002</v>
      </c>
      <c r="J386" s="64"/>
      <c r="K386" s="30"/>
    </row>
    <row r="389" spans="1:22" ht="16.5" x14ac:dyDescent="0.25">
      <c r="A389" s="62" t="str">
        <f>CONCATENATE("Подраздел: ",IF(Source!G434&lt;&gt;"Новый подраздел", Source!G434, ""))</f>
        <v>Подраздел: Инженерные сети</v>
      </c>
      <c r="B389" s="62"/>
      <c r="C389" s="62"/>
      <c r="D389" s="62"/>
      <c r="E389" s="62"/>
      <c r="F389" s="62"/>
      <c r="G389" s="62"/>
      <c r="H389" s="62"/>
      <c r="I389" s="62"/>
      <c r="J389" s="62"/>
      <c r="K389" s="62"/>
    </row>
    <row r="390" spans="1:22" ht="28.5" x14ac:dyDescent="0.2">
      <c r="A390" s="19">
        <v>35</v>
      </c>
      <c r="B390" s="19" t="str">
        <f>Source!F438</f>
        <v>1.16-3204-1-1/1</v>
      </c>
      <c r="C390" s="19" t="str">
        <f>Source!G438</f>
        <v>Демонтаж санитарно-технических приборов умывальников или раковин</v>
      </c>
      <c r="D390" s="20" t="str">
        <f>Source!H438</f>
        <v>100 компл.</v>
      </c>
      <c r="E390" s="9">
        <f>Source!I438</f>
        <v>0.01</v>
      </c>
      <c r="F390" s="22"/>
      <c r="G390" s="21"/>
      <c r="H390" s="9"/>
      <c r="I390" s="9"/>
      <c r="J390" s="22"/>
      <c r="K390" s="22"/>
      <c r="Q390">
        <f>ROUND((Source!BZ438/100)*ROUND((Source!AF438*Source!AV438)*Source!I438, 2), 2)</f>
        <v>193.4</v>
      </c>
      <c r="R390">
        <f>Source!X438</f>
        <v>193.4</v>
      </c>
      <c r="S390">
        <f>ROUND((Source!CA438/100)*ROUND((Source!AF438*Source!AV438)*Source!I438, 2), 2)</f>
        <v>27.63</v>
      </c>
      <c r="T390">
        <f>Source!Y438</f>
        <v>27.63</v>
      </c>
      <c r="U390">
        <f>ROUND((175/100)*ROUND((Source!AE438*Source!AV438)*Source!I438, 2), 2)</f>
        <v>0</v>
      </c>
      <c r="V390">
        <f>ROUND((108/100)*ROUND(Source!CS438*Source!I438, 2), 2)</f>
        <v>0</v>
      </c>
    </row>
    <row r="391" spans="1:22" x14ac:dyDescent="0.2">
      <c r="C391" s="23" t="str">
        <f>"Объем: "&amp;Source!I438&amp;"=1/"&amp;"100"</f>
        <v>Объем: 0,01=1/100</v>
      </c>
    </row>
    <row r="392" spans="1:22" ht="14.25" x14ac:dyDescent="0.2">
      <c r="A392" s="19"/>
      <c r="B392" s="19"/>
      <c r="C392" s="19" t="s">
        <v>521</v>
      </c>
      <c r="D392" s="20"/>
      <c r="E392" s="9"/>
      <c r="F392" s="22">
        <f>Source!AO438</f>
        <v>27627.52</v>
      </c>
      <c r="G392" s="21" t="str">
        <f>Source!DG438</f>
        <v/>
      </c>
      <c r="H392" s="9">
        <f>Source!AV438</f>
        <v>1</v>
      </c>
      <c r="I392" s="9">
        <f>IF(Source!BA438&lt;&gt; 0, Source!BA438, 1)</f>
        <v>1</v>
      </c>
      <c r="J392" s="22">
        <f>Source!S438</f>
        <v>276.27999999999997</v>
      </c>
      <c r="K392" s="22"/>
    </row>
    <row r="393" spans="1:22" ht="14.25" x14ac:dyDescent="0.2">
      <c r="A393" s="19"/>
      <c r="B393" s="19"/>
      <c r="C393" s="19" t="s">
        <v>523</v>
      </c>
      <c r="D393" s="20" t="s">
        <v>524</v>
      </c>
      <c r="E393" s="9">
        <f>Source!AT438</f>
        <v>70</v>
      </c>
      <c r="F393" s="22"/>
      <c r="G393" s="21"/>
      <c r="H393" s="9"/>
      <c r="I393" s="9"/>
      <c r="J393" s="22">
        <f>SUM(R390:R392)</f>
        <v>193.4</v>
      </c>
      <c r="K393" s="22"/>
    </row>
    <row r="394" spans="1:22" ht="14.25" x14ac:dyDescent="0.2">
      <c r="A394" s="19"/>
      <c r="B394" s="19"/>
      <c r="C394" s="19" t="s">
        <v>525</v>
      </c>
      <c r="D394" s="20" t="s">
        <v>524</v>
      </c>
      <c r="E394" s="9">
        <f>Source!AU438</f>
        <v>10</v>
      </c>
      <c r="F394" s="22"/>
      <c r="G394" s="21"/>
      <c r="H394" s="9"/>
      <c r="I394" s="9"/>
      <c r="J394" s="22">
        <f>SUM(T390:T393)</f>
        <v>27.63</v>
      </c>
      <c r="K394" s="22"/>
    </row>
    <row r="395" spans="1:22" ht="14.25" x14ac:dyDescent="0.2">
      <c r="A395" s="19"/>
      <c r="B395" s="19"/>
      <c r="C395" s="19" t="s">
        <v>526</v>
      </c>
      <c r="D395" s="20" t="s">
        <v>527</v>
      </c>
      <c r="E395" s="9">
        <f>Source!AQ438</f>
        <v>60.8</v>
      </c>
      <c r="F395" s="22"/>
      <c r="G395" s="21" t="str">
        <f>Source!DI438</f>
        <v/>
      </c>
      <c r="H395" s="9">
        <f>Source!AV438</f>
        <v>1</v>
      </c>
      <c r="I395" s="9"/>
      <c r="J395" s="22"/>
      <c r="K395" s="22">
        <f>Source!U438</f>
        <v>0.60799999999999998</v>
      </c>
    </row>
    <row r="396" spans="1:22" ht="15" x14ac:dyDescent="0.25">
      <c r="A396" s="26"/>
      <c r="B396" s="26"/>
      <c r="C396" s="26"/>
      <c r="D396" s="26"/>
      <c r="E396" s="26"/>
      <c r="F396" s="26"/>
      <c r="G396" s="26"/>
      <c r="H396" s="26"/>
      <c r="I396" s="61">
        <f>J392+J393+J394</f>
        <v>497.30999999999995</v>
      </c>
      <c r="J396" s="61"/>
      <c r="K396" s="27">
        <f>IF(Source!I438&lt;&gt;0, ROUND(I396/Source!I438, 2), 0)</f>
        <v>49731</v>
      </c>
      <c r="P396" s="24">
        <f>I396</f>
        <v>497.30999999999995</v>
      </c>
    </row>
    <row r="397" spans="1:22" ht="184.5" x14ac:dyDescent="0.2">
      <c r="A397" s="19">
        <v>36</v>
      </c>
      <c r="B397" s="19" t="s">
        <v>534</v>
      </c>
      <c r="C397" s="19" t="s">
        <v>535</v>
      </c>
      <c r="D397" s="20" t="str">
        <f>Source!H439</f>
        <v>100 шт.</v>
      </c>
      <c r="E397" s="9">
        <f>Source!I439</f>
        <v>0.01</v>
      </c>
      <c r="F397" s="22"/>
      <c r="G397" s="21"/>
      <c r="H397" s="9"/>
      <c r="I397" s="9"/>
      <c r="J397" s="22"/>
      <c r="K397" s="22"/>
      <c r="Q397">
        <f>ROUND((Source!BZ439/100)*ROUND((Source!AF439*Source!AV439)*Source!I439, 2), 2)</f>
        <v>43.94</v>
      </c>
      <c r="R397">
        <f>Source!X439</f>
        <v>43.94</v>
      </c>
      <c r="S397">
        <f>ROUND((Source!CA439/100)*ROUND((Source!AF439*Source!AV439)*Source!I439, 2), 2)</f>
        <v>6.28</v>
      </c>
      <c r="T397">
        <f>Source!Y439</f>
        <v>6.28</v>
      </c>
      <c r="U397">
        <f>ROUND((175/100)*ROUND((Source!AE439*Source!AV439)*Source!I439, 2), 2)</f>
        <v>0</v>
      </c>
      <c r="V397">
        <f>ROUND((108/100)*ROUND(Source!CS439*Source!I439, 2), 2)</f>
        <v>0</v>
      </c>
    </row>
    <row r="398" spans="1:22" x14ac:dyDescent="0.2">
      <c r="C398" s="23" t="str">
        <f>"Объем: "&amp;Source!I439&amp;"=1/"&amp;"100"</f>
        <v>Объем: 0,01=1/100</v>
      </c>
    </row>
    <row r="399" spans="1:22" ht="14.25" x14ac:dyDescent="0.2">
      <c r="A399" s="19"/>
      <c r="B399" s="19"/>
      <c r="C399" s="19" t="s">
        <v>521</v>
      </c>
      <c r="D399" s="20"/>
      <c r="E399" s="9"/>
      <c r="F399" s="22">
        <f>Source!AO439</f>
        <v>31385.37</v>
      </c>
      <c r="G399" s="21" t="str">
        <f>Source!DG439</f>
        <v>)*0,2</v>
      </c>
      <c r="H399" s="9">
        <f>Source!AV439</f>
        <v>1</v>
      </c>
      <c r="I399" s="9">
        <f>IF(Source!BA439&lt;&gt; 0, Source!BA439, 1)</f>
        <v>1</v>
      </c>
      <c r="J399" s="22">
        <f>Source!S439</f>
        <v>62.77</v>
      </c>
      <c r="K399" s="22"/>
    </row>
    <row r="400" spans="1:22" ht="14.25" x14ac:dyDescent="0.2">
      <c r="A400" s="19"/>
      <c r="B400" s="19"/>
      <c r="C400" s="19" t="s">
        <v>523</v>
      </c>
      <c r="D400" s="20" t="s">
        <v>524</v>
      </c>
      <c r="E400" s="9">
        <f>Source!AT439</f>
        <v>70</v>
      </c>
      <c r="F400" s="22"/>
      <c r="G400" s="21"/>
      <c r="H400" s="9"/>
      <c r="I400" s="9"/>
      <c r="J400" s="22">
        <f>SUM(R397:R399)</f>
        <v>43.94</v>
      </c>
      <c r="K400" s="22"/>
    </row>
    <row r="401" spans="1:22" ht="14.25" x14ac:dyDescent="0.2">
      <c r="A401" s="19"/>
      <c r="B401" s="19"/>
      <c r="C401" s="19" t="s">
        <v>525</v>
      </c>
      <c r="D401" s="20" t="s">
        <v>524</v>
      </c>
      <c r="E401" s="9">
        <f>Source!AU439</f>
        <v>10</v>
      </c>
      <c r="F401" s="22"/>
      <c r="G401" s="21"/>
      <c r="H401" s="9"/>
      <c r="I401" s="9"/>
      <c r="J401" s="22">
        <f>SUM(T397:T400)</f>
        <v>6.28</v>
      </c>
      <c r="K401" s="22"/>
    </row>
    <row r="402" spans="1:22" ht="14.25" x14ac:dyDescent="0.2">
      <c r="A402" s="19"/>
      <c r="B402" s="19"/>
      <c r="C402" s="19" t="s">
        <v>526</v>
      </c>
      <c r="D402" s="20" t="s">
        <v>527</v>
      </c>
      <c r="E402" s="9">
        <f>Source!AQ439</f>
        <v>77.86</v>
      </c>
      <c r="F402" s="22"/>
      <c r="G402" s="21" t="str">
        <f>Source!DI439</f>
        <v>)*0,2</v>
      </c>
      <c r="H402" s="9">
        <f>Source!AV439</f>
        <v>1</v>
      </c>
      <c r="I402" s="9"/>
      <c r="J402" s="22"/>
      <c r="K402" s="22">
        <f>Source!U439</f>
        <v>0.15572000000000003</v>
      </c>
    </row>
    <row r="403" spans="1:22" ht="15" x14ac:dyDescent="0.25">
      <c r="A403" s="26"/>
      <c r="B403" s="26"/>
      <c r="C403" s="26"/>
      <c r="D403" s="26"/>
      <c r="E403" s="26"/>
      <c r="F403" s="26"/>
      <c r="G403" s="26"/>
      <c r="H403" s="26"/>
      <c r="I403" s="61">
        <f>J399+J400+J401</f>
        <v>112.99000000000001</v>
      </c>
      <c r="J403" s="61"/>
      <c r="K403" s="27">
        <f>IF(Source!I439&lt;&gt;0, ROUND(I403/Source!I439, 2), 0)</f>
        <v>11299</v>
      </c>
      <c r="P403" s="24">
        <f>I403</f>
        <v>112.99000000000001</v>
      </c>
    </row>
    <row r="404" spans="1:22" ht="71.25" x14ac:dyDescent="0.2">
      <c r="A404" s="19">
        <v>37</v>
      </c>
      <c r="B404" s="19" t="str">
        <f>Source!F440</f>
        <v>1.16-3203-1-6/1</v>
      </c>
      <c r="C404" s="19" t="str">
        <f>Source!G440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D404" s="20" t="str">
        <f>Source!H440</f>
        <v>компл.</v>
      </c>
      <c r="E404" s="9">
        <f>Source!I440</f>
        <v>1</v>
      </c>
      <c r="F404" s="22"/>
      <c r="G404" s="21"/>
      <c r="H404" s="9"/>
      <c r="I404" s="9"/>
      <c r="J404" s="22"/>
      <c r="K404" s="22"/>
      <c r="Q404">
        <f>ROUND((Source!BZ440/100)*ROUND((Source!AF440*Source!AV440)*Source!I440, 2), 2)</f>
        <v>831.75</v>
      </c>
      <c r="R404">
        <f>Source!X440</f>
        <v>831.75</v>
      </c>
      <c r="S404">
        <f>ROUND((Source!CA440/100)*ROUND((Source!AF440*Source!AV440)*Source!I440, 2), 2)</f>
        <v>118.82</v>
      </c>
      <c r="T404">
        <f>Source!Y440</f>
        <v>118.82</v>
      </c>
      <c r="U404">
        <f>ROUND((175/100)*ROUND((Source!AE440*Source!AV440)*Source!I440, 2), 2)</f>
        <v>7.0000000000000007E-2</v>
      </c>
      <c r="V404">
        <f>ROUND((108/100)*ROUND(Source!CS440*Source!I440, 2), 2)</f>
        <v>0.04</v>
      </c>
    </row>
    <row r="405" spans="1:22" ht="14.25" x14ac:dyDescent="0.2">
      <c r="A405" s="19"/>
      <c r="B405" s="19"/>
      <c r="C405" s="19" t="s">
        <v>521</v>
      </c>
      <c r="D405" s="20"/>
      <c r="E405" s="9"/>
      <c r="F405" s="22">
        <f>Source!AO440</f>
        <v>1188.21</v>
      </c>
      <c r="G405" s="21" t="str">
        <f>Source!DG440</f>
        <v/>
      </c>
      <c r="H405" s="9">
        <f>Source!AV440</f>
        <v>1</v>
      </c>
      <c r="I405" s="9">
        <f>IF(Source!BA440&lt;&gt; 0, Source!BA440, 1)</f>
        <v>1</v>
      </c>
      <c r="J405" s="22">
        <f>Source!S440</f>
        <v>1188.21</v>
      </c>
      <c r="K405" s="22"/>
    </row>
    <row r="406" spans="1:22" ht="14.25" x14ac:dyDescent="0.2">
      <c r="A406" s="19"/>
      <c r="B406" s="19"/>
      <c r="C406" s="19" t="s">
        <v>522</v>
      </c>
      <c r="D406" s="20"/>
      <c r="E406" s="9"/>
      <c r="F406" s="22">
        <f>Source!AM440</f>
        <v>0.12</v>
      </c>
      <c r="G406" s="21" t="str">
        <f>Source!DE440</f>
        <v/>
      </c>
      <c r="H406" s="9">
        <f>Source!AV440</f>
        <v>1</v>
      </c>
      <c r="I406" s="9">
        <f>IF(Source!BB440&lt;&gt; 0, Source!BB440, 1)</f>
        <v>1</v>
      </c>
      <c r="J406" s="22">
        <f>Source!Q440</f>
        <v>0.12</v>
      </c>
      <c r="K406" s="22"/>
    </row>
    <row r="407" spans="1:22" ht="14.25" x14ac:dyDescent="0.2">
      <c r="A407" s="19"/>
      <c r="B407" s="19"/>
      <c r="C407" s="19" t="s">
        <v>528</v>
      </c>
      <c r="D407" s="20"/>
      <c r="E407" s="9"/>
      <c r="F407" s="22">
        <f>Source!AN440</f>
        <v>0.04</v>
      </c>
      <c r="G407" s="21" t="str">
        <f>Source!DF440</f>
        <v/>
      </c>
      <c r="H407" s="9">
        <f>Source!AV440</f>
        <v>1</v>
      </c>
      <c r="I407" s="9">
        <f>IF(Source!BS440&lt;&gt; 0, Source!BS440, 1)</f>
        <v>1</v>
      </c>
      <c r="J407" s="28">
        <f>Source!R440</f>
        <v>0.04</v>
      </c>
      <c r="K407" s="22"/>
    </row>
    <row r="408" spans="1:22" ht="14.25" x14ac:dyDescent="0.2">
      <c r="A408" s="19"/>
      <c r="B408" s="19"/>
      <c r="C408" s="19" t="s">
        <v>529</v>
      </c>
      <c r="D408" s="20"/>
      <c r="E408" s="9"/>
      <c r="F408" s="22">
        <f>Source!AL440</f>
        <v>7914.99</v>
      </c>
      <c r="G408" s="21" t="str">
        <f>Source!DD440</f>
        <v/>
      </c>
      <c r="H408" s="9">
        <f>Source!AW440</f>
        <v>1</v>
      </c>
      <c r="I408" s="9">
        <f>IF(Source!BC440&lt;&gt; 0, Source!BC440, 1)</f>
        <v>1</v>
      </c>
      <c r="J408" s="22">
        <f>Source!P440</f>
        <v>7914.99</v>
      </c>
      <c r="K408" s="22"/>
    </row>
    <row r="409" spans="1:22" ht="57" x14ac:dyDescent="0.2">
      <c r="A409" s="19" t="s">
        <v>278</v>
      </c>
      <c r="B409" s="19" t="str">
        <f>Source!F441</f>
        <v>21.17-2-19</v>
      </c>
      <c r="C409" s="19" t="str">
        <f>Source!G441</f>
        <v>Смесители для умывальников и моек двухрукояточные центральные набортные, излив с аэратором тип См-УмДЦБА</v>
      </c>
      <c r="D409" s="20" t="str">
        <f>Source!H441</f>
        <v>шт.</v>
      </c>
      <c r="E409" s="9">
        <f>Source!I441</f>
        <v>1</v>
      </c>
      <c r="F409" s="22">
        <f>Source!AK441</f>
        <v>5025.26</v>
      </c>
      <c r="G409" s="29" t="s">
        <v>3</v>
      </c>
      <c r="H409" s="9">
        <f>Source!AW441</f>
        <v>1</v>
      </c>
      <c r="I409" s="9">
        <f>IF(Source!BC441&lt;&gt; 0, Source!BC441, 1)</f>
        <v>1</v>
      </c>
      <c r="J409" s="22">
        <f>Source!O441</f>
        <v>5025.26</v>
      </c>
      <c r="K409" s="22"/>
      <c r="Q409">
        <f>ROUND((Source!BZ441/100)*ROUND((Source!AF441*Source!AV441)*Source!I441, 2), 2)</f>
        <v>0</v>
      </c>
      <c r="R409">
        <f>Source!X441</f>
        <v>0</v>
      </c>
      <c r="S409">
        <f>ROUND((Source!CA441/100)*ROUND((Source!AF441*Source!AV441)*Source!I441, 2), 2)</f>
        <v>0</v>
      </c>
      <c r="T409">
        <f>Source!Y441</f>
        <v>0</v>
      </c>
      <c r="U409">
        <f>ROUND((175/100)*ROUND((Source!AE441*Source!AV441)*Source!I441, 2), 2)</f>
        <v>0</v>
      </c>
      <c r="V409">
        <f>ROUND((108/100)*ROUND(Source!CS441*Source!I441, 2), 2)</f>
        <v>0</v>
      </c>
    </row>
    <row r="410" spans="1:22" ht="55.5" x14ac:dyDescent="0.2">
      <c r="A410" s="19" t="s">
        <v>279</v>
      </c>
      <c r="B410" s="19" t="str">
        <f>Source!F442</f>
        <v>Цена пост.</v>
      </c>
      <c r="C410" s="19" t="s">
        <v>536</v>
      </c>
      <c r="D410" s="20" t="str">
        <f>Source!H442</f>
        <v>шт.</v>
      </c>
      <c r="E410" s="9">
        <f>Source!I442</f>
        <v>1</v>
      </c>
      <c r="F410" s="22">
        <f>Source!AK442</f>
        <v>37.5</v>
      </c>
      <c r="G410" s="29" t="s">
        <v>3</v>
      </c>
      <c r="H410" s="9">
        <f>Source!AW442</f>
        <v>1</v>
      </c>
      <c r="I410" s="9">
        <f>IF(Source!BC442&lt;&gt; 0, Source!BC442, 1)</f>
        <v>1</v>
      </c>
      <c r="J410" s="22">
        <f>Source!O442</f>
        <v>37.5</v>
      </c>
      <c r="K410" s="22"/>
      <c r="Q410">
        <f>ROUND((Source!BZ442/100)*ROUND((Source!AF442*Source!AV442)*Source!I442, 2), 2)</f>
        <v>0</v>
      </c>
      <c r="R410">
        <f>Source!X442</f>
        <v>0</v>
      </c>
      <c r="S410">
        <f>ROUND((Source!CA442/100)*ROUND((Source!AF442*Source!AV442)*Source!I442, 2), 2)</f>
        <v>0</v>
      </c>
      <c r="T410">
        <f>Source!Y442</f>
        <v>0</v>
      </c>
      <c r="U410">
        <f>ROUND((175/100)*ROUND((Source!AE442*Source!AV442)*Source!I442, 2), 2)</f>
        <v>0</v>
      </c>
      <c r="V410">
        <f>ROUND((108/100)*ROUND(Source!CS442*Source!I442, 2), 2)</f>
        <v>0</v>
      </c>
    </row>
    <row r="411" spans="1:22" ht="71.25" x14ac:dyDescent="0.2">
      <c r="A411" s="19" t="s">
        <v>280</v>
      </c>
      <c r="B411" s="19" t="str">
        <f>Source!F443</f>
        <v>21.17-2-19</v>
      </c>
      <c r="C411" s="19" t="s">
        <v>537</v>
      </c>
      <c r="D411" s="20" t="str">
        <f>Source!H443</f>
        <v>шт.</v>
      </c>
      <c r="E411" s="9">
        <f>Source!I443</f>
        <v>-1</v>
      </c>
      <c r="F411" s="22">
        <f>Source!AK443</f>
        <v>5025.26</v>
      </c>
      <c r="G411" s="29" t="s">
        <v>3</v>
      </c>
      <c r="H411" s="9">
        <f>Source!AW443</f>
        <v>1</v>
      </c>
      <c r="I411" s="9">
        <f>IF(Source!BC443&lt;&gt; 0, Source!BC443, 1)</f>
        <v>1</v>
      </c>
      <c r="J411" s="22">
        <f>Source!O443</f>
        <v>-5025.26</v>
      </c>
      <c r="K411" s="22"/>
      <c r="Q411">
        <f>ROUND((Source!BZ443/100)*ROUND((Source!AF443*Source!AV443)*Source!I443, 2), 2)</f>
        <v>0</v>
      </c>
      <c r="R411">
        <f>Source!X443</f>
        <v>0</v>
      </c>
      <c r="S411">
        <f>ROUND((Source!CA443/100)*ROUND((Source!AF443*Source!AV443)*Source!I443, 2), 2)</f>
        <v>0</v>
      </c>
      <c r="T411">
        <f>Source!Y443</f>
        <v>0</v>
      </c>
      <c r="U411">
        <f>ROUND((175/100)*ROUND((Source!AE443*Source!AV443)*Source!I443, 2), 2)</f>
        <v>0</v>
      </c>
      <c r="V411">
        <f>ROUND((108/100)*ROUND(Source!CS443*Source!I443, 2), 2)</f>
        <v>0</v>
      </c>
    </row>
    <row r="412" spans="1:22" ht="57" x14ac:dyDescent="0.2">
      <c r="A412" s="19" t="s">
        <v>281</v>
      </c>
      <c r="B412" s="19" t="str">
        <f>Source!F444</f>
        <v>21.17-1-21</v>
      </c>
      <c r="C412" s="19" t="s">
        <v>538</v>
      </c>
      <c r="D412" s="20" t="str">
        <f>Source!H444</f>
        <v>шт.</v>
      </c>
      <c r="E412" s="9">
        <f>Source!I444</f>
        <v>-1</v>
      </c>
      <c r="F412" s="22">
        <f>Source!AK444</f>
        <v>1624.55</v>
      </c>
      <c r="G412" s="29" t="s">
        <v>3</v>
      </c>
      <c r="H412" s="9">
        <f>Source!AW444</f>
        <v>1</v>
      </c>
      <c r="I412" s="9">
        <f>IF(Source!BC444&lt;&gt; 0, Source!BC444, 1)</f>
        <v>1</v>
      </c>
      <c r="J412" s="22">
        <f>Source!O444</f>
        <v>-1624.55</v>
      </c>
      <c r="K412" s="22"/>
      <c r="Q412">
        <f>ROUND((Source!BZ444/100)*ROUND((Source!AF444*Source!AV444)*Source!I444, 2), 2)</f>
        <v>0</v>
      </c>
      <c r="R412">
        <f>Source!X444</f>
        <v>0</v>
      </c>
      <c r="S412">
        <f>ROUND((Source!CA444/100)*ROUND((Source!AF444*Source!AV444)*Source!I444, 2), 2)</f>
        <v>0</v>
      </c>
      <c r="T412">
        <f>Source!Y444</f>
        <v>0</v>
      </c>
      <c r="U412">
        <f>ROUND((175/100)*ROUND((Source!AE444*Source!AV444)*Source!I444, 2), 2)</f>
        <v>0</v>
      </c>
      <c r="V412">
        <f>ROUND((108/100)*ROUND(Source!CS444*Source!I444, 2), 2)</f>
        <v>0</v>
      </c>
    </row>
    <row r="413" spans="1:22" ht="14.25" x14ac:dyDescent="0.2">
      <c r="A413" s="19"/>
      <c r="B413" s="19"/>
      <c r="C413" s="19" t="s">
        <v>523</v>
      </c>
      <c r="D413" s="20" t="s">
        <v>524</v>
      </c>
      <c r="E413" s="9">
        <f>Source!AT440</f>
        <v>70</v>
      </c>
      <c r="F413" s="22"/>
      <c r="G413" s="21"/>
      <c r="H413" s="9"/>
      <c r="I413" s="9"/>
      <c r="J413" s="22">
        <f>SUM(R404:R412)</f>
        <v>831.75</v>
      </c>
      <c r="K413" s="22"/>
    </row>
    <row r="414" spans="1:22" ht="14.25" x14ac:dyDescent="0.2">
      <c r="A414" s="19"/>
      <c r="B414" s="19"/>
      <c r="C414" s="19" t="s">
        <v>525</v>
      </c>
      <c r="D414" s="20" t="s">
        <v>524</v>
      </c>
      <c r="E414" s="9">
        <f>Source!AU440</f>
        <v>10</v>
      </c>
      <c r="F414" s="22"/>
      <c r="G414" s="21"/>
      <c r="H414" s="9"/>
      <c r="I414" s="9"/>
      <c r="J414" s="22">
        <f>SUM(T404:T413)</f>
        <v>118.82</v>
      </c>
      <c r="K414" s="22"/>
    </row>
    <row r="415" spans="1:22" ht="14.25" x14ac:dyDescent="0.2">
      <c r="A415" s="19"/>
      <c r="B415" s="19"/>
      <c r="C415" s="19" t="s">
        <v>530</v>
      </c>
      <c r="D415" s="20" t="s">
        <v>524</v>
      </c>
      <c r="E415" s="9">
        <f>108</f>
        <v>108</v>
      </c>
      <c r="F415" s="22"/>
      <c r="G415" s="21"/>
      <c r="H415" s="9"/>
      <c r="I415" s="9"/>
      <c r="J415" s="22">
        <f>SUM(V404:V414)</f>
        <v>0.04</v>
      </c>
      <c r="K415" s="22"/>
    </row>
    <row r="416" spans="1:22" ht="14.25" x14ac:dyDescent="0.2">
      <c r="A416" s="19"/>
      <c r="B416" s="19"/>
      <c r="C416" s="19" t="s">
        <v>526</v>
      </c>
      <c r="D416" s="20" t="s">
        <v>527</v>
      </c>
      <c r="E416" s="9">
        <f>Source!AQ440</f>
        <v>2.2400000000000002</v>
      </c>
      <c r="F416" s="22"/>
      <c r="G416" s="21" t="str">
        <f>Source!DI440</f>
        <v/>
      </c>
      <c r="H416" s="9">
        <f>Source!AV440</f>
        <v>1</v>
      </c>
      <c r="I416" s="9"/>
      <c r="J416" s="22"/>
      <c r="K416" s="22">
        <f>Source!U440</f>
        <v>2.2400000000000002</v>
      </c>
    </row>
    <row r="417" spans="1:22" ht="15" x14ac:dyDescent="0.25">
      <c r="A417" s="26"/>
      <c r="B417" s="26"/>
      <c r="C417" s="26"/>
      <c r="D417" s="26"/>
      <c r="E417" s="26"/>
      <c r="F417" s="26"/>
      <c r="G417" s="26"/>
      <c r="H417" s="26"/>
      <c r="I417" s="61">
        <f>J405+J406+J408+J413+J414+J415+SUM(J409:J412)</f>
        <v>8466.880000000001</v>
      </c>
      <c r="J417" s="61"/>
      <c r="K417" s="27">
        <f>IF(Source!I440&lt;&gt;0, ROUND(I417/Source!I440, 2), 0)</f>
        <v>8466.8799999999992</v>
      </c>
      <c r="P417" s="24">
        <f>I417</f>
        <v>8466.880000000001</v>
      </c>
    </row>
    <row r="418" spans="1:22" ht="42.75" x14ac:dyDescent="0.2">
      <c r="A418" s="19">
        <v>38</v>
      </c>
      <c r="B418" s="19" t="str">
        <f>Source!F445</f>
        <v>1.26-3103-3-1/2</v>
      </c>
      <c r="C418" s="19" t="str">
        <f>Source!G445</f>
        <v>Установка штучных изделий столов, шкафов под мойки, холодильных шкафов и др. (без стоимости изделий)</v>
      </c>
      <c r="D418" s="20" t="str">
        <f>Source!H445</f>
        <v>100 шт.</v>
      </c>
      <c r="E418" s="9">
        <f>Source!I445</f>
        <v>0.01</v>
      </c>
      <c r="F418" s="22"/>
      <c r="G418" s="21"/>
      <c r="H418" s="9"/>
      <c r="I418" s="9"/>
      <c r="J418" s="22"/>
      <c r="K418" s="22"/>
      <c r="Q418">
        <f>ROUND((Source!BZ445/100)*ROUND((Source!AF445*Source!AV445)*Source!I445, 2), 2)</f>
        <v>219.7</v>
      </c>
      <c r="R418">
        <f>Source!X445</f>
        <v>219.7</v>
      </c>
      <c r="S418">
        <f>ROUND((Source!CA445/100)*ROUND((Source!AF445*Source!AV445)*Source!I445, 2), 2)</f>
        <v>31.39</v>
      </c>
      <c r="T418">
        <f>Source!Y445</f>
        <v>31.39</v>
      </c>
      <c r="U418">
        <f>ROUND((175/100)*ROUND((Source!AE445*Source!AV445)*Source!I445, 2), 2)</f>
        <v>0</v>
      </c>
      <c r="V418">
        <f>ROUND((108/100)*ROUND(Source!CS445*Source!I445, 2), 2)</f>
        <v>0</v>
      </c>
    </row>
    <row r="419" spans="1:22" x14ac:dyDescent="0.2">
      <c r="C419" s="23" t="str">
        <f>"Объем: "&amp;Source!I445&amp;"=1/"&amp;"100"</f>
        <v>Объем: 0,01=1/100</v>
      </c>
    </row>
    <row r="420" spans="1:22" ht="14.25" x14ac:dyDescent="0.2">
      <c r="A420" s="19"/>
      <c r="B420" s="19"/>
      <c r="C420" s="19" t="s">
        <v>521</v>
      </c>
      <c r="D420" s="20"/>
      <c r="E420" s="9"/>
      <c r="F420" s="22">
        <f>Source!AO445</f>
        <v>31385.37</v>
      </c>
      <c r="G420" s="21" t="str">
        <f>Source!DG445</f>
        <v/>
      </c>
      <c r="H420" s="9">
        <f>Source!AV445</f>
        <v>1</v>
      </c>
      <c r="I420" s="9">
        <f>IF(Source!BA445&lt;&gt; 0, Source!BA445, 1)</f>
        <v>1</v>
      </c>
      <c r="J420" s="22">
        <f>Source!S445</f>
        <v>313.85000000000002</v>
      </c>
      <c r="K420" s="22"/>
    </row>
    <row r="421" spans="1:22" ht="14.25" x14ac:dyDescent="0.2">
      <c r="A421" s="19"/>
      <c r="B421" s="19"/>
      <c r="C421" s="19" t="s">
        <v>529</v>
      </c>
      <c r="D421" s="20"/>
      <c r="E421" s="9"/>
      <c r="F421" s="22">
        <f>Source!AL445</f>
        <v>15063.7</v>
      </c>
      <c r="G421" s="21" t="str">
        <f>Source!DD445</f>
        <v/>
      </c>
      <c r="H421" s="9">
        <f>Source!AW445</f>
        <v>1</v>
      </c>
      <c r="I421" s="9">
        <f>IF(Source!BC445&lt;&gt; 0, Source!BC445, 1)</f>
        <v>1</v>
      </c>
      <c r="J421" s="22">
        <f>Source!P445</f>
        <v>150.63999999999999</v>
      </c>
      <c r="K421" s="22"/>
    </row>
    <row r="422" spans="1:22" ht="55.5" x14ac:dyDescent="0.2">
      <c r="A422" s="19" t="s">
        <v>283</v>
      </c>
      <c r="B422" s="19" t="str">
        <f>Source!F446</f>
        <v>Цена пост.</v>
      </c>
      <c r="C422" s="19" t="s">
        <v>539</v>
      </c>
      <c r="D422" s="20" t="str">
        <f>Source!H446</f>
        <v>шт.</v>
      </c>
      <c r="E422" s="9">
        <f>Source!I446</f>
        <v>1</v>
      </c>
      <c r="F422" s="22">
        <f>Source!AK446</f>
        <v>10050.83</v>
      </c>
      <c r="G422" s="29" t="s">
        <v>3</v>
      </c>
      <c r="H422" s="9">
        <f>Source!AW446</f>
        <v>1</v>
      </c>
      <c r="I422" s="9">
        <f>IF(Source!BC446&lt;&gt; 0, Source!BC446, 1)</f>
        <v>1</v>
      </c>
      <c r="J422" s="22">
        <f>Source!O446</f>
        <v>10050.83</v>
      </c>
      <c r="K422" s="22"/>
      <c r="Q422">
        <f>ROUND((Source!BZ446/100)*ROUND((Source!AF446*Source!AV446)*Source!I446, 2), 2)</f>
        <v>0</v>
      </c>
      <c r="R422">
        <f>Source!X446</f>
        <v>0</v>
      </c>
      <c r="S422">
        <f>ROUND((Source!CA446/100)*ROUND((Source!AF446*Source!AV446)*Source!I446, 2), 2)</f>
        <v>0</v>
      </c>
      <c r="T422">
        <f>Source!Y446</f>
        <v>0</v>
      </c>
      <c r="U422">
        <f>ROUND((175/100)*ROUND((Source!AE446*Source!AV446)*Source!I446, 2), 2)</f>
        <v>0</v>
      </c>
      <c r="V422">
        <f>ROUND((108/100)*ROUND(Source!CS446*Source!I446, 2), 2)</f>
        <v>0</v>
      </c>
    </row>
    <row r="423" spans="1:22" ht="14.25" x14ac:dyDescent="0.2">
      <c r="A423" s="19"/>
      <c r="B423" s="19"/>
      <c r="C423" s="19" t="s">
        <v>523</v>
      </c>
      <c r="D423" s="20" t="s">
        <v>524</v>
      </c>
      <c r="E423" s="9">
        <f>Source!AT445</f>
        <v>70</v>
      </c>
      <c r="F423" s="22"/>
      <c r="G423" s="21"/>
      <c r="H423" s="9"/>
      <c r="I423" s="9"/>
      <c r="J423" s="22">
        <f>SUM(R418:R422)</f>
        <v>219.7</v>
      </c>
      <c r="K423" s="22"/>
    </row>
    <row r="424" spans="1:22" ht="14.25" x14ac:dyDescent="0.2">
      <c r="A424" s="19"/>
      <c r="B424" s="19"/>
      <c r="C424" s="19" t="s">
        <v>525</v>
      </c>
      <c r="D424" s="20" t="s">
        <v>524</v>
      </c>
      <c r="E424" s="9">
        <f>Source!AU445</f>
        <v>10</v>
      </c>
      <c r="F424" s="22"/>
      <c r="G424" s="21"/>
      <c r="H424" s="9"/>
      <c r="I424" s="9"/>
      <c r="J424" s="22">
        <f>SUM(T418:T423)</f>
        <v>31.39</v>
      </c>
      <c r="K424" s="22"/>
    </row>
    <row r="425" spans="1:22" ht="14.25" x14ac:dyDescent="0.2">
      <c r="A425" s="19"/>
      <c r="B425" s="19"/>
      <c r="C425" s="19" t="s">
        <v>526</v>
      </c>
      <c r="D425" s="20" t="s">
        <v>527</v>
      </c>
      <c r="E425" s="9">
        <f>Source!AQ445</f>
        <v>77.86</v>
      </c>
      <c r="F425" s="22"/>
      <c r="G425" s="21" t="str">
        <f>Source!DI445</f>
        <v/>
      </c>
      <c r="H425" s="9">
        <f>Source!AV445</f>
        <v>1</v>
      </c>
      <c r="I425" s="9"/>
      <c r="J425" s="22"/>
      <c r="K425" s="22">
        <f>Source!U445</f>
        <v>0.77859999999999996</v>
      </c>
    </row>
    <row r="426" spans="1:22" ht="15" x14ac:dyDescent="0.25">
      <c r="A426" s="26"/>
      <c r="B426" s="26"/>
      <c r="C426" s="26"/>
      <c r="D426" s="26"/>
      <c r="E426" s="26"/>
      <c r="F426" s="26"/>
      <c r="G426" s="26"/>
      <c r="H426" s="26"/>
      <c r="I426" s="61">
        <f>J420+J421+J423+J424+SUM(J422:J422)</f>
        <v>10766.41</v>
      </c>
      <c r="J426" s="61"/>
      <c r="K426" s="27">
        <f>IF(Source!I445&lt;&gt;0, ROUND(I426/Source!I445, 2), 0)</f>
        <v>1076641</v>
      </c>
      <c r="P426" s="24">
        <f>I426</f>
        <v>10766.41</v>
      </c>
    </row>
    <row r="427" spans="1:22" ht="57" x14ac:dyDescent="0.2">
      <c r="A427" s="19">
        <v>39</v>
      </c>
      <c r="B427" s="19" t="str">
        <f>Source!F447</f>
        <v>1.15-3103-4-1/1</v>
      </c>
      <c r="C427" s="19" t="str">
        <f>Source!G447</f>
        <v>Монтаж гибких подводок к водогазоразборной арматуре / подводки с двумя латунными накидными гайками длиной 500 мм</v>
      </c>
      <c r="D427" s="20" t="str">
        <f>Source!H447</f>
        <v>100 м</v>
      </c>
      <c r="E427" s="9">
        <f>Source!I447</f>
        <v>0.01</v>
      </c>
      <c r="F427" s="22"/>
      <c r="G427" s="21"/>
      <c r="H427" s="9"/>
      <c r="I427" s="9"/>
      <c r="J427" s="22"/>
      <c r="K427" s="22"/>
      <c r="Q427">
        <f>ROUND((Source!BZ447/100)*ROUND((Source!AF447*Source!AV447)*Source!I447, 2), 2)</f>
        <v>143.91999999999999</v>
      </c>
      <c r="R427">
        <f>Source!X447</f>
        <v>143.91999999999999</v>
      </c>
      <c r="S427">
        <f>ROUND((Source!CA447/100)*ROUND((Source!AF447*Source!AV447)*Source!I447, 2), 2)</f>
        <v>20.56</v>
      </c>
      <c r="T427">
        <f>Source!Y447</f>
        <v>20.56</v>
      </c>
      <c r="U427">
        <f>ROUND((175/100)*ROUND((Source!AE447*Source!AV447)*Source!I447, 2), 2)</f>
        <v>0</v>
      </c>
      <c r="V427">
        <f>ROUND((108/100)*ROUND(Source!CS447*Source!I447, 2), 2)</f>
        <v>0</v>
      </c>
    </row>
    <row r="428" spans="1:22" x14ac:dyDescent="0.2">
      <c r="C428" s="23" t="str">
        <f>"Объем: "&amp;Source!I447&amp;"=1/"&amp;"100"</f>
        <v>Объем: 0,01=1/100</v>
      </c>
    </row>
    <row r="429" spans="1:22" ht="14.25" x14ac:dyDescent="0.2">
      <c r="A429" s="19"/>
      <c r="B429" s="19"/>
      <c r="C429" s="19" t="s">
        <v>521</v>
      </c>
      <c r="D429" s="20"/>
      <c r="E429" s="9"/>
      <c r="F429" s="22">
        <f>Source!AO447</f>
        <v>20560.240000000002</v>
      </c>
      <c r="G429" s="21" t="str">
        <f>Source!DG447</f>
        <v/>
      </c>
      <c r="H429" s="9">
        <f>Source!AV447</f>
        <v>1</v>
      </c>
      <c r="I429" s="9">
        <f>IF(Source!BA447&lt;&gt; 0, Source!BA447, 1)</f>
        <v>1</v>
      </c>
      <c r="J429" s="22">
        <f>Source!S447</f>
        <v>205.6</v>
      </c>
      <c r="K429" s="22"/>
    </row>
    <row r="430" spans="1:22" ht="14.25" x14ac:dyDescent="0.2">
      <c r="A430" s="19"/>
      <c r="B430" s="19"/>
      <c r="C430" s="19" t="s">
        <v>529</v>
      </c>
      <c r="D430" s="20"/>
      <c r="E430" s="9"/>
      <c r="F430" s="22">
        <f>Source!AL447</f>
        <v>26460</v>
      </c>
      <c r="G430" s="21" t="str">
        <f>Source!DD447</f>
        <v/>
      </c>
      <c r="H430" s="9">
        <f>Source!AW447</f>
        <v>1</v>
      </c>
      <c r="I430" s="9">
        <f>IF(Source!BC447&lt;&gt; 0, Source!BC447, 1)</f>
        <v>1</v>
      </c>
      <c r="J430" s="22">
        <f>Source!P447</f>
        <v>264.60000000000002</v>
      </c>
      <c r="K430" s="22"/>
    </row>
    <row r="431" spans="1:22" ht="14.25" x14ac:dyDescent="0.2">
      <c r="A431" s="19"/>
      <c r="B431" s="19"/>
      <c r="C431" s="19" t="s">
        <v>523</v>
      </c>
      <c r="D431" s="20" t="s">
        <v>524</v>
      </c>
      <c r="E431" s="9">
        <f>Source!AT447</f>
        <v>70</v>
      </c>
      <c r="F431" s="22"/>
      <c r="G431" s="21"/>
      <c r="H431" s="9"/>
      <c r="I431" s="9"/>
      <c r="J431" s="22">
        <f>SUM(R427:R430)</f>
        <v>143.91999999999999</v>
      </c>
      <c r="K431" s="22"/>
    </row>
    <row r="432" spans="1:22" ht="14.25" x14ac:dyDescent="0.2">
      <c r="A432" s="19"/>
      <c r="B432" s="19"/>
      <c r="C432" s="19" t="s">
        <v>525</v>
      </c>
      <c r="D432" s="20" t="s">
        <v>524</v>
      </c>
      <c r="E432" s="9">
        <f>Source!AU447</f>
        <v>10</v>
      </c>
      <c r="F432" s="22"/>
      <c r="G432" s="21"/>
      <c r="H432" s="9"/>
      <c r="I432" s="9"/>
      <c r="J432" s="22">
        <f>SUM(T427:T431)</f>
        <v>20.56</v>
      </c>
      <c r="K432" s="22"/>
    </row>
    <row r="433" spans="1:22" ht="14.25" x14ac:dyDescent="0.2">
      <c r="A433" s="19"/>
      <c r="B433" s="19"/>
      <c r="C433" s="19" t="s">
        <v>526</v>
      </c>
      <c r="D433" s="20" t="s">
        <v>527</v>
      </c>
      <c r="E433" s="9">
        <f>Source!AQ447</f>
        <v>38.76</v>
      </c>
      <c r="F433" s="22"/>
      <c r="G433" s="21" t="str">
        <f>Source!DI447</f>
        <v/>
      </c>
      <c r="H433" s="9">
        <f>Source!AV447</f>
        <v>1</v>
      </c>
      <c r="I433" s="9"/>
      <c r="J433" s="22"/>
      <c r="K433" s="22">
        <f>Source!U447</f>
        <v>0.3876</v>
      </c>
    </row>
    <row r="434" spans="1:22" ht="15" x14ac:dyDescent="0.25">
      <c r="A434" s="26"/>
      <c r="B434" s="26"/>
      <c r="C434" s="26"/>
      <c r="D434" s="26"/>
      <c r="E434" s="26"/>
      <c r="F434" s="26"/>
      <c r="G434" s="26"/>
      <c r="H434" s="26"/>
      <c r="I434" s="61">
        <f>J429+J430+J431+J432</f>
        <v>634.67999999999995</v>
      </c>
      <c r="J434" s="61"/>
      <c r="K434" s="27">
        <f>IF(Source!I447&lt;&gt;0, ROUND(I434/Source!I447, 2), 0)</f>
        <v>63468</v>
      </c>
      <c r="P434" s="24">
        <f>I434</f>
        <v>634.67999999999995</v>
      </c>
    </row>
    <row r="435" spans="1:22" ht="28.5" x14ac:dyDescent="0.2">
      <c r="A435" s="19">
        <v>40</v>
      </c>
      <c r="B435" s="19" t="str">
        <f>Source!F448</f>
        <v>1.15-3204-2-2/1</v>
      </c>
      <c r="C435" s="19" t="str">
        <f>Source!G448</f>
        <v>Демонтаж муфтовой арматуры диаметром 20 мм</v>
      </c>
      <c r="D435" s="20" t="str">
        <f>Source!H448</f>
        <v>10 шт.</v>
      </c>
      <c r="E435" s="9">
        <f>Source!I448</f>
        <v>0.2</v>
      </c>
      <c r="F435" s="22"/>
      <c r="G435" s="21"/>
      <c r="H435" s="9"/>
      <c r="I435" s="9"/>
      <c r="J435" s="22"/>
      <c r="K435" s="22"/>
      <c r="Q435">
        <f>ROUND((Source!BZ448/100)*ROUND((Source!AF448*Source!AV448)*Source!I448, 2), 2)</f>
        <v>89.86</v>
      </c>
      <c r="R435">
        <f>Source!X448</f>
        <v>89.86</v>
      </c>
      <c r="S435">
        <f>ROUND((Source!CA448/100)*ROUND((Source!AF448*Source!AV448)*Source!I448, 2), 2)</f>
        <v>12.84</v>
      </c>
      <c r="T435">
        <f>Source!Y448</f>
        <v>12.84</v>
      </c>
      <c r="U435">
        <f>ROUND((175/100)*ROUND((Source!AE448*Source!AV448)*Source!I448, 2), 2)</f>
        <v>0</v>
      </c>
      <c r="V435">
        <f>ROUND((108/100)*ROUND(Source!CS448*Source!I448, 2), 2)</f>
        <v>0</v>
      </c>
    </row>
    <row r="436" spans="1:22" x14ac:dyDescent="0.2">
      <c r="C436" s="23" t="str">
        <f>"Объем: "&amp;Source!I448&amp;"=2/"&amp;"10"</f>
        <v>Объем: 0,2=2/10</v>
      </c>
    </row>
    <row r="437" spans="1:22" ht="14.25" x14ac:dyDescent="0.2">
      <c r="A437" s="19"/>
      <c r="B437" s="19"/>
      <c r="C437" s="19" t="s">
        <v>521</v>
      </c>
      <c r="D437" s="20"/>
      <c r="E437" s="9"/>
      <c r="F437" s="22">
        <f>Source!AO448</f>
        <v>641.84</v>
      </c>
      <c r="G437" s="21" t="str">
        <f>Source!DG448</f>
        <v/>
      </c>
      <c r="H437" s="9">
        <f>Source!AV448</f>
        <v>1</v>
      </c>
      <c r="I437" s="9">
        <f>IF(Source!BA448&lt;&gt; 0, Source!BA448, 1)</f>
        <v>1</v>
      </c>
      <c r="J437" s="22">
        <f>Source!S448</f>
        <v>128.37</v>
      </c>
      <c r="K437" s="22"/>
    </row>
    <row r="438" spans="1:22" ht="14.25" x14ac:dyDescent="0.2">
      <c r="A438" s="19"/>
      <c r="B438" s="19"/>
      <c r="C438" s="19" t="s">
        <v>523</v>
      </c>
      <c r="D438" s="20" t="s">
        <v>524</v>
      </c>
      <c r="E438" s="9">
        <f>Source!AT448</f>
        <v>70</v>
      </c>
      <c r="F438" s="22"/>
      <c r="G438" s="21"/>
      <c r="H438" s="9"/>
      <c r="I438" s="9"/>
      <c r="J438" s="22">
        <f>SUM(R435:R437)</f>
        <v>89.86</v>
      </c>
      <c r="K438" s="22"/>
    </row>
    <row r="439" spans="1:22" ht="14.25" x14ac:dyDescent="0.2">
      <c r="A439" s="19"/>
      <c r="B439" s="19"/>
      <c r="C439" s="19" t="s">
        <v>525</v>
      </c>
      <c r="D439" s="20" t="s">
        <v>524</v>
      </c>
      <c r="E439" s="9">
        <f>Source!AU448</f>
        <v>10</v>
      </c>
      <c r="F439" s="22"/>
      <c r="G439" s="21"/>
      <c r="H439" s="9"/>
      <c r="I439" s="9"/>
      <c r="J439" s="22">
        <f>SUM(T435:T438)</f>
        <v>12.84</v>
      </c>
      <c r="K439" s="22"/>
    </row>
    <row r="440" spans="1:22" ht="14.25" x14ac:dyDescent="0.2">
      <c r="A440" s="19"/>
      <c r="B440" s="19"/>
      <c r="C440" s="19" t="s">
        <v>526</v>
      </c>
      <c r="D440" s="20" t="s">
        <v>527</v>
      </c>
      <c r="E440" s="9">
        <f>Source!AQ448</f>
        <v>1.21</v>
      </c>
      <c r="F440" s="22"/>
      <c r="G440" s="21" t="str">
        <f>Source!DI448</f>
        <v/>
      </c>
      <c r="H440" s="9">
        <f>Source!AV448</f>
        <v>1</v>
      </c>
      <c r="I440" s="9"/>
      <c r="J440" s="22"/>
      <c r="K440" s="22">
        <f>Source!U448</f>
        <v>0.24199999999999999</v>
      </c>
    </row>
    <row r="441" spans="1:22" ht="15" x14ac:dyDescent="0.25">
      <c r="A441" s="26"/>
      <c r="B441" s="26"/>
      <c r="C441" s="26"/>
      <c r="D441" s="26"/>
      <c r="E441" s="26"/>
      <c r="F441" s="26"/>
      <c r="G441" s="26"/>
      <c r="H441" s="26"/>
      <c r="I441" s="61">
        <f>J437+J438+J439</f>
        <v>231.07000000000002</v>
      </c>
      <c r="J441" s="61"/>
      <c r="K441" s="27">
        <f>IF(Source!I448&lt;&gt;0, ROUND(I441/Source!I448, 2), 0)</f>
        <v>1155.3499999999999</v>
      </c>
      <c r="P441" s="24">
        <f>I441</f>
        <v>231.07000000000002</v>
      </c>
    </row>
    <row r="442" spans="1:22" ht="28.5" x14ac:dyDescent="0.2">
      <c r="A442" s="19">
        <v>41</v>
      </c>
      <c r="B442" s="19" t="str">
        <f>Source!F449</f>
        <v>1.15-3203-5-2/1</v>
      </c>
      <c r="C442" s="19" t="str">
        <f>Source!G449</f>
        <v>Установка муфтовой арматуры диаметром 20 мм</v>
      </c>
      <c r="D442" s="20" t="str">
        <f>Source!H449</f>
        <v>10 шт.</v>
      </c>
      <c r="E442" s="9">
        <f>Source!I449</f>
        <v>0.2</v>
      </c>
      <c r="F442" s="22"/>
      <c r="G442" s="21"/>
      <c r="H442" s="9"/>
      <c r="I442" s="9"/>
      <c r="J442" s="22"/>
      <c r="K442" s="22"/>
      <c r="Q442">
        <f>ROUND((Source!BZ449/100)*ROUND((Source!AF449*Source!AV449)*Source!I449, 2), 2)</f>
        <v>127.73</v>
      </c>
      <c r="R442">
        <f>Source!X449</f>
        <v>127.73</v>
      </c>
      <c r="S442">
        <f>ROUND((Source!CA449/100)*ROUND((Source!AF449*Source!AV449)*Source!I449, 2), 2)</f>
        <v>18.25</v>
      </c>
      <c r="T442">
        <f>Source!Y449</f>
        <v>18.25</v>
      </c>
      <c r="U442">
        <f>ROUND((175/100)*ROUND((Source!AE449*Source!AV449)*Source!I449, 2), 2)</f>
        <v>0</v>
      </c>
      <c r="V442">
        <f>ROUND((108/100)*ROUND(Source!CS449*Source!I449, 2), 2)</f>
        <v>0</v>
      </c>
    </row>
    <row r="443" spans="1:22" x14ac:dyDescent="0.2">
      <c r="C443" s="23" t="str">
        <f>"Объем: "&amp;Source!I449&amp;"=2/"&amp;"10"</f>
        <v>Объем: 0,2=2/10</v>
      </c>
    </row>
    <row r="444" spans="1:22" ht="14.25" x14ac:dyDescent="0.2">
      <c r="A444" s="19"/>
      <c r="B444" s="19"/>
      <c r="C444" s="19" t="s">
        <v>521</v>
      </c>
      <c r="D444" s="20"/>
      <c r="E444" s="9"/>
      <c r="F444" s="22">
        <f>Source!AO449</f>
        <v>912.37</v>
      </c>
      <c r="G444" s="21" t="str">
        <f>Source!DG449</f>
        <v/>
      </c>
      <c r="H444" s="9">
        <f>Source!AV449</f>
        <v>1</v>
      </c>
      <c r="I444" s="9">
        <f>IF(Source!BA449&lt;&gt; 0, Source!BA449, 1)</f>
        <v>1</v>
      </c>
      <c r="J444" s="22">
        <f>Source!S449</f>
        <v>182.47</v>
      </c>
      <c r="K444" s="22"/>
    </row>
    <row r="445" spans="1:22" ht="14.25" x14ac:dyDescent="0.2">
      <c r="A445" s="19"/>
      <c r="B445" s="19"/>
      <c r="C445" s="19" t="s">
        <v>529</v>
      </c>
      <c r="D445" s="20"/>
      <c r="E445" s="9"/>
      <c r="F445" s="22">
        <f>Source!AL449</f>
        <v>59.54</v>
      </c>
      <c r="G445" s="21" t="str">
        <f>Source!DD449</f>
        <v/>
      </c>
      <c r="H445" s="9">
        <f>Source!AW449</f>
        <v>1</v>
      </c>
      <c r="I445" s="9">
        <f>IF(Source!BC449&lt;&gt; 0, Source!BC449, 1)</f>
        <v>1</v>
      </c>
      <c r="J445" s="22">
        <f>Source!P449</f>
        <v>11.91</v>
      </c>
      <c r="K445" s="22"/>
    </row>
    <row r="446" spans="1:22" ht="42.75" x14ac:dyDescent="0.2">
      <c r="A446" s="19" t="s">
        <v>287</v>
      </c>
      <c r="B446" s="19" t="str">
        <f>Source!F450</f>
        <v>21.13-4-40</v>
      </c>
      <c r="C446" s="19" t="str">
        <f>Source!G450</f>
        <v>Краны латунные шаровые муфтовые проходные, марка 11б27п, диаметр 20 мм</v>
      </c>
      <c r="D446" s="20" t="str">
        <f>Source!H450</f>
        <v>шт.</v>
      </c>
      <c r="E446" s="9">
        <f>Source!I450</f>
        <v>2</v>
      </c>
      <c r="F446" s="22">
        <f>Source!AK450</f>
        <v>182.88</v>
      </c>
      <c r="G446" s="29" t="s">
        <v>3</v>
      </c>
      <c r="H446" s="9">
        <f>Source!AW450</f>
        <v>1</v>
      </c>
      <c r="I446" s="9">
        <f>IF(Source!BC450&lt;&gt; 0, Source!BC450, 1)</f>
        <v>1</v>
      </c>
      <c r="J446" s="22">
        <f>Source!O450</f>
        <v>365.76</v>
      </c>
      <c r="K446" s="22"/>
      <c r="Q446">
        <f>ROUND((Source!BZ450/100)*ROUND((Source!AF450*Source!AV450)*Source!I450, 2), 2)</f>
        <v>0</v>
      </c>
      <c r="R446">
        <f>Source!X450</f>
        <v>0</v>
      </c>
      <c r="S446">
        <f>ROUND((Source!CA450/100)*ROUND((Source!AF450*Source!AV450)*Source!I450, 2), 2)</f>
        <v>0</v>
      </c>
      <c r="T446">
        <f>Source!Y450</f>
        <v>0</v>
      </c>
      <c r="U446">
        <f>ROUND((175/100)*ROUND((Source!AE450*Source!AV450)*Source!I450, 2), 2)</f>
        <v>0</v>
      </c>
      <c r="V446">
        <f>ROUND((108/100)*ROUND(Source!CS450*Source!I450, 2), 2)</f>
        <v>0</v>
      </c>
    </row>
    <row r="447" spans="1:22" ht="14.25" x14ac:dyDescent="0.2">
      <c r="A447" s="19"/>
      <c r="B447" s="19"/>
      <c r="C447" s="19" t="s">
        <v>523</v>
      </c>
      <c r="D447" s="20" t="s">
        <v>524</v>
      </c>
      <c r="E447" s="9">
        <f>Source!AT449</f>
        <v>70</v>
      </c>
      <c r="F447" s="22"/>
      <c r="G447" s="21"/>
      <c r="H447" s="9"/>
      <c r="I447" s="9"/>
      <c r="J447" s="22">
        <f>SUM(R442:R446)</f>
        <v>127.73</v>
      </c>
      <c r="K447" s="22"/>
    </row>
    <row r="448" spans="1:22" ht="14.25" x14ac:dyDescent="0.2">
      <c r="A448" s="19"/>
      <c r="B448" s="19"/>
      <c r="C448" s="19" t="s">
        <v>525</v>
      </c>
      <c r="D448" s="20" t="s">
        <v>524</v>
      </c>
      <c r="E448" s="9">
        <f>Source!AU449</f>
        <v>10</v>
      </c>
      <c r="F448" s="22"/>
      <c r="G448" s="21"/>
      <c r="H448" s="9"/>
      <c r="I448" s="9"/>
      <c r="J448" s="22">
        <f>SUM(T442:T447)</f>
        <v>18.25</v>
      </c>
      <c r="K448" s="22"/>
    </row>
    <row r="449" spans="1:22" ht="14.25" x14ac:dyDescent="0.2">
      <c r="A449" s="19"/>
      <c r="B449" s="19"/>
      <c r="C449" s="19" t="s">
        <v>526</v>
      </c>
      <c r="D449" s="20" t="s">
        <v>527</v>
      </c>
      <c r="E449" s="9">
        <f>Source!AQ449</f>
        <v>1.72</v>
      </c>
      <c r="F449" s="22"/>
      <c r="G449" s="21" t="str">
        <f>Source!DI449</f>
        <v/>
      </c>
      <c r="H449" s="9">
        <f>Source!AV449</f>
        <v>1</v>
      </c>
      <c r="I449" s="9"/>
      <c r="J449" s="22"/>
      <c r="K449" s="22">
        <f>Source!U449</f>
        <v>0.34400000000000003</v>
      </c>
    </row>
    <row r="450" spans="1:22" ht="15" x14ac:dyDescent="0.25">
      <c r="A450" s="26"/>
      <c r="B450" s="26"/>
      <c r="C450" s="26"/>
      <c r="D450" s="26"/>
      <c r="E450" s="26"/>
      <c r="F450" s="26"/>
      <c r="G450" s="26"/>
      <c r="H450" s="26"/>
      <c r="I450" s="61">
        <f>J444+J445+J447+J448+SUM(J446:J446)</f>
        <v>706.12</v>
      </c>
      <c r="J450" s="61"/>
      <c r="K450" s="27">
        <f>IF(Source!I449&lt;&gt;0, ROUND(I450/Source!I449, 2), 0)</f>
        <v>3530.6</v>
      </c>
      <c r="P450" s="24">
        <f>I450</f>
        <v>706.12</v>
      </c>
    </row>
    <row r="452" spans="1:22" ht="15" x14ac:dyDescent="0.25">
      <c r="A452" s="65" t="str">
        <f>CONCATENATE("Итого по подразделу: ",IF(Source!G452&lt;&gt;"Новый подраздел", Source!G452, ""))</f>
        <v>Итого по подразделу: Инженерные сети</v>
      </c>
      <c r="B452" s="65"/>
      <c r="C452" s="65"/>
      <c r="D452" s="65"/>
      <c r="E452" s="65"/>
      <c r="F452" s="65"/>
      <c r="G452" s="65"/>
      <c r="H452" s="65"/>
      <c r="I452" s="63">
        <f>SUM(P389:P451)</f>
        <v>21415.46</v>
      </c>
      <c r="J452" s="64"/>
      <c r="K452" s="30"/>
    </row>
    <row r="455" spans="1:22" ht="16.5" x14ac:dyDescent="0.25">
      <c r="A455" s="62" t="str">
        <f>CONCATENATE("Подраздел: ",IF(Source!G482&lt;&gt;"Новый подраздел", Source!G482, ""))</f>
        <v>Подраздел: Электрика</v>
      </c>
      <c r="B455" s="62"/>
      <c r="C455" s="62"/>
      <c r="D455" s="62"/>
      <c r="E455" s="62"/>
      <c r="F455" s="62"/>
      <c r="G455" s="62"/>
      <c r="H455" s="62"/>
      <c r="I455" s="62"/>
      <c r="J455" s="62"/>
      <c r="K455" s="62"/>
    </row>
    <row r="456" spans="1:22" ht="42.75" x14ac:dyDescent="0.2">
      <c r="A456" s="19">
        <v>42</v>
      </c>
      <c r="B456" s="19" t="str">
        <f>Source!F486</f>
        <v>1.21-3102-8-2/1</v>
      </c>
      <c r="C456" s="19" t="str">
        <f>Source!G486</f>
        <v>Замена электроустановочных изделий, открытая проводка, выключатель, розетка (без стоимости материалов)</v>
      </c>
      <c r="D456" s="20" t="str">
        <f>Source!H486</f>
        <v>100 шт.</v>
      </c>
      <c r="E456" s="9">
        <f>Source!I486</f>
        <v>0.03</v>
      </c>
      <c r="F456" s="22"/>
      <c r="G456" s="21"/>
      <c r="H456" s="9"/>
      <c r="I456" s="9"/>
      <c r="J456" s="22"/>
      <c r="K456" s="22"/>
      <c r="Q456">
        <f>ROUND((Source!BZ486/100)*ROUND((Source!AF486*Source!AV486)*Source!I486, 2), 2)</f>
        <v>243.11</v>
      </c>
      <c r="R456">
        <f>Source!X486</f>
        <v>243.11</v>
      </c>
      <c r="S456">
        <f>ROUND((Source!CA486/100)*ROUND((Source!AF486*Source!AV486)*Source!I486, 2), 2)</f>
        <v>34.729999999999997</v>
      </c>
      <c r="T456">
        <f>Source!Y486</f>
        <v>34.729999999999997</v>
      </c>
      <c r="U456">
        <f>ROUND((175/100)*ROUND((Source!AE486*Source!AV486)*Source!I486, 2), 2)</f>
        <v>0</v>
      </c>
      <c r="V456">
        <f>ROUND((108/100)*ROUND(Source!CS486*Source!I486, 2), 2)</f>
        <v>0</v>
      </c>
    </row>
    <row r="457" spans="1:22" x14ac:dyDescent="0.2">
      <c r="C457" s="23" t="str">
        <f>"Объем: "&amp;Source!I486&amp;"=3/"&amp;"100"</f>
        <v>Объем: 0,03=3/100</v>
      </c>
    </row>
    <row r="458" spans="1:22" ht="14.25" x14ac:dyDescent="0.2">
      <c r="A458" s="19"/>
      <c r="B458" s="19"/>
      <c r="C458" s="19" t="s">
        <v>521</v>
      </c>
      <c r="D458" s="20"/>
      <c r="E458" s="9"/>
      <c r="F458" s="22">
        <f>Source!AO486</f>
        <v>11576.6</v>
      </c>
      <c r="G458" s="21" t="str">
        <f>Source!DG486</f>
        <v/>
      </c>
      <c r="H458" s="9">
        <f>Source!AV486</f>
        <v>1</v>
      </c>
      <c r="I458" s="9">
        <f>IF(Source!BA486&lt;&gt; 0, Source!BA486, 1)</f>
        <v>1</v>
      </c>
      <c r="J458" s="22">
        <f>Source!S486</f>
        <v>347.3</v>
      </c>
      <c r="K458" s="22"/>
    </row>
    <row r="459" spans="1:22" ht="41.25" x14ac:dyDescent="0.2">
      <c r="A459" s="19" t="s">
        <v>289</v>
      </c>
      <c r="B459" s="19" t="str">
        <f>Source!F487</f>
        <v>Цена пост.</v>
      </c>
      <c r="C459" s="19" t="s">
        <v>540</v>
      </c>
      <c r="D459" s="20" t="str">
        <f>Source!H487</f>
        <v>шт.</v>
      </c>
      <c r="E459" s="9">
        <f>Source!I487</f>
        <v>2</v>
      </c>
      <c r="F459" s="22">
        <f>Source!AK487</f>
        <v>285</v>
      </c>
      <c r="G459" s="29" t="s">
        <v>3</v>
      </c>
      <c r="H459" s="9">
        <f>Source!AW487</f>
        <v>1</v>
      </c>
      <c r="I459" s="9">
        <f>IF(Source!BC487&lt;&gt; 0, Source!BC487, 1)</f>
        <v>1</v>
      </c>
      <c r="J459" s="22">
        <f>Source!O487</f>
        <v>570</v>
      </c>
      <c r="K459" s="22"/>
      <c r="Q459">
        <f>ROUND((Source!BZ487/100)*ROUND((Source!AF487*Source!AV487)*Source!I487, 2), 2)</f>
        <v>0</v>
      </c>
      <c r="R459">
        <f>Source!X487</f>
        <v>0</v>
      </c>
      <c r="S459">
        <f>ROUND((Source!CA487/100)*ROUND((Source!AF487*Source!AV487)*Source!I487, 2), 2)</f>
        <v>0</v>
      </c>
      <c r="T459">
        <f>Source!Y487</f>
        <v>0</v>
      </c>
      <c r="U459">
        <f>ROUND((175/100)*ROUND((Source!AE487*Source!AV487)*Source!I487, 2), 2)</f>
        <v>0</v>
      </c>
      <c r="V459">
        <f>ROUND((108/100)*ROUND(Source!CS487*Source!I487, 2), 2)</f>
        <v>0</v>
      </c>
    </row>
    <row r="460" spans="1:22" ht="57" x14ac:dyDescent="0.2">
      <c r="A460" s="19" t="s">
        <v>290</v>
      </c>
      <c r="B460" s="19" t="str">
        <f>Source!F488</f>
        <v>21.21-5-24</v>
      </c>
      <c r="C460" s="19" t="str">
        <f>Source!G488</f>
        <v>Выключатели, серия "Прима", напряжение 250 В, сила тока 6 А, тип: А16-051, одноклавишный, открытой установки</v>
      </c>
      <c r="D460" s="20" t="str">
        <f>Source!H488</f>
        <v>шт.</v>
      </c>
      <c r="E460" s="9">
        <f>Source!I488</f>
        <v>1</v>
      </c>
      <c r="F460" s="22">
        <f>Source!AK488</f>
        <v>90.55</v>
      </c>
      <c r="G460" s="29" t="s">
        <v>3</v>
      </c>
      <c r="H460" s="9">
        <f>Source!AW488</f>
        <v>1</v>
      </c>
      <c r="I460" s="9">
        <f>IF(Source!BC488&lt;&gt; 0, Source!BC488, 1)</f>
        <v>1</v>
      </c>
      <c r="J460" s="22">
        <f>Source!O488</f>
        <v>90.55</v>
      </c>
      <c r="K460" s="22"/>
      <c r="Q460">
        <f>ROUND((Source!BZ488/100)*ROUND((Source!AF488*Source!AV488)*Source!I488, 2), 2)</f>
        <v>0</v>
      </c>
      <c r="R460">
        <f>Source!X488</f>
        <v>0</v>
      </c>
      <c r="S460">
        <f>ROUND((Source!CA488/100)*ROUND((Source!AF488*Source!AV488)*Source!I488, 2), 2)</f>
        <v>0</v>
      </c>
      <c r="T460">
        <f>Source!Y488</f>
        <v>0</v>
      </c>
      <c r="U460">
        <f>ROUND((175/100)*ROUND((Source!AE488*Source!AV488)*Source!I488, 2), 2)</f>
        <v>0</v>
      </c>
      <c r="V460">
        <f>ROUND((108/100)*ROUND(Source!CS488*Source!I488, 2), 2)</f>
        <v>0</v>
      </c>
    </row>
    <row r="461" spans="1:22" ht="14.25" x14ac:dyDescent="0.2">
      <c r="A461" s="19"/>
      <c r="B461" s="19"/>
      <c r="C461" s="19" t="s">
        <v>523</v>
      </c>
      <c r="D461" s="20" t="s">
        <v>524</v>
      </c>
      <c r="E461" s="9">
        <f>Source!AT486</f>
        <v>70</v>
      </c>
      <c r="F461" s="22"/>
      <c r="G461" s="21"/>
      <c r="H461" s="9"/>
      <c r="I461" s="9"/>
      <c r="J461" s="22">
        <f>SUM(R456:R460)</f>
        <v>243.11</v>
      </c>
      <c r="K461" s="22"/>
    </row>
    <row r="462" spans="1:22" ht="14.25" x14ac:dyDescent="0.2">
      <c r="A462" s="19"/>
      <c r="B462" s="19"/>
      <c r="C462" s="19" t="s">
        <v>525</v>
      </c>
      <c r="D462" s="20" t="s">
        <v>524</v>
      </c>
      <c r="E462" s="9">
        <f>Source!AU486</f>
        <v>10</v>
      </c>
      <c r="F462" s="22"/>
      <c r="G462" s="21"/>
      <c r="H462" s="9"/>
      <c r="I462" s="9"/>
      <c r="J462" s="22">
        <f>SUM(T456:T461)</f>
        <v>34.729999999999997</v>
      </c>
      <c r="K462" s="22"/>
    </row>
    <row r="463" spans="1:22" ht="14.25" x14ac:dyDescent="0.2">
      <c r="A463" s="19"/>
      <c r="B463" s="19"/>
      <c r="C463" s="19" t="s">
        <v>526</v>
      </c>
      <c r="D463" s="20" t="s">
        <v>527</v>
      </c>
      <c r="E463" s="9">
        <f>Source!AQ486</f>
        <v>29.74</v>
      </c>
      <c r="F463" s="22"/>
      <c r="G463" s="21" t="str">
        <f>Source!DI486</f>
        <v/>
      </c>
      <c r="H463" s="9">
        <f>Source!AV486</f>
        <v>1</v>
      </c>
      <c r="I463" s="9"/>
      <c r="J463" s="22"/>
      <c r="K463" s="22">
        <f>Source!U486</f>
        <v>0.89219999999999988</v>
      </c>
    </row>
    <row r="464" spans="1:22" ht="15" x14ac:dyDescent="0.25">
      <c r="A464" s="26"/>
      <c r="B464" s="26"/>
      <c r="C464" s="26"/>
      <c r="D464" s="26"/>
      <c r="E464" s="26"/>
      <c r="F464" s="26"/>
      <c r="G464" s="26"/>
      <c r="H464" s="26"/>
      <c r="I464" s="61">
        <f>J458+J461+J462+SUM(J459:J460)</f>
        <v>1285.69</v>
      </c>
      <c r="J464" s="61"/>
      <c r="K464" s="27">
        <f>IF(Source!I486&lt;&gt;0, ROUND(I464/Source!I486, 2), 0)</f>
        <v>42856.33</v>
      </c>
      <c r="P464" s="24">
        <f>I464</f>
        <v>1285.69</v>
      </c>
    </row>
    <row r="466" spans="1:22" ht="15" x14ac:dyDescent="0.25">
      <c r="A466" s="65" t="str">
        <f>CONCATENATE("Итого по подразделу: ",IF(Source!G490&lt;&gt;"Новый подраздел", Source!G490, ""))</f>
        <v>Итого по подразделу: Электрика</v>
      </c>
      <c r="B466" s="65"/>
      <c r="C466" s="65"/>
      <c r="D466" s="65"/>
      <c r="E466" s="65"/>
      <c r="F466" s="65"/>
      <c r="G466" s="65"/>
      <c r="H466" s="65"/>
      <c r="I466" s="63">
        <f>SUM(P455:P465)</f>
        <v>1285.69</v>
      </c>
      <c r="J466" s="64"/>
      <c r="K466" s="30"/>
    </row>
    <row r="469" spans="1:22" ht="16.5" x14ac:dyDescent="0.25">
      <c r="A469" s="62" t="str">
        <f>CONCATENATE("Подраздел: ",IF(Source!G520&lt;&gt;"Новый подраздел", Source!G520, ""))</f>
        <v>Подраздел: Прочее</v>
      </c>
      <c r="B469" s="62"/>
      <c r="C469" s="62"/>
      <c r="D469" s="62"/>
      <c r="E469" s="62"/>
      <c r="F469" s="62"/>
      <c r="G469" s="62"/>
      <c r="H469" s="62"/>
      <c r="I469" s="62"/>
      <c r="J469" s="62"/>
      <c r="K469" s="62"/>
    </row>
    <row r="470" spans="1:22" ht="42.75" x14ac:dyDescent="0.2">
      <c r="A470" s="19">
        <v>43</v>
      </c>
      <c r="B470" s="19" t="str">
        <f>Source!F524</f>
        <v>1.18-3202-1-1/1</v>
      </c>
      <c r="C470" s="19" t="str">
        <f>Source!G524</f>
        <v>Смена вентиляционных решеток стальных штампованных, тип РШ, размеры 200х200 мм</v>
      </c>
      <c r="D470" s="20" t="str">
        <f>Source!H524</f>
        <v>100 шт.</v>
      </c>
      <c r="E470" s="9">
        <f>Source!I524</f>
        <v>0.02</v>
      </c>
      <c r="F470" s="22"/>
      <c r="G470" s="21"/>
      <c r="H470" s="9"/>
      <c r="I470" s="9"/>
      <c r="J470" s="22"/>
      <c r="K470" s="22"/>
      <c r="Q470">
        <f>ROUND((Source!BZ524/100)*ROUND((Source!AF524*Source!AV524)*Source!I524, 2), 2)</f>
        <v>281.55</v>
      </c>
      <c r="R470">
        <f>Source!X524</f>
        <v>281.55</v>
      </c>
      <c r="S470">
        <f>ROUND((Source!CA524/100)*ROUND((Source!AF524*Source!AV524)*Source!I524, 2), 2)</f>
        <v>40.22</v>
      </c>
      <c r="T470">
        <f>Source!Y524</f>
        <v>40.22</v>
      </c>
      <c r="U470">
        <f>ROUND((175/100)*ROUND((Source!AE524*Source!AV524)*Source!I524, 2), 2)</f>
        <v>0</v>
      </c>
      <c r="V470">
        <f>ROUND((108/100)*ROUND(Source!CS524*Source!I524, 2), 2)</f>
        <v>0</v>
      </c>
    </row>
    <row r="471" spans="1:22" x14ac:dyDescent="0.2">
      <c r="C471" s="23" t="str">
        <f>"Объем: "&amp;Source!I524&amp;"=2/"&amp;"100"</f>
        <v>Объем: 0,02=2/100</v>
      </c>
    </row>
    <row r="472" spans="1:22" ht="14.25" x14ac:dyDescent="0.2">
      <c r="A472" s="19"/>
      <c r="B472" s="19"/>
      <c r="C472" s="19" t="s">
        <v>521</v>
      </c>
      <c r="D472" s="20"/>
      <c r="E472" s="9"/>
      <c r="F472" s="22">
        <f>Source!AO524</f>
        <v>20110.66</v>
      </c>
      <c r="G472" s="21" t="str">
        <f>Source!DG524</f>
        <v/>
      </c>
      <c r="H472" s="9">
        <f>Source!AV524</f>
        <v>1</v>
      </c>
      <c r="I472" s="9">
        <f>IF(Source!BA524&lt;&gt; 0, Source!BA524, 1)</f>
        <v>1</v>
      </c>
      <c r="J472" s="22">
        <f>Source!S524</f>
        <v>402.21</v>
      </c>
      <c r="K472" s="22"/>
    </row>
    <row r="473" spans="1:22" ht="14.25" x14ac:dyDescent="0.2">
      <c r="A473" s="19"/>
      <c r="B473" s="19"/>
      <c r="C473" s="19" t="s">
        <v>529</v>
      </c>
      <c r="D473" s="20"/>
      <c r="E473" s="9"/>
      <c r="F473" s="22">
        <f>Source!AL524</f>
        <v>29124.880000000001</v>
      </c>
      <c r="G473" s="21" t="str">
        <f>Source!DD524</f>
        <v/>
      </c>
      <c r="H473" s="9">
        <f>Source!AW524</f>
        <v>1</v>
      </c>
      <c r="I473" s="9">
        <f>IF(Source!BC524&lt;&gt; 0, Source!BC524, 1)</f>
        <v>1</v>
      </c>
      <c r="J473" s="22">
        <f>Source!P524</f>
        <v>582.5</v>
      </c>
      <c r="K473" s="22"/>
    </row>
    <row r="474" spans="1:22" ht="57" x14ac:dyDescent="0.2">
      <c r="A474" s="19" t="s">
        <v>292</v>
      </c>
      <c r="B474" s="19" t="str">
        <f>Source!F525</f>
        <v>21.19-11-52</v>
      </c>
      <c r="C474" s="19" t="str">
        <f>Source!G525</f>
        <v>Решетки вентиляционные, жалюзийные, регулируемые, стальные, марка РС-Г, размер 625х225 мм (600х300 мм)</v>
      </c>
      <c r="D474" s="20" t="str">
        <f>Source!H525</f>
        <v>шт.</v>
      </c>
      <c r="E474" s="9">
        <f>Source!I525</f>
        <v>2</v>
      </c>
      <c r="F474" s="22">
        <f>Source!AK525</f>
        <v>981.41</v>
      </c>
      <c r="G474" s="29" t="s">
        <v>3</v>
      </c>
      <c r="H474" s="9">
        <f>Source!AW525</f>
        <v>1</v>
      </c>
      <c r="I474" s="9">
        <f>IF(Source!BC525&lt;&gt; 0, Source!BC525, 1)</f>
        <v>1</v>
      </c>
      <c r="J474" s="22">
        <f>Source!O525</f>
        <v>1962.82</v>
      </c>
      <c r="K474" s="22"/>
      <c r="Q474">
        <f>ROUND((Source!BZ525/100)*ROUND((Source!AF525*Source!AV525)*Source!I525, 2), 2)</f>
        <v>0</v>
      </c>
      <c r="R474">
        <f>Source!X525</f>
        <v>0</v>
      </c>
      <c r="S474">
        <f>ROUND((Source!CA525/100)*ROUND((Source!AF525*Source!AV525)*Source!I525, 2), 2)</f>
        <v>0</v>
      </c>
      <c r="T474">
        <f>Source!Y525</f>
        <v>0</v>
      </c>
      <c r="U474">
        <f>ROUND((175/100)*ROUND((Source!AE525*Source!AV525)*Source!I525, 2), 2)</f>
        <v>0</v>
      </c>
      <c r="V474">
        <f>ROUND((108/100)*ROUND(Source!CS525*Source!I525, 2), 2)</f>
        <v>0</v>
      </c>
    </row>
    <row r="475" spans="1:22" ht="57" x14ac:dyDescent="0.2">
      <c r="A475" s="19" t="s">
        <v>296</v>
      </c>
      <c r="B475" s="19" t="str">
        <f>Source!F526</f>
        <v>21.19-11-22</v>
      </c>
      <c r="C475" s="19" t="s">
        <v>541</v>
      </c>
      <c r="D475" s="20" t="str">
        <f>Source!H526</f>
        <v>шт.</v>
      </c>
      <c r="E475" s="9">
        <f>Source!I526</f>
        <v>-2</v>
      </c>
      <c r="F475" s="22">
        <f>Source!AK526</f>
        <v>287.24</v>
      </c>
      <c r="G475" s="29" t="s">
        <v>3</v>
      </c>
      <c r="H475" s="9">
        <f>Source!AW526</f>
        <v>1</v>
      </c>
      <c r="I475" s="9">
        <f>IF(Source!BC526&lt;&gt; 0, Source!BC526, 1)</f>
        <v>1</v>
      </c>
      <c r="J475" s="22">
        <f>Source!O526</f>
        <v>-574.48</v>
      </c>
      <c r="K475" s="22"/>
      <c r="Q475">
        <f>ROUND((Source!BZ526/100)*ROUND((Source!AF526*Source!AV526)*Source!I526, 2), 2)</f>
        <v>0</v>
      </c>
      <c r="R475">
        <f>Source!X526</f>
        <v>0</v>
      </c>
      <c r="S475">
        <f>ROUND((Source!CA526/100)*ROUND((Source!AF526*Source!AV526)*Source!I526, 2), 2)</f>
        <v>0</v>
      </c>
      <c r="T475">
        <f>Source!Y526</f>
        <v>0</v>
      </c>
      <c r="U475">
        <f>ROUND((175/100)*ROUND((Source!AE526*Source!AV526)*Source!I526, 2), 2)</f>
        <v>0</v>
      </c>
      <c r="V475">
        <f>ROUND((108/100)*ROUND(Source!CS526*Source!I526, 2), 2)</f>
        <v>0</v>
      </c>
    </row>
    <row r="476" spans="1:22" ht="14.25" x14ac:dyDescent="0.2">
      <c r="A476" s="19"/>
      <c r="B476" s="19"/>
      <c r="C476" s="19" t="s">
        <v>523</v>
      </c>
      <c r="D476" s="20" t="s">
        <v>524</v>
      </c>
      <c r="E476" s="9">
        <f>Source!AT524</f>
        <v>70</v>
      </c>
      <c r="F476" s="22"/>
      <c r="G476" s="21"/>
      <c r="H476" s="9"/>
      <c r="I476" s="9"/>
      <c r="J476" s="22">
        <f>SUM(R470:R475)</f>
        <v>281.55</v>
      </c>
      <c r="K476" s="22"/>
    </row>
    <row r="477" spans="1:22" ht="14.25" x14ac:dyDescent="0.2">
      <c r="A477" s="19"/>
      <c r="B477" s="19"/>
      <c r="C477" s="19" t="s">
        <v>525</v>
      </c>
      <c r="D477" s="20" t="s">
        <v>524</v>
      </c>
      <c r="E477" s="9">
        <f>Source!AU524</f>
        <v>10</v>
      </c>
      <c r="F477" s="22"/>
      <c r="G477" s="21"/>
      <c r="H477" s="9"/>
      <c r="I477" s="9"/>
      <c r="J477" s="22">
        <f>SUM(T470:T476)</f>
        <v>40.22</v>
      </c>
      <c r="K477" s="22"/>
    </row>
    <row r="478" spans="1:22" ht="14.25" x14ac:dyDescent="0.2">
      <c r="A478" s="19"/>
      <c r="B478" s="19"/>
      <c r="C478" s="19" t="s">
        <v>526</v>
      </c>
      <c r="D478" s="20" t="s">
        <v>527</v>
      </c>
      <c r="E478" s="9">
        <f>Source!AQ524</f>
        <v>46.19</v>
      </c>
      <c r="F478" s="22"/>
      <c r="G478" s="21" t="str">
        <f>Source!DI524</f>
        <v/>
      </c>
      <c r="H478" s="9">
        <f>Source!AV524</f>
        <v>1</v>
      </c>
      <c r="I478" s="9"/>
      <c r="J478" s="22"/>
      <c r="K478" s="22">
        <f>Source!U524</f>
        <v>0.92379999999999995</v>
      </c>
    </row>
    <row r="479" spans="1:22" ht="15" x14ac:dyDescent="0.25">
      <c r="A479" s="26"/>
      <c r="B479" s="26"/>
      <c r="C479" s="26"/>
      <c r="D479" s="26"/>
      <c r="E479" s="26"/>
      <c r="F479" s="26"/>
      <c r="G479" s="26"/>
      <c r="H479" s="26"/>
      <c r="I479" s="61">
        <f>J472+J473+J476+J477+SUM(J474:J475)</f>
        <v>2694.8199999999997</v>
      </c>
      <c r="J479" s="61"/>
      <c r="K479" s="27">
        <f>IF(Source!I524&lt;&gt;0, ROUND(I479/Source!I524, 2), 0)</f>
        <v>134741</v>
      </c>
      <c r="P479" s="24">
        <f>I479</f>
        <v>2694.8199999999997</v>
      </c>
    </row>
    <row r="481" spans="1:22" ht="15" x14ac:dyDescent="0.25">
      <c r="A481" s="65" t="str">
        <f>CONCATENATE("Итого по подразделу: ",IF(Source!G528&lt;&gt;"Новый подраздел", Source!G528, ""))</f>
        <v>Итого по подразделу: Прочее</v>
      </c>
      <c r="B481" s="65"/>
      <c r="C481" s="65"/>
      <c r="D481" s="65"/>
      <c r="E481" s="65"/>
      <c r="F481" s="65"/>
      <c r="G481" s="65"/>
      <c r="H481" s="65"/>
      <c r="I481" s="63">
        <f>SUM(P469:P480)</f>
        <v>2694.8199999999997</v>
      </c>
      <c r="J481" s="64"/>
      <c r="K481" s="30"/>
    </row>
    <row r="484" spans="1:22" ht="15" x14ac:dyDescent="0.25">
      <c r="A484" s="65" t="str">
        <f>CONCATENATE("Итого по разделу: ",IF(Source!G558&lt;&gt;"Новый раздел", Source!G558, ""))</f>
        <v>Итого по разделу: Второй этаж, кабинет № 311</v>
      </c>
      <c r="B484" s="65"/>
      <c r="C484" s="65"/>
      <c r="D484" s="65"/>
      <c r="E484" s="65"/>
      <c r="F484" s="65"/>
      <c r="G484" s="65"/>
      <c r="H484" s="65"/>
      <c r="I484" s="63">
        <f>SUM(P243:P483)</f>
        <v>221577.83999999997</v>
      </c>
      <c r="J484" s="64"/>
      <c r="K484" s="30"/>
    </row>
    <row r="487" spans="1:22" ht="16.5" x14ac:dyDescent="0.25">
      <c r="A487" s="62" t="str">
        <f>CONCATENATE("Раздел: ",IF(Source!G588&lt;&gt;"Новый раздел", Source!G588, ""))</f>
        <v>Раздел: Кровля</v>
      </c>
      <c r="B487" s="62"/>
      <c r="C487" s="62"/>
      <c r="D487" s="62"/>
      <c r="E487" s="62"/>
      <c r="F487" s="62"/>
      <c r="G487" s="62"/>
      <c r="H487" s="62"/>
      <c r="I487" s="62"/>
      <c r="J487" s="62"/>
      <c r="K487" s="62"/>
    </row>
    <row r="488" spans="1:22" ht="42.75" x14ac:dyDescent="0.2">
      <c r="A488" s="19">
        <v>44</v>
      </c>
      <c r="B488" s="19" t="str">
        <f>Source!F592</f>
        <v>1.7-3303-7-4/1</v>
      </c>
      <c r="C488" s="19" t="str">
        <f>Source!G592</f>
        <v>Устройство рулонного покрытия в один слой из наплавляемого материала типа "Филизол-супер"</v>
      </c>
      <c r="D488" s="20" t="str">
        <f>Source!H592</f>
        <v>100 м2</v>
      </c>
      <c r="E488" s="9">
        <f>Source!I592</f>
        <v>3</v>
      </c>
      <c r="F488" s="22"/>
      <c r="G488" s="21"/>
      <c r="H488" s="9"/>
      <c r="I488" s="9"/>
      <c r="J488" s="22"/>
      <c r="K488" s="22"/>
      <c r="Q488">
        <f>ROUND((Source!BZ592/100)*ROUND((Source!AF592*Source!AV592)*Source!I592, 2), 2)</f>
        <v>42905.39</v>
      </c>
      <c r="R488">
        <f>Source!X592</f>
        <v>42905.39</v>
      </c>
      <c r="S488">
        <f>ROUND((Source!CA592/100)*ROUND((Source!AF592*Source!AV592)*Source!I592, 2), 2)</f>
        <v>6129.34</v>
      </c>
      <c r="T488">
        <f>Source!Y592</f>
        <v>6129.34</v>
      </c>
      <c r="U488">
        <f>ROUND((175/100)*ROUND((Source!AE592*Source!AV592)*Source!I592, 2), 2)</f>
        <v>19876.66</v>
      </c>
      <c r="V488">
        <f>ROUND((108/100)*ROUND(Source!CS592*Source!I592, 2), 2)</f>
        <v>12266.74</v>
      </c>
    </row>
    <row r="489" spans="1:22" x14ac:dyDescent="0.2">
      <c r="C489" s="23" t="str">
        <f>"Объем: "&amp;Source!I592&amp;"=300/"&amp;"100"</f>
        <v>Объем: 3=300/100</v>
      </c>
    </row>
    <row r="490" spans="1:22" ht="14.25" x14ac:dyDescent="0.2">
      <c r="A490" s="19"/>
      <c r="B490" s="19"/>
      <c r="C490" s="19" t="s">
        <v>521</v>
      </c>
      <c r="D490" s="20"/>
      <c r="E490" s="9"/>
      <c r="F490" s="22">
        <f>Source!AO592</f>
        <v>20431.14</v>
      </c>
      <c r="G490" s="21" t="str">
        <f>Source!DG592</f>
        <v/>
      </c>
      <c r="H490" s="9">
        <f>Source!AV592</f>
        <v>1</v>
      </c>
      <c r="I490" s="9">
        <f>IF(Source!BA592&lt;&gt; 0, Source!BA592, 1)</f>
        <v>1</v>
      </c>
      <c r="J490" s="22">
        <f>Source!S592</f>
        <v>61293.42</v>
      </c>
      <c r="K490" s="22"/>
    </row>
    <row r="491" spans="1:22" ht="14.25" x14ac:dyDescent="0.2">
      <c r="A491" s="19"/>
      <c r="B491" s="19"/>
      <c r="C491" s="19" t="s">
        <v>522</v>
      </c>
      <c r="D491" s="20"/>
      <c r="E491" s="9"/>
      <c r="F491" s="22">
        <f>Source!AM592</f>
        <v>7230.56</v>
      </c>
      <c r="G491" s="21" t="str">
        <f>Source!DE592</f>
        <v/>
      </c>
      <c r="H491" s="9">
        <f>Source!AV592</f>
        <v>1</v>
      </c>
      <c r="I491" s="9">
        <f>IF(Source!BB592&lt;&gt; 0, Source!BB592, 1)</f>
        <v>1</v>
      </c>
      <c r="J491" s="22">
        <f>Source!Q592</f>
        <v>21691.68</v>
      </c>
      <c r="K491" s="22"/>
    </row>
    <row r="492" spans="1:22" ht="14.25" x14ac:dyDescent="0.2">
      <c r="A492" s="19"/>
      <c r="B492" s="19"/>
      <c r="C492" s="19" t="s">
        <v>528</v>
      </c>
      <c r="D492" s="20"/>
      <c r="E492" s="9"/>
      <c r="F492" s="22">
        <f>Source!AN592</f>
        <v>3786.03</v>
      </c>
      <c r="G492" s="21" t="str">
        <f>Source!DF592</f>
        <v/>
      </c>
      <c r="H492" s="9">
        <f>Source!AV592</f>
        <v>1</v>
      </c>
      <c r="I492" s="9">
        <f>IF(Source!BS592&lt;&gt; 0, Source!BS592, 1)</f>
        <v>1</v>
      </c>
      <c r="J492" s="28">
        <f>Source!R592</f>
        <v>11358.09</v>
      </c>
      <c r="K492" s="22"/>
    </row>
    <row r="493" spans="1:22" ht="14.25" x14ac:dyDescent="0.2">
      <c r="A493" s="19"/>
      <c r="B493" s="19"/>
      <c r="C493" s="19" t="s">
        <v>529</v>
      </c>
      <c r="D493" s="20"/>
      <c r="E493" s="9"/>
      <c r="F493" s="22">
        <f>Source!AL592</f>
        <v>51538.44</v>
      </c>
      <c r="G493" s="21" t="str">
        <f>Source!DD592</f>
        <v/>
      </c>
      <c r="H493" s="9">
        <f>Source!AW592</f>
        <v>1</v>
      </c>
      <c r="I493" s="9">
        <f>IF(Source!BC592&lt;&gt; 0, Source!BC592, 1)</f>
        <v>1</v>
      </c>
      <c r="J493" s="22">
        <f>Source!P592</f>
        <v>154615.32</v>
      </c>
      <c r="K493" s="22"/>
    </row>
    <row r="494" spans="1:22" ht="28.5" x14ac:dyDescent="0.2">
      <c r="A494" s="19" t="s">
        <v>302</v>
      </c>
      <c r="B494" s="19" t="str">
        <f>Source!F593</f>
        <v>21.1-3-49</v>
      </c>
      <c r="C494" s="19" t="str">
        <f>Source!G593</f>
        <v>Материал рулонный кровельный, Филизол, марка "В"</v>
      </c>
      <c r="D494" s="20" t="str">
        <f>Source!H593</f>
        <v>м2</v>
      </c>
      <c r="E494" s="9">
        <f>Source!I593</f>
        <v>405</v>
      </c>
      <c r="F494" s="22">
        <f>Source!AK593</f>
        <v>315.89</v>
      </c>
      <c r="G494" s="29" t="s">
        <v>3</v>
      </c>
      <c r="H494" s="9">
        <f>Source!AW593</f>
        <v>1</v>
      </c>
      <c r="I494" s="9">
        <f>IF(Source!BC593&lt;&gt; 0, Source!BC593, 1)</f>
        <v>1</v>
      </c>
      <c r="J494" s="22">
        <f>Source!O593</f>
        <v>127935.45</v>
      </c>
      <c r="K494" s="22"/>
      <c r="Q494">
        <f>ROUND((Source!BZ593/100)*ROUND((Source!AF593*Source!AV593)*Source!I593, 2), 2)</f>
        <v>0</v>
      </c>
      <c r="R494">
        <f>Source!X593</f>
        <v>0</v>
      </c>
      <c r="S494">
        <f>ROUND((Source!CA593/100)*ROUND((Source!AF593*Source!AV593)*Source!I593, 2), 2)</f>
        <v>0</v>
      </c>
      <c r="T494">
        <f>Source!Y593</f>
        <v>0</v>
      </c>
      <c r="U494">
        <f>ROUND((175/100)*ROUND((Source!AE593*Source!AV593)*Source!I593, 2), 2)</f>
        <v>0</v>
      </c>
      <c r="V494">
        <f>ROUND((108/100)*ROUND(Source!CS593*Source!I593, 2), 2)</f>
        <v>0</v>
      </c>
    </row>
    <row r="495" spans="1:22" ht="42.75" x14ac:dyDescent="0.2">
      <c r="A495" s="19" t="s">
        <v>306</v>
      </c>
      <c r="B495" s="19" t="str">
        <f>Source!F594</f>
        <v>21.1-3-51</v>
      </c>
      <c r="C495" s="19" t="s">
        <v>546</v>
      </c>
      <c r="D495" s="20" t="str">
        <f>Source!H594</f>
        <v>м2</v>
      </c>
      <c r="E495" s="9">
        <f>Source!I594</f>
        <v>-405</v>
      </c>
      <c r="F495" s="22">
        <f>Source!AK594</f>
        <v>346.44</v>
      </c>
      <c r="G495" s="29" t="s">
        <v>3</v>
      </c>
      <c r="H495" s="9">
        <f>Source!AW594</f>
        <v>1</v>
      </c>
      <c r="I495" s="9">
        <f>IF(Source!BC594&lt;&gt; 0, Source!BC594, 1)</f>
        <v>1</v>
      </c>
      <c r="J495" s="22">
        <f>Source!O594</f>
        <v>-140308.20000000001</v>
      </c>
      <c r="K495" s="22"/>
      <c r="Q495">
        <f>ROUND((Source!BZ594/100)*ROUND((Source!AF594*Source!AV594)*Source!I594, 2), 2)</f>
        <v>0</v>
      </c>
      <c r="R495">
        <f>Source!X594</f>
        <v>0</v>
      </c>
      <c r="S495">
        <f>ROUND((Source!CA594/100)*ROUND((Source!AF594*Source!AV594)*Source!I594, 2), 2)</f>
        <v>0</v>
      </c>
      <c r="T495">
        <f>Source!Y594</f>
        <v>0</v>
      </c>
      <c r="U495">
        <f>ROUND((175/100)*ROUND((Source!AE594*Source!AV594)*Source!I594, 2), 2)</f>
        <v>0</v>
      </c>
      <c r="V495">
        <f>ROUND((108/100)*ROUND(Source!CS594*Source!I594, 2), 2)</f>
        <v>0</v>
      </c>
    </row>
    <row r="496" spans="1:22" ht="14.25" x14ac:dyDescent="0.2">
      <c r="A496" s="19"/>
      <c r="B496" s="19"/>
      <c r="C496" s="19" t="s">
        <v>523</v>
      </c>
      <c r="D496" s="20" t="s">
        <v>524</v>
      </c>
      <c r="E496" s="9">
        <f>Source!AT592</f>
        <v>70</v>
      </c>
      <c r="F496" s="22"/>
      <c r="G496" s="21"/>
      <c r="H496" s="9"/>
      <c r="I496" s="9"/>
      <c r="J496" s="22">
        <f>SUM(R488:R495)</f>
        <v>42905.39</v>
      </c>
      <c r="K496" s="22"/>
    </row>
    <row r="497" spans="1:22" ht="14.25" x14ac:dyDescent="0.2">
      <c r="A497" s="19"/>
      <c r="B497" s="19"/>
      <c r="C497" s="19" t="s">
        <v>525</v>
      </c>
      <c r="D497" s="20" t="s">
        <v>524</v>
      </c>
      <c r="E497" s="9">
        <f>Source!AU592</f>
        <v>10</v>
      </c>
      <c r="F497" s="22"/>
      <c r="G497" s="21"/>
      <c r="H497" s="9"/>
      <c r="I497" s="9"/>
      <c r="J497" s="22">
        <f>SUM(T488:T496)</f>
        <v>6129.34</v>
      </c>
      <c r="K497" s="22"/>
    </row>
    <row r="498" spans="1:22" ht="14.25" x14ac:dyDescent="0.2">
      <c r="A498" s="19"/>
      <c r="B498" s="19"/>
      <c r="C498" s="19" t="s">
        <v>530</v>
      </c>
      <c r="D498" s="20" t="s">
        <v>524</v>
      </c>
      <c r="E498" s="9">
        <f>108</f>
        <v>108</v>
      </c>
      <c r="F498" s="22"/>
      <c r="G498" s="21"/>
      <c r="H498" s="9"/>
      <c r="I498" s="9"/>
      <c r="J498" s="22">
        <f>SUM(V488:V497)</f>
        <v>12266.74</v>
      </c>
      <c r="K498" s="22"/>
    </row>
    <row r="499" spans="1:22" ht="14.25" x14ac:dyDescent="0.2">
      <c r="A499" s="19"/>
      <c r="B499" s="19"/>
      <c r="C499" s="19" t="s">
        <v>526</v>
      </c>
      <c r="D499" s="20" t="s">
        <v>527</v>
      </c>
      <c r="E499" s="9">
        <f>Source!AQ592</f>
        <v>37.950000000000003</v>
      </c>
      <c r="F499" s="22"/>
      <c r="G499" s="21" t="str">
        <f>Source!DI592</f>
        <v/>
      </c>
      <c r="H499" s="9">
        <f>Source!AV592</f>
        <v>1</v>
      </c>
      <c r="I499" s="9"/>
      <c r="J499" s="22"/>
      <c r="K499" s="22">
        <f>Source!U592</f>
        <v>113.85000000000001</v>
      </c>
    </row>
    <row r="500" spans="1:22" ht="15" x14ac:dyDescent="0.25">
      <c r="A500" s="26"/>
      <c r="B500" s="26"/>
      <c r="C500" s="26"/>
      <c r="D500" s="26"/>
      <c r="E500" s="26"/>
      <c r="F500" s="26"/>
      <c r="G500" s="26"/>
      <c r="H500" s="26"/>
      <c r="I500" s="61">
        <f>J490+J491+J493+J496+J497+J498+SUM(J494:J495)</f>
        <v>286529.14</v>
      </c>
      <c r="J500" s="61"/>
      <c r="K500" s="27">
        <f>IF(Source!I592&lt;&gt;0, ROUND(I500/Source!I592, 2), 0)</f>
        <v>95509.71</v>
      </c>
      <c r="P500" s="24">
        <f>I500</f>
        <v>286529.14</v>
      </c>
    </row>
    <row r="502" spans="1:22" ht="15" x14ac:dyDescent="0.25">
      <c r="A502" s="65" t="str">
        <f>CONCATENATE("Итого по разделу: ",IF(Source!G596&lt;&gt;"Новый раздел", Source!G596, ""))</f>
        <v>Итого по разделу: Кровля</v>
      </c>
      <c r="B502" s="65"/>
      <c r="C502" s="65"/>
      <c r="D502" s="65"/>
      <c r="E502" s="65"/>
      <c r="F502" s="65"/>
      <c r="G502" s="65"/>
      <c r="H502" s="65"/>
      <c r="I502" s="63">
        <f>SUM(P487:P501)</f>
        <v>286529.14</v>
      </c>
      <c r="J502" s="64"/>
      <c r="K502" s="30"/>
    </row>
    <row r="505" spans="1:22" ht="16.5" x14ac:dyDescent="0.25">
      <c r="A505" s="62" t="str">
        <f>CONCATENATE("Раздел: ",IF(Source!G626&lt;&gt;"Новый раздел", Source!G626, ""))</f>
        <v>Раздел: Мусор</v>
      </c>
      <c r="B505" s="62"/>
      <c r="C505" s="62"/>
      <c r="D505" s="62"/>
      <c r="E505" s="62"/>
      <c r="F505" s="62"/>
      <c r="G505" s="62"/>
      <c r="H505" s="62"/>
      <c r="I505" s="62"/>
      <c r="J505" s="62"/>
      <c r="K505" s="62"/>
    </row>
    <row r="506" spans="1:22" ht="42.75" x14ac:dyDescent="0.2">
      <c r="A506" s="19">
        <v>45</v>
      </c>
      <c r="B506" s="19" t="str">
        <f>Source!F630</f>
        <v>1.49-9101-7-1/1</v>
      </c>
      <c r="C506" s="19" t="str">
        <f>Source!G630</f>
        <v>Механизированная погрузка строительного мусора в автомобили-самосвалы</v>
      </c>
      <c r="D506" s="20" t="str">
        <f>Source!H630</f>
        <v>т</v>
      </c>
      <c r="E506" s="9">
        <f>Source!I630</f>
        <v>0.64500000000000002</v>
      </c>
      <c r="F506" s="22"/>
      <c r="G506" s="21"/>
      <c r="H506" s="9"/>
      <c r="I506" s="9"/>
      <c r="J506" s="22"/>
      <c r="K506" s="22"/>
      <c r="Q506">
        <f>ROUND((Source!BZ630/100)*ROUND((Source!AF630*Source!AV630)*Source!I630, 2), 2)</f>
        <v>0</v>
      </c>
      <c r="R506">
        <f>Source!X630</f>
        <v>0</v>
      </c>
      <c r="S506">
        <f>ROUND((Source!CA630/100)*ROUND((Source!AF630*Source!AV630)*Source!I630, 2), 2)</f>
        <v>0</v>
      </c>
      <c r="T506">
        <f>Source!Y630</f>
        <v>0</v>
      </c>
      <c r="U506">
        <f>ROUND((175/100)*ROUND((Source!AE630*Source!AV630)*Source!I630, 2), 2)</f>
        <v>57</v>
      </c>
      <c r="V506">
        <f>ROUND((108/100)*ROUND(Source!CS630*Source!I630, 2), 2)</f>
        <v>35.18</v>
      </c>
    </row>
    <row r="507" spans="1:22" ht="14.25" x14ac:dyDescent="0.2">
      <c r="A507" s="19"/>
      <c r="B507" s="19"/>
      <c r="C507" s="19" t="s">
        <v>522</v>
      </c>
      <c r="D507" s="20"/>
      <c r="E507" s="9"/>
      <c r="F507" s="22">
        <f>Source!AM630</f>
        <v>117.87</v>
      </c>
      <c r="G507" s="21" t="str">
        <f>Source!DE630</f>
        <v/>
      </c>
      <c r="H507" s="9">
        <f>Source!AV630</f>
        <v>1</v>
      </c>
      <c r="I507" s="9">
        <f>IF(Source!BB630&lt;&gt; 0, Source!BB630, 1)</f>
        <v>1</v>
      </c>
      <c r="J507" s="22">
        <f>Source!Q630</f>
        <v>76.03</v>
      </c>
      <c r="K507" s="22"/>
    </row>
    <row r="508" spans="1:22" ht="14.25" x14ac:dyDescent="0.2">
      <c r="A508" s="19"/>
      <c r="B508" s="19"/>
      <c r="C508" s="19" t="s">
        <v>528</v>
      </c>
      <c r="D508" s="20"/>
      <c r="E508" s="9"/>
      <c r="F508" s="22">
        <f>Source!AN630</f>
        <v>50.5</v>
      </c>
      <c r="G508" s="21" t="str">
        <f>Source!DF630</f>
        <v/>
      </c>
      <c r="H508" s="9">
        <f>Source!AV630</f>
        <v>1</v>
      </c>
      <c r="I508" s="9">
        <f>IF(Source!BS630&lt;&gt; 0, Source!BS630, 1)</f>
        <v>1</v>
      </c>
      <c r="J508" s="28">
        <f>Source!R630</f>
        <v>32.57</v>
      </c>
      <c r="K508" s="22"/>
    </row>
    <row r="509" spans="1:22" ht="14.25" x14ac:dyDescent="0.2">
      <c r="A509" s="19"/>
      <c r="B509" s="19"/>
      <c r="C509" s="19" t="s">
        <v>530</v>
      </c>
      <c r="D509" s="20" t="s">
        <v>524</v>
      </c>
      <c r="E509" s="9">
        <f>108</f>
        <v>108</v>
      </c>
      <c r="F509" s="22"/>
      <c r="G509" s="21"/>
      <c r="H509" s="9"/>
      <c r="I509" s="9"/>
      <c r="J509" s="22">
        <f>SUM(V506:V508)</f>
        <v>35.18</v>
      </c>
      <c r="K509" s="22"/>
    </row>
    <row r="510" spans="1:22" ht="15" x14ac:dyDescent="0.25">
      <c r="A510" s="26"/>
      <c r="B510" s="26"/>
      <c r="C510" s="26"/>
      <c r="D510" s="26"/>
      <c r="E510" s="26"/>
      <c r="F510" s="26"/>
      <c r="G510" s="26"/>
      <c r="H510" s="26"/>
      <c r="I510" s="61">
        <f>J507+J509</f>
        <v>111.21000000000001</v>
      </c>
      <c r="J510" s="61"/>
      <c r="K510" s="27">
        <f>IF(Source!I630&lt;&gt;0, ROUND(I510/Source!I630, 2), 0)</f>
        <v>172.42</v>
      </c>
      <c r="P510" s="24">
        <f>I510</f>
        <v>111.21000000000001</v>
      </c>
    </row>
    <row r="511" spans="1:22" ht="57" x14ac:dyDescent="0.2">
      <c r="A511" s="19">
        <v>46</v>
      </c>
      <c r="B511" s="19" t="str">
        <f>Source!F631</f>
        <v>1.49-9201-1-2/1</v>
      </c>
      <c r="C511" s="19" t="str">
        <f>Source!G631</f>
        <v>Перевозка строительного мусора автосамосвалами грузоподъемностью до 10 т на расстояние 1 км - при механизированной погрузке</v>
      </c>
      <c r="D511" s="20" t="str">
        <f>Source!H631</f>
        <v>т</v>
      </c>
      <c r="E511" s="9">
        <f>Source!I631</f>
        <v>0.64500000000000002</v>
      </c>
      <c r="F511" s="22"/>
      <c r="G511" s="21"/>
      <c r="H511" s="9"/>
      <c r="I511" s="9"/>
      <c r="J511" s="22"/>
      <c r="K511" s="22"/>
      <c r="Q511">
        <f>ROUND((Source!BZ631/100)*ROUND((Source!AF631*Source!AV631)*Source!I631, 2), 2)</f>
        <v>0</v>
      </c>
      <c r="R511">
        <f>Source!X631</f>
        <v>0</v>
      </c>
      <c r="S511">
        <f>ROUND((Source!CA631/100)*ROUND((Source!AF631*Source!AV631)*Source!I631, 2), 2)</f>
        <v>0</v>
      </c>
      <c r="T511">
        <f>Source!Y631</f>
        <v>0</v>
      </c>
      <c r="U511">
        <f>ROUND((175/100)*ROUND((Source!AE631*Source!AV631)*Source!I631, 2), 2)</f>
        <v>62.97</v>
      </c>
      <c r="V511">
        <f>ROUND((108/100)*ROUND(Source!CS631*Source!I631, 2), 2)</f>
        <v>38.86</v>
      </c>
    </row>
    <row r="512" spans="1:22" ht="14.25" x14ac:dyDescent="0.2">
      <c r="A512" s="19"/>
      <c r="B512" s="19"/>
      <c r="C512" s="19" t="s">
        <v>522</v>
      </c>
      <c r="D512" s="20"/>
      <c r="E512" s="9"/>
      <c r="F512" s="22">
        <f>Source!AM631</f>
        <v>91.5</v>
      </c>
      <c r="G512" s="21" t="str">
        <f>Source!DE631</f>
        <v/>
      </c>
      <c r="H512" s="9">
        <f>Source!AV631</f>
        <v>1</v>
      </c>
      <c r="I512" s="9">
        <f>IF(Source!BB631&lt;&gt; 0, Source!BB631, 1)</f>
        <v>1</v>
      </c>
      <c r="J512" s="22">
        <f>Source!Q631</f>
        <v>59.02</v>
      </c>
      <c r="K512" s="22"/>
    </row>
    <row r="513" spans="1:32" ht="14.25" x14ac:dyDescent="0.2">
      <c r="A513" s="19"/>
      <c r="B513" s="19"/>
      <c r="C513" s="19" t="s">
        <v>528</v>
      </c>
      <c r="D513" s="20"/>
      <c r="E513" s="9"/>
      <c r="F513" s="22">
        <f>Source!AN631</f>
        <v>55.79</v>
      </c>
      <c r="G513" s="21" t="str">
        <f>Source!DF631</f>
        <v/>
      </c>
      <c r="H513" s="9">
        <f>Source!AV631</f>
        <v>1</v>
      </c>
      <c r="I513" s="9">
        <f>IF(Source!BS631&lt;&gt; 0, Source!BS631, 1)</f>
        <v>1</v>
      </c>
      <c r="J513" s="28">
        <f>Source!R631</f>
        <v>35.979999999999997</v>
      </c>
      <c r="K513" s="22"/>
    </row>
    <row r="514" spans="1:32" ht="15" x14ac:dyDescent="0.25">
      <c r="A514" s="26"/>
      <c r="B514" s="26"/>
      <c r="C514" s="26"/>
      <c r="D514" s="26"/>
      <c r="E514" s="26"/>
      <c r="F514" s="26"/>
      <c r="G514" s="26"/>
      <c r="H514" s="26"/>
      <c r="I514" s="61">
        <f>J512</f>
        <v>59.02</v>
      </c>
      <c r="J514" s="61"/>
      <c r="K514" s="27">
        <f>IF(Source!I631&lt;&gt;0, ROUND(I514/Source!I631, 2), 0)</f>
        <v>91.5</v>
      </c>
      <c r="P514" s="24">
        <f>I514</f>
        <v>59.02</v>
      </c>
    </row>
    <row r="515" spans="1:32" ht="57" x14ac:dyDescent="0.2">
      <c r="A515" s="19">
        <v>47</v>
      </c>
      <c r="B515" s="19" t="str">
        <f>Source!F632</f>
        <v>1.49-9201-1-3/1</v>
      </c>
      <c r="C515" s="19" t="str">
        <f>Source!G632</f>
        <v>Перевозка строительного мусора автосамосвалами грузоподъемностью до 10 т - добавляется на каждый последующий 1 км до 100 км</v>
      </c>
      <c r="D515" s="20" t="str">
        <f>Source!H632</f>
        <v>т</v>
      </c>
      <c r="E515" s="9">
        <f>Source!I632</f>
        <v>0.64500000000000002</v>
      </c>
      <c r="F515" s="22"/>
      <c r="G515" s="21"/>
      <c r="H515" s="9"/>
      <c r="I515" s="9"/>
      <c r="J515" s="22"/>
      <c r="K515" s="22"/>
      <c r="Q515">
        <f>ROUND((Source!BZ632/100)*ROUND((Source!AF632*Source!AV632)*Source!I632, 2), 2)</f>
        <v>0</v>
      </c>
      <c r="R515">
        <f>Source!X632</f>
        <v>0</v>
      </c>
      <c r="S515">
        <f>ROUND((Source!CA632/100)*ROUND((Source!AF632*Source!AV632)*Source!I632, 2), 2)</f>
        <v>0</v>
      </c>
      <c r="T515">
        <f>Source!Y632</f>
        <v>0</v>
      </c>
      <c r="U515">
        <f>ROUND((175/100)*ROUND((Source!AE632*Source!AV632)*Source!I632, 2), 2)</f>
        <v>1431.97</v>
      </c>
      <c r="V515">
        <f>ROUND((108/100)*ROUND(Source!CS632*Source!I632, 2), 2)</f>
        <v>883.73</v>
      </c>
    </row>
    <row r="516" spans="1:32" ht="14.25" x14ac:dyDescent="0.2">
      <c r="A516" s="19"/>
      <c r="B516" s="19"/>
      <c r="C516" s="19" t="s">
        <v>522</v>
      </c>
      <c r="D516" s="20"/>
      <c r="E516" s="9"/>
      <c r="F516" s="22">
        <f>Source!AM632</f>
        <v>43.33</v>
      </c>
      <c r="G516" s="21" t="str">
        <f>Source!DE632</f>
        <v>*48</v>
      </c>
      <c r="H516" s="9">
        <f>Source!AV632</f>
        <v>1</v>
      </c>
      <c r="I516" s="9">
        <f>IF(Source!BB632&lt;&gt; 0, Source!BB632, 1)</f>
        <v>1</v>
      </c>
      <c r="J516" s="22">
        <f>Source!Q632</f>
        <v>1341.5</v>
      </c>
      <c r="K516" s="22"/>
    </row>
    <row r="517" spans="1:32" ht="14.25" x14ac:dyDescent="0.2">
      <c r="A517" s="19"/>
      <c r="B517" s="19"/>
      <c r="C517" s="19" t="s">
        <v>528</v>
      </c>
      <c r="D517" s="20"/>
      <c r="E517" s="9"/>
      <c r="F517" s="22">
        <f>Source!AN632</f>
        <v>26.43</v>
      </c>
      <c r="G517" s="21" t="str">
        <f>Source!DF632</f>
        <v>*48</v>
      </c>
      <c r="H517" s="9">
        <f>Source!AV632</f>
        <v>1</v>
      </c>
      <c r="I517" s="9">
        <f>IF(Source!BS632&lt;&gt; 0, Source!BS632, 1)</f>
        <v>1</v>
      </c>
      <c r="J517" s="28">
        <f>Source!R632</f>
        <v>818.27</v>
      </c>
      <c r="K517" s="22"/>
    </row>
    <row r="518" spans="1:32" ht="15" x14ac:dyDescent="0.25">
      <c r="A518" s="26"/>
      <c r="B518" s="26"/>
      <c r="C518" s="26"/>
      <c r="D518" s="26"/>
      <c r="E518" s="26"/>
      <c r="F518" s="26"/>
      <c r="G518" s="26"/>
      <c r="H518" s="26"/>
      <c r="I518" s="61">
        <f>J516</f>
        <v>1341.5</v>
      </c>
      <c r="J518" s="61"/>
      <c r="K518" s="27">
        <f>IF(Source!I632&lt;&gt;0, ROUND(I518/Source!I632, 2), 0)</f>
        <v>2079.84</v>
      </c>
      <c r="P518" s="24">
        <f>I518</f>
        <v>1341.5</v>
      </c>
    </row>
    <row r="520" spans="1:32" ht="15" x14ac:dyDescent="0.25">
      <c r="A520" s="65" t="str">
        <f>CONCATENATE("Итого по разделу: ",IF(Source!G634&lt;&gt;"Новый раздел", Source!G634, ""))</f>
        <v>Итого по разделу: Мусор</v>
      </c>
      <c r="B520" s="65"/>
      <c r="C520" s="65"/>
      <c r="D520" s="65"/>
      <c r="E520" s="65"/>
      <c r="F520" s="65"/>
      <c r="G520" s="65"/>
      <c r="H520" s="65"/>
      <c r="I520" s="63">
        <f>SUM(P505:P519)</f>
        <v>1511.73</v>
      </c>
      <c r="J520" s="64"/>
      <c r="K520" s="30"/>
    </row>
    <row r="523" spans="1:32" ht="15" x14ac:dyDescent="0.25">
      <c r="A523" s="65" t="str">
        <f>CONCATENATE("Итого по локальной смете: ",IF(Source!G664&lt;&gt;"Новая локальная смета", Source!G664, ""))</f>
        <v xml:space="preserve">Итого по локальной смете: </v>
      </c>
      <c r="B523" s="65"/>
      <c r="C523" s="65"/>
      <c r="D523" s="65"/>
      <c r="E523" s="65"/>
      <c r="F523" s="65"/>
      <c r="G523" s="65"/>
      <c r="H523" s="65"/>
      <c r="I523" s="63">
        <f>SUM(P32:P522)</f>
        <v>741009.02</v>
      </c>
      <c r="J523" s="64"/>
      <c r="K523" s="30"/>
    </row>
    <row r="526" spans="1:32" ht="15" x14ac:dyDescent="0.25">
      <c r="A526" s="65" t="str">
        <f>CONCATENATE("Итого по смете: ",IF(Source!G694&lt;&gt;"Новый объект", Source!G694, ""))</f>
        <v>Итого по смете: ГБОУ Школа №1440. Крылатские холмы д. 15к1 (в ценах на 01.04.2025 г)</v>
      </c>
      <c r="B526" s="65"/>
      <c r="C526" s="65"/>
      <c r="D526" s="65"/>
      <c r="E526" s="65"/>
      <c r="F526" s="65"/>
      <c r="G526" s="65"/>
      <c r="H526" s="65"/>
      <c r="I526" s="63">
        <f>SUM(P1:P525)</f>
        <v>741009.02</v>
      </c>
      <c r="J526" s="64"/>
      <c r="K526" s="30"/>
      <c r="AF526" s="31" t="str">
        <f>CONCATENATE("Итого по смете: ",IF(Source!G694&lt;&gt;"Новый объект", Source!G694, ""))</f>
        <v>Итого по смете: ГБОУ Школа №1440. Крылатские холмы д. 15к1 (в ценах на 01.04.2025 г)</v>
      </c>
    </row>
    <row r="527" spans="1:32" ht="14.25" x14ac:dyDescent="0.2">
      <c r="C527" s="48" t="str">
        <f>Source!H723</f>
        <v>НДС 20%</v>
      </c>
      <c r="D527" s="48"/>
      <c r="E527" s="48"/>
      <c r="F527" s="48"/>
      <c r="G527" s="48"/>
      <c r="H527" s="48"/>
      <c r="I527" s="56">
        <f>IF(Source!F723=0, "", Source!F723)</f>
        <v>148201.79999999999</v>
      </c>
      <c r="J527" s="56"/>
    </row>
    <row r="528" spans="1:32" ht="14.25" x14ac:dyDescent="0.2">
      <c r="C528" s="48" t="str">
        <f>Source!H724</f>
        <v>Итого с НДС</v>
      </c>
      <c r="D528" s="48"/>
      <c r="E528" s="48"/>
      <c r="F528" s="48"/>
      <c r="G528" s="48"/>
      <c r="H528" s="48"/>
      <c r="I528" s="56">
        <f>IF(Source!F724=0, "", Source!F724)</f>
        <v>889210.82</v>
      </c>
      <c r="J528" s="56"/>
    </row>
    <row r="529" spans="1:34" ht="42.75" x14ac:dyDescent="0.2">
      <c r="C529" s="48" t="str">
        <f>Source!H725</f>
        <v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v>
      </c>
      <c r="D529" s="48"/>
      <c r="E529" s="48"/>
      <c r="F529" s="48"/>
      <c r="G529" s="48"/>
      <c r="H529" s="48"/>
      <c r="I529" s="56" t="str">
        <f>IF(Source!F725=0, "", Source!F725)</f>
        <v/>
      </c>
      <c r="J529" s="56"/>
      <c r="AH529" s="32" t="s">
        <v>329</v>
      </c>
    </row>
    <row r="532" spans="1:34" ht="14.25" x14ac:dyDescent="0.2">
      <c r="A532" s="66" t="s">
        <v>547</v>
      </c>
      <c r="B532" s="66"/>
      <c r="C532" s="33" t="str">
        <f>IF(Source!AC12&lt;&gt;"", Source!AC12," ")</f>
        <v xml:space="preserve"> </v>
      </c>
      <c r="D532" s="33"/>
      <c r="E532" s="33"/>
      <c r="F532" s="33"/>
      <c r="G532" s="33"/>
      <c r="H532" s="10" t="str">
        <f>IF(Source!AB12&lt;&gt;"", Source!AB12," ")</f>
        <v xml:space="preserve"> </v>
      </c>
      <c r="I532" s="10"/>
      <c r="J532" s="10"/>
      <c r="K532" s="10"/>
    </row>
    <row r="533" spans="1:34" ht="14.25" x14ac:dyDescent="0.2">
      <c r="A533" s="10"/>
      <c r="B533" s="10"/>
      <c r="C533" s="67" t="s">
        <v>548</v>
      </c>
      <c r="D533" s="67"/>
      <c r="E533" s="67"/>
      <c r="F533" s="67"/>
      <c r="G533" s="67"/>
      <c r="H533" s="10"/>
      <c r="I533" s="10"/>
      <c r="J533" s="10"/>
      <c r="K533" s="10"/>
    </row>
    <row r="534" spans="1:34" ht="14.25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</row>
    <row r="535" spans="1:34" ht="14.25" x14ac:dyDescent="0.2">
      <c r="A535" s="66" t="s">
        <v>549</v>
      </c>
      <c r="B535" s="66"/>
      <c r="C535" s="33" t="str">
        <f>IF(Source!AE12&lt;&gt;"", Source!AE12," ")</f>
        <v xml:space="preserve"> </v>
      </c>
      <c r="D535" s="33"/>
      <c r="E535" s="33"/>
      <c r="F535" s="33"/>
      <c r="G535" s="33"/>
      <c r="H535" s="10" t="str">
        <f>IF(Source!AD12&lt;&gt;"", Source!AD12," ")</f>
        <v xml:space="preserve"> </v>
      </c>
      <c r="I535" s="10"/>
      <c r="J535" s="10"/>
      <c r="K535" s="10"/>
    </row>
    <row r="536" spans="1:34" ht="14.25" x14ac:dyDescent="0.2">
      <c r="A536" s="10"/>
      <c r="B536" s="10"/>
      <c r="C536" s="67" t="s">
        <v>548</v>
      </c>
      <c r="D536" s="67"/>
      <c r="E536" s="67"/>
      <c r="F536" s="67"/>
      <c r="G536" s="67"/>
      <c r="H536" s="10"/>
      <c r="I536" s="10"/>
      <c r="J536" s="10"/>
      <c r="K536" s="10"/>
    </row>
  </sheetData>
  <mergeCells count="147">
    <mergeCell ref="A535:B535"/>
    <mergeCell ref="C536:G536"/>
    <mergeCell ref="C528:H528"/>
    <mergeCell ref="I528:J528"/>
    <mergeCell ref="C529:H529"/>
    <mergeCell ref="I529:J529"/>
    <mergeCell ref="A532:B532"/>
    <mergeCell ref="C533:G533"/>
    <mergeCell ref="I523:J523"/>
    <mergeCell ref="A523:H523"/>
    <mergeCell ref="I526:J526"/>
    <mergeCell ref="A526:H526"/>
    <mergeCell ref="C527:H527"/>
    <mergeCell ref="I527:J527"/>
    <mergeCell ref="A505:K505"/>
    <mergeCell ref="I510:J510"/>
    <mergeCell ref="I514:J514"/>
    <mergeCell ref="I518:J518"/>
    <mergeCell ref="I520:J520"/>
    <mergeCell ref="A520:H520"/>
    <mergeCell ref="I484:J484"/>
    <mergeCell ref="A484:H484"/>
    <mergeCell ref="A487:K487"/>
    <mergeCell ref="I500:J500"/>
    <mergeCell ref="I502:J502"/>
    <mergeCell ref="A502:H502"/>
    <mergeCell ref="I466:J466"/>
    <mergeCell ref="A466:H466"/>
    <mergeCell ref="A469:K469"/>
    <mergeCell ref="I479:J479"/>
    <mergeCell ref="I481:J481"/>
    <mergeCell ref="A481:H481"/>
    <mergeCell ref="I441:J441"/>
    <mergeCell ref="I450:J450"/>
    <mergeCell ref="I452:J452"/>
    <mergeCell ref="A452:H452"/>
    <mergeCell ref="A455:K455"/>
    <mergeCell ref="I464:J464"/>
    <mergeCell ref="A389:K389"/>
    <mergeCell ref="I396:J396"/>
    <mergeCell ref="I403:J403"/>
    <mergeCell ref="I417:J417"/>
    <mergeCell ref="I426:J426"/>
    <mergeCell ref="I434:J434"/>
    <mergeCell ref="A352:K352"/>
    <mergeCell ref="I359:J359"/>
    <mergeCell ref="I366:J366"/>
    <mergeCell ref="I375:J375"/>
    <mergeCell ref="I384:J384"/>
    <mergeCell ref="I386:J386"/>
    <mergeCell ref="A386:H386"/>
    <mergeCell ref="I334:J334"/>
    <mergeCell ref="I336:J336"/>
    <mergeCell ref="A336:H336"/>
    <mergeCell ref="A339:K339"/>
    <mergeCell ref="I347:J347"/>
    <mergeCell ref="I349:J349"/>
    <mergeCell ref="A349:H349"/>
    <mergeCell ref="I298:J298"/>
    <mergeCell ref="I309:J309"/>
    <mergeCell ref="I320:J320"/>
    <mergeCell ref="I322:J322"/>
    <mergeCell ref="A322:H322"/>
    <mergeCell ref="A325:K325"/>
    <mergeCell ref="A245:K245"/>
    <mergeCell ref="I253:J253"/>
    <mergeCell ref="I260:J260"/>
    <mergeCell ref="I270:J270"/>
    <mergeCell ref="I280:J280"/>
    <mergeCell ref="I291:J291"/>
    <mergeCell ref="I235:J235"/>
    <mergeCell ref="I237:J237"/>
    <mergeCell ref="A237:H237"/>
    <mergeCell ref="I240:J240"/>
    <mergeCell ref="A240:H240"/>
    <mergeCell ref="A243:K243"/>
    <mergeCell ref="A208:H208"/>
    <mergeCell ref="A211:K211"/>
    <mergeCell ref="I220:J220"/>
    <mergeCell ref="I222:J222"/>
    <mergeCell ref="A222:H222"/>
    <mergeCell ref="A225:K225"/>
    <mergeCell ref="I173:J173"/>
    <mergeCell ref="I182:J182"/>
    <mergeCell ref="I190:J190"/>
    <mergeCell ref="I197:J197"/>
    <mergeCell ref="I206:J206"/>
    <mergeCell ref="I208:J208"/>
    <mergeCell ref="I140:J140"/>
    <mergeCell ref="I142:J142"/>
    <mergeCell ref="A142:H142"/>
    <mergeCell ref="A145:K145"/>
    <mergeCell ref="I152:J152"/>
    <mergeCell ref="I159:J159"/>
    <mergeCell ref="I112:J112"/>
    <mergeCell ref="I114:J114"/>
    <mergeCell ref="A114:H114"/>
    <mergeCell ref="A117:K117"/>
    <mergeCell ref="I124:J124"/>
    <mergeCell ref="I131:J131"/>
    <mergeCell ref="I52:J52"/>
    <mergeCell ref="I59:J59"/>
    <mergeCell ref="I70:J70"/>
    <mergeCell ref="I81:J81"/>
    <mergeCell ref="I91:J91"/>
    <mergeCell ref="I101:J101"/>
    <mergeCell ref="I27:I29"/>
    <mergeCell ref="J27:J29"/>
    <mergeCell ref="A32:K32"/>
    <mergeCell ref="A34:K34"/>
    <mergeCell ref="A36:K36"/>
    <mergeCell ref="I44:J44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Крылатские холмы д. 15к1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9"/>
  <sheetViews>
    <sheetView zoomScaleNormal="100" workbookViewId="0">
      <selection activeCell="E10" sqref="E10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495</v>
      </c>
    </row>
    <row r="4" spans="1:30" ht="15" x14ac:dyDescent="0.25">
      <c r="C4" s="25"/>
      <c r="D4" s="25"/>
    </row>
    <row r="5" spans="1:30" ht="15" x14ac:dyDescent="0.25">
      <c r="C5" s="82" t="s">
        <v>616</v>
      </c>
      <c r="D5" s="82"/>
      <c r="E5" s="82"/>
    </row>
    <row r="6" spans="1:30" ht="15" x14ac:dyDescent="0.25">
      <c r="C6" s="25"/>
      <c r="D6" s="25"/>
    </row>
    <row r="7" spans="1:30" ht="15" x14ac:dyDescent="0.25">
      <c r="C7" s="82" t="s">
        <v>617</v>
      </c>
      <c r="D7" s="82"/>
      <c r="E7" s="82"/>
    </row>
    <row r="8" spans="1:30" ht="15" x14ac:dyDescent="0.25">
      <c r="C8" s="25"/>
      <c r="D8" s="25"/>
    </row>
    <row r="9" spans="1:30" ht="15" x14ac:dyDescent="0.25">
      <c r="C9" s="25" t="s">
        <v>550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9" t="str">
        <f>CONCATENATE("Дефектный акт ", IF(Source!AN15&lt;&gt;"", Source!AN15," "))</f>
        <v xml:space="preserve">Дефектный акт  </v>
      </c>
      <c r="B11" s="69"/>
      <c r="C11" s="69"/>
      <c r="D11" s="69"/>
      <c r="E11" s="10"/>
    </row>
    <row r="12" spans="1:30" ht="15" x14ac:dyDescent="0.25">
      <c r="A12" s="70" t="str">
        <f>CONCATENATE("На капитальный ремонт ", Source!G12)</f>
        <v>На капитальный ремонт ГБОУ Школа №1440. Крылатские холмы д. 15к1 (в ценах на 01.04.2025 г)</v>
      </c>
      <c r="B12" s="70"/>
      <c r="C12" s="70"/>
      <c r="D12" s="70"/>
      <c r="E12" s="10"/>
      <c r="AD12" s="34" t="str">
        <f>CONCATENATE("На капитальный ремонт ", Source!G12)</f>
        <v>На капитальный ремонт ГБОУ Школа №1440. Крылатские холмы д. 15к1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5" t="s">
        <v>551</v>
      </c>
      <c r="C14" s="10"/>
      <c r="D14" s="10"/>
      <c r="E14" s="10"/>
    </row>
    <row r="15" spans="1:30" ht="15" x14ac:dyDescent="0.2">
      <c r="A15" s="10"/>
      <c r="B15" s="35" t="s">
        <v>552</v>
      </c>
      <c r="C15" s="10"/>
      <c r="D15" s="10"/>
      <c r="E15" s="10"/>
    </row>
    <row r="16" spans="1:30" ht="15" x14ac:dyDescent="0.2">
      <c r="A16" s="10"/>
      <c r="B16" s="35" t="s">
        <v>553</v>
      </c>
      <c r="C16" s="10"/>
      <c r="D16" s="10"/>
      <c r="E16" s="10"/>
    </row>
    <row r="17" spans="1:5" ht="28.5" x14ac:dyDescent="0.2">
      <c r="A17" s="18" t="s">
        <v>554</v>
      </c>
      <c r="B17" s="18" t="s">
        <v>509</v>
      </c>
      <c r="C17" s="18" t="s">
        <v>510</v>
      </c>
      <c r="D17" s="18" t="s">
        <v>555</v>
      </c>
      <c r="E17" s="16" t="s">
        <v>556</v>
      </c>
    </row>
    <row r="18" spans="1:5" ht="14.25" x14ac:dyDescent="0.2">
      <c r="A18" s="36">
        <v>1</v>
      </c>
      <c r="B18" s="36">
        <v>2</v>
      </c>
      <c r="C18" s="36">
        <v>3</v>
      </c>
      <c r="D18" s="36">
        <v>4</v>
      </c>
      <c r="E18" s="36">
        <v>5</v>
      </c>
    </row>
    <row r="19" spans="1:5" ht="16.5" x14ac:dyDescent="0.25">
      <c r="A19" s="68" t="str">
        <f>CONCATENATE("Локальная смета: ", Source!G20)</f>
        <v>Локальная смета: Новая локальная смета</v>
      </c>
      <c r="B19" s="68"/>
      <c r="C19" s="68"/>
      <c r="D19" s="68"/>
      <c r="E19" s="68"/>
    </row>
    <row r="20" spans="1:5" ht="16.5" x14ac:dyDescent="0.25">
      <c r="A20" s="68" t="str">
        <f>CONCATENATE("Раздел: ", Source!G24)</f>
        <v>Раздел: Второй этаж, кабинет № 216</v>
      </c>
      <c r="B20" s="68"/>
      <c r="C20" s="68"/>
      <c r="D20" s="68"/>
      <c r="E20" s="68"/>
    </row>
    <row r="21" spans="1:5" ht="16.5" x14ac:dyDescent="0.25">
      <c r="A21" s="68" t="str">
        <f>CONCATENATE("Подраздел: ", Source!G28)</f>
        <v>Подраздел: Полы</v>
      </c>
      <c r="B21" s="68"/>
      <c r="C21" s="68"/>
      <c r="D21" s="68"/>
      <c r="E21" s="68"/>
    </row>
    <row r="22" spans="1:5" ht="14.25" x14ac:dyDescent="0.2">
      <c r="A22" s="41">
        <v>1</v>
      </c>
      <c r="B22" s="42" t="str">
        <f>Source!G32</f>
        <v>Разборка (снятие) металлической накладной полосы (порожка)</v>
      </c>
      <c r="C22" s="43" t="str">
        <f>Source!H32</f>
        <v>100 м</v>
      </c>
      <c r="D22" s="44">
        <f>Source!I32</f>
        <v>8.9999999999999993E-3</v>
      </c>
      <c r="E22" s="42"/>
    </row>
    <row r="23" spans="1:5" ht="14.25" x14ac:dyDescent="0.2">
      <c r="A23" s="41">
        <v>2</v>
      </c>
      <c r="B23" s="42" t="str">
        <f>Source!G33</f>
        <v>Разборка плинтусов поливинилхлоридных с креплением шурупами</v>
      </c>
      <c r="C23" s="43" t="str">
        <f>Source!H33</f>
        <v>100 м</v>
      </c>
      <c r="D23" s="44">
        <f>Source!I33</f>
        <v>0.32350000000000001</v>
      </c>
      <c r="E23" s="42"/>
    </row>
    <row r="24" spans="1:5" ht="14.25" x14ac:dyDescent="0.2">
      <c r="A24" s="41">
        <v>3</v>
      </c>
      <c r="B24" s="42" t="str">
        <f>Source!G34</f>
        <v>Разборка покрытий из линолеума и релина</v>
      </c>
      <c r="C24" s="43" t="str">
        <f>Source!H34</f>
        <v>100 м2</v>
      </c>
      <c r="D24" s="44">
        <f>Source!I34</f>
        <v>0.56100000000000005</v>
      </c>
      <c r="E24" s="42"/>
    </row>
    <row r="25" spans="1:5" ht="28.5" x14ac:dyDescent="0.2">
      <c r="A25" s="41">
        <v>4</v>
      </c>
      <c r="B25" s="42" t="str">
        <f>Source!G35</f>
        <v>Устройство самовыравнивающихся стяжек из специализированных сухих смесей толщиной 5 мм</v>
      </c>
      <c r="C25" s="43" t="str">
        <f>Source!H35</f>
        <v>100 м2</v>
      </c>
      <c r="D25" s="44">
        <f>Source!I35</f>
        <v>0.56100000000000005</v>
      </c>
      <c r="E25" s="42"/>
    </row>
    <row r="26" spans="1:5" ht="28.5" x14ac:dyDescent="0.2">
      <c r="A26" s="41">
        <v>5</v>
      </c>
      <c r="B26" s="42" t="str">
        <f>Source!G36</f>
        <v>Устройство покрытий на клее из линолеума высокой износостойкости толщиной 2 мм, истираемостью группы Р со сваркой стыков</v>
      </c>
      <c r="C26" s="43" t="str">
        <f>Source!H36</f>
        <v>100 м2</v>
      </c>
      <c r="D26" s="44">
        <f>Source!I36</f>
        <v>0.56100000000000005</v>
      </c>
      <c r="E26" s="42"/>
    </row>
    <row r="27" spans="1:5" ht="14.25" x14ac:dyDescent="0.2">
      <c r="A27" s="41">
        <v>6</v>
      </c>
      <c r="B27" s="42" t="str">
        <f>Source!G37</f>
        <v>Устройство плинтусов неокрашенных из древесины хвойных пород</v>
      </c>
      <c r="C27" s="43" t="str">
        <f>Source!H37</f>
        <v>100 м</v>
      </c>
      <c r="D27" s="44">
        <f>Source!I37</f>
        <v>0.33</v>
      </c>
      <c r="E27" s="42"/>
    </row>
    <row r="28" spans="1:5" ht="28.5" x14ac:dyDescent="0.2">
      <c r="A28" s="41">
        <v>6.1</v>
      </c>
      <c r="B28" s="42" t="str">
        <f>Source!G38</f>
        <v>Плинтус деревянный сращенный ПКС-50 13x50x2200 мм хвоя Экстра (или эквивалент)</v>
      </c>
      <c r="C28" s="43" t="str">
        <f>Source!H38</f>
        <v>м</v>
      </c>
      <c r="D28" s="44">
        <f>Source!I38</f>
        <v>34.65</v>
      </c>
      <c r="E28" s="42"/>
    </row>
    <row r="29" spans="1:5" ht="14.25" x14ac:dyDescent="0.2">
      <c r="A29" s="41">
        <v>6.2</v>
      </c>
      <c r="B29" s="42" t="str">
        <f>Source!G39</f>
        <v>Плинтуса хвойных пород, неокрашенные, сечение 16х36 мм</v>
      </c>
      <c r="C29" s="43" t="str">
        <f>Source!H39</f>
        <v>м</v>
      </c>
      <c r="D29" s="44">
        <f>Source!I39</f>
        <v>-34.65</v>
      </c>
      <c r="E29" s="42"/>
    </row>
    <row r="30" spans="1:5" ht="28.5" x14ac:dyDescent="0.2">
      <c r="A30" s="41">
        <v>7</v>
      </c>
      <c r="B30" s="42" t="str">
        <f>Source!G40</f>
        <v>Покрытие полов лаком по огрунтованной или окрашенной поверхности за 2 раза (покрытие плинтуса морилкой)</v>
      </c>
      <c r="C30" s="43" t="str">
        <f>Source!H40</f>
        <v>100 м2</v>
      </c>
      <c r="D30" s="44">
        <f>Source!I40</f>
        <v>1.6E-2</v>
      </c>
      <c r="E30" s="42"/>
    </row>
    <row r="31" spans="1:5" ht="14.25" x14ac:dyDescent="0.2">
      <c r="A31" s="41">
        <v>7.1</v>
      </c>
      <c r="B31" s="42" t="str">
        <f>Source!G41</f>
        <v>Морилка натуральная (в 2 слоя)</v>
      </c>
      <c r="C31" s="43" t="str">
        <f>Source!H41</f>
        <v>кг</v>
      </c>
      <c r="D31" s="44">
        <f>Source!I41</f>
        <v>0.4</v>
      </c>
      <c r="E31" s="42"/>
    </row>
    <row r="32" spans="1:5" ht="14.25" x14ac:dyDescent="0.2">
      <c r="A32" s="41">
        <v>7.2</v>
      </c>
      <c r="B32" s="42" t="str">
        <f>Source!G42</f>
        <v>Лак мочевидный для паркетных полов</v>
      </c>
      <c r="C32" s="43" t="str">
        <f>Source!H42</f>
        <v>т</v>
      </c>
      <c r="D32" s="44">
        <f>Source!I42</f>
        <v>-3.3300000000000002E-4</v>
      </c>
      <c r="E32" s="42"/>
    </row>
    <row r="33" spans="1:5" ht="14.25" x14ac:dyDescent="0.2">
      <c r="A33" s="41">
        <v>8</v>
      </c>
      <c r="B33" s="42" t="str">
        <f>Source!G43</f>
        <v>Укладка металлической накладной полосы (порожка)</v>
      </c>
      <c r="C33" s="43" t="str">
        <f>Source!H43</f>
        <v>100 м</v>
      </c>
      <c r="D33" s="44">
        <f>Source!I43</f>
        <v>8.9999999999999993E-3</v>
      </c>
      <c r="E33" s="42"/>
    </row>
    <row r="34" spans="1:5" ht="16.5" x14ac:dyDescent="0.25">
      <c r="A34" s="68" t="str">
        <f>CONCATENATE("Подраздел: ", Source!G75)</f>
        <v>Подраздел: Стены</v>
      </c>
      <c r="B34" s="68"/>
      <c r="C34" s="68"/>
      <c r="D34" s="68"/>
      <c r="E34" s="68"/>
    </row>
    <row r="35" spans="1:5" ht="14.25" x14ac:dyDescent="0.2">
      <c r="A35" s="41">
        <v>9</v>
      </c>
      <c r="B35" s="42" t="str">
        <f>Source!G79</f>
        <v>Разборка облицовочных декоративных деревянных панелей</v>
      </c>
      <c r="C35" s="43" t="str">
        <f>Source!H79</f>
        <v>м2</v>
      </c>
      <c r="D35" s="44">
        <f>Source!I79</f>
        <v>12</v>
      </c>
      <c r="E35" s="42"/>
    </row>
    <row r="36" spans="1:5" ht="14.25" x14ac:dyDescent="0.2">
      <c r="A36" s="41">
        <v>10</v>
      </c>
      <c r="B36" s="42" t="str">
        <f>Source!G80</f>
        <v>Снятие обоев высококачественных и стеклообоев</v>
      </c>
      <c r="C36" s="43" t="str">
        <f>Source!H80</f>
        <v>100 м2</v>
      </c>
      <c r="D36" s="44">
        <f>Source!I80</f>
        <v>0.749</v>
      </c>
      <c r="E36" s="42"/>
    </row>
    <row r="37" spans="1:5" ht="42.75" x14ac:dyDescent="0.2">
      <c r="A37" s="41">
        <v>11</v>
      </c>
      <c r="B37" s="42" t="str">
        <f>Source!G82</f>
        <v>Улучшенная окраска стен внутри помещений водно-дисперсионными акриловыми красками - краска моющаяся типа ВД-АК-210 (с предварительным обеспылеванием поверхности)</v>
      </c>
      <c r="C37" s="43" t="str">
        <f>Source!H82</f>
        <v>100 м2</v>
      </c>
      <c r="D37" s="44">
        <f>Source!I82</f>
        <v>0.749</v>
      </c>
      <c r="E37" s="42"/>
    </row>
    <row r="38" spans="1:5" ht="14.25" x14ac:dyDescent="0.2">
      <c r="A38" s="41">
        <v>11.1</v>
      </c>
      <c r="B38" s="42" t="str">
        <f>Source!G83</f>
        <v>Пигменты сухие для красок, охра золотистая (цвет по согласованию)</v>
      </c>
      <c r="C38" s="43" t="str">
        <f>Source!H83</f>
        <v>т</v>
      </c>
      <c r="D38" s="44">
        <f>Source!I83</f>
        <v>1.273E-3</v>
      </c>
      <c r="E38" s="42"/>
    </row>
    <row r="39" spans="1:5" ht="16.5" x14ac:dyDescent="0.25">
      <c r="A39" s="68" t="str">
        <f>CONCATENATE("Подраздел: ", Source!G115)</f>
        <v>Подраздел: Инженерные сети</v>
      </c>
      <c r="B39" s="68"/>
      <c r="C39" s="68"/>
      <c r="D39" s="68"/>
      <c r="E39" s="68"/>
    </row>
    <row r="40" spans="1:5" ht="14.25" x14ac:dyDescent="0.2">
      <c r="A40" s="41">
        <v>12</v>
      </c>
      <c r="B40" s="42" t="str">
        <f>Source!G119</f>
        <v>Демонтаж санитарно-технических приборов умывальников или раковин</v>
      </c>
      <c r="C40" s="43" t="str">
        <f>Source!H119</f>
        <v>100 компл.</v>
      </c>
      <c r="D40" s="44">
        <f>Source!I119</f>
        <v>0.01</v>
      </c>
      <c r="E40" s="42"/>
    </row>
    <row r="41" spans="1:5" ht="28.5" x14ac:dyDescent="0.2">
      <c r="A41" s="41">
        <v>13</v>
      </c>
      <c r="B41" s="42" t="str">
        <f>Source!G120</f>
        <v>Демонтаж Установка штучных изделий столов, шкафов под мойки, холодильных шкафов и др. (без стоимости изделий)</v>
      </c>
      <c r="C41" s="43" t="str">
        <f>Source!H120</f>
        <v>100 шт.</v>
      </c>
      <c r="D41" s="44">
        <f>Source!I120</f>
        <v>0.01</v>
      </c>
      <c r="E41" s="42"/>
    </row>
    <row r="42" spans="1:5" ht="42.75" x14ac:dyDescent="0.2">
      <c r="A42" s="41">
        <v>14</v>
      </c>
      <c r="B42" s="42" t="str">
        <f>Source!G121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C42" s="43" t="str">
        <f>Source!H121</f>
        <v>компл.</v>
      </c>
      <c r="D42" s="44">
        <f>Source!I121</f>
        <v>1</v>
      </c>
      <c r="E42" s="42"/>
    </row>
    <row r="43" spans="1:5" ht="28.5" x14ac:dyDescent="0.2">
      <c r="A43" s="41">
        <v>14.1</v>
      </c>
      <c r="B43" s="42" t="str">
        <f>Source!G122</f>
        <v>Смесители для умывальников и моек двухрукояточные центральные набортные, излив с аэратором тип См-УмДЦБА</v>
      </c>
      <c r="C43" s="43" t="str">
        <f>Source!H122</f>
        <v>шт.</v>
      </c>
      <c r="D43" s="44">
        <f>Source!I122</f>
        <v>1</v>
      </c>
      <c r="E43" s="42"/>
    </row>
    <row r="44" spans="1:5" ht="14.25" x14ac:dyDescent="0.2">
      <c r="A44" s="41">
        <v>14.2</v>
      </c>
      <c r="B44" s="42" t="str">
        <f>Source!G123</f>
        <v>Сантехническая манжета для канализации MPF 50x25 (или эквивалент)</v>
      </c>
      <c r="C44" s="43" t="str">
        <f>Source!H123</f>
        <v>шт.</v>
      </c>
      <c r="D44" s="44">
        <f>Source!I123</f>
        <v>1</v>
      </c>
      <c r="E44" s="42"/>
    </row>
    <row r="45" spans="1:5" ht="28.5" x14ac:dyDescent="0.2">
      <c r="A45" s="41">
        <v>14.3</v>
      </c>
      <c r="B45" s="42" t="str">
        <f>Source!G124</f>
        <v>Смесители для умывальников и моек двухрукояточные центральные набортные, излив с аэратором тип См-УмДЦБА</v>
      </c>
      <c r="C45" s="43" t="str">
        <f>Source!H124</f>
        <v>шт.</v>
      </c>
      <c r="D45" s="44">
        <f>Source!I124</f>
        <v>-1</v>
      </c>
      <c r="E45" s="42"/>
    </row>
    <row r="46" spans="1:5" ht="28.5" x14ac:dyDescent="0.2">
      <c r="A46" s="41">
        <v>14.4</v>
      </c>
      <c r="B46" s="42" t="str">
        <f>Source!G125</f>
        <v>Умывальники керамические полукруглые второй величины с переливом 1 отверстие</v>
      </c>
      <c r="C46" s="43" t="str">
        <f>Source!H125</f>
        <v>шт.</v>
      </c>
      <c r="D46" s="44">
        <f>Source!I125</f>
        <v>-1</v>
      </c>
      <c r="E46" s="42"/>
    </row>
    <row r="47" spans="1:5" ht="28.5" x14ac:dyDescent="0.2">
      <c r="A47" s="41">
        <v>15</v>
      </c>
      <c r="B47" s="42" t="str">
        <f>Source!G126</f>
        <v>Установка штучных изделий столов, шкафов под мойки, холодильных шкафов и др. (без стоимости изделий)</v>
      </c>
      <c r="C47" s="43" t="str">
        <f>Source!H126</f>
        <v>100 шт.</v>
      </c>
      <c r="D47" s="44">
        <f>Source!I126</f>
        <v>0.01</v>
      </c>
      <c r="E47" s="42"/>
    </row>
    <row r="48" spans="1:5" ht="28.5" x14ac:dyDescent="0.2">
      <c r="A48" s="41">
        <v>15.1</v>
      </c>
      <c r="B48" s="42" t="str">
        <f>Source!G127</f>
        <v>Тумба под раковину напольная SanStar Квадро 50см с раковиной цвет белый (или эквивалент)</v>
      </c>
      <c r="C48" s="43" t="str">
        <f>Source!H127</f>
        <v>шт.</v>
      </c>
      <c r="D48" s="44">
        <f>Source!I127</f>
        <v>1</v>
      </c>
      <c r="E48" s="42"/>
    </row>
    <row r="49" spans="1:5" ht="28.5" x14ac:dyDescent="0.2">
      <c r="A49" s="41">
        <v>16</v>
      </c>
      <c r="B49" s="42" t="str">
        <f>Source!G128</f>
        <v>Монтаж гибких подводок к водогазоразборной арматуре / подводки с двумя латунными накидными гайками длиной 500 мм</v>
      </c>
      <c r="C49" s="43" t="str">
        <f>Source!H128</f>
        <v>100 м</v>
      </c>
      <c r="D49" s="44">
        <f>Source!I128</f>
        <v>0.01</v>
      </c>
      <c r="E49" s="42"/>
    </row>
    <row r="50" spans="1:5" ht="14.25" x14ac:dyDescent="0.2">
      <c r="A50" s="41">
        <v>17</v>
      </c>
      <c r="B50" s="42" t="str">
        <f>Source!G129</f>
        <v>Демонтаж муфтовой арматуры диаметром 20 мм</v>
      </c>
      <c r="C50" s="43" t="str">
        <f>Source!H129</f>
        <v>10 шт.</v>
      </c>
      <c r="D50" s="44">
        <f>Source!I129</f>
        <v>0.2</v>
      </c>
      <c r="E50" s="42"/>
    </row>
    <row r="51" spans="1:5" ht="14.25" x14ac:dyDescent="0.2">
      <c r="A51" s="41">
        <v>18</v>
      </c>
      <c r="B51" s="42" t="str">
        <f>Source!G130</f>
        <v>Установка муфтовой арматуры диаметром 20 мм</v>
      </c>
      <c r="C51" s="43" t="str">
        <f>Source!H130</f>
        <v>10 шт.</v>
      </c>
      <c r="D51" s="44">
        <f>Source!I130</f>
        <v>0.2</v>
      </c>
      <c r="E51" s="42"/>
    </row>
    <row r="52" spans="1:5" ht="28.5" x14ac:dyDescent="0.2">
      <c r="A52" s="41">
        <v>18.100000000000001</v>
      </c>
      <c r="B52" s="42" t="str">
        <f>Source!G131</f>
        <v>Краны латунные шаровые муфтовые проходные, марка 11б27п, диаметр 20 мм</v>
      </c>
      <c r="C52" s="43" t="str">
        <f>Source!H131</f>
        <v>шт.</v>
      </c>
      <c r="D52" s="44">
        <f>Source!I131</f>
        <v>2</v>
      </c>
      <c r="E52" s="42"/>
    </row>
    <row r="53" spans="1:5" ht="16.5" x14ac:dyDescent="0.25">
      <c r="A53" s="68" t="str">
        <f>CONCATENATE("Подраздел: ", Source!G163)</f>
        <v>Подраздел: Электрика</v>
      </c>
      <c r="B53" s="68"/>
      <c r="C53" s="68"/>
      <c r="D53" s="68"/>
      <c r="E53" s="68"/>
    </row>
    <row r="54" spans="1:5" ht="28.5" x14ac:dyDescent="0.2">
      <c r="A54" s="41">
        <v>19</v>
      </c>
      <c r="B54" s="42" t="str">
        <f>Source!G167</f>
        <v>Замена электроустановочных изделий, открытая проводка, выключатель, розетка (без стоимости материалов)</v>
      </c>
      <c r="C54" s="43" t="str">
        <f>Source!H167</f>
        <v>100 шт.</v>
      </c>
      <c r="D54" s="44">
        <f>Source!I167</f>
        <v>0.04</v>
      </c>
      <c r="E54" s="42"/>
    </row>
    <row r="55" spans="1:5" ht="14.25" x14ac:dyDescent="0.2">
      <c r="A55" s="41">
        <v>19.100000000000001</v>
      </c>
      <c r="B55" s="42" t="str">
        <f>Source!G168</f>
        <v>Розетка 2х2P+E Schuko со шторками, 16A-250В, IP20 (или эквивалент)</v>
      </c>
      <c r="C55" s="43" t="str">
        <f>Source!H168</f>
        <v>шт.</v>
      </c>
      <c r="D55" s="44">
        <f>Source!I168</f>
        <v>2</v>
      </c>
      <c r="E55" s="42"/>
    </row>
    <row r="56" spans="1:5" ht="28.5" x14ac:dyDescent="0.2">
      <c r="A56" s="41">
        <v>19.2</v>
      </c>
      <c r="B56" s="42" t="str">
        <f>Source!G169</f>
        <v>Выключатели, серия "Прима", напряжение 250 В, сила тока 6 А, тип: А16-051, одноклавишный, открытой установки</v>
      </c>
      <c r="C56" s="43" t="str">
        <f>Source!H169</f>
        <v>шт.</v>
      </c>
      <c r="D56" s="44">
        <f>Source!I169</f>
        <v>2</v>
      </c>
      <c r="E56" s="42"/>
    </row>
    <row r="57" spans="1:5" ht="16.5" x14ac:dyDescent="0.25">
      <c r="A57" s="68" t="str">
        <f>CONCATENATE("Подраздел: ", Source!G201)</f>
        <v>Подраздел: Прочее</v>
      </c>
      <c r="B57" s="68"/>
      <c r="C57" s="68"/>
      <c r="D57" s="68"/>
      <c r="E57" s="68"/>
    </row>
    <row r="58" spans="1:5" ht="28.5" x14ac:dyDescent="0.2">
      <c r="A58" s="41">
        <v>20</v>
      </c>
      <c r="B58" s="42" t="str">
        <f>Source!G205</f>
        <v>Смена вентиляционных решеток стальных штампованных, тип РШ, размеры 200х200 мм</v>
      </c>
      <c r="C58" s="43" t="str">
        <f>Source!H205</f>
        <v>100 шт.</v>
      </c>
      <c r="D58" s="44">
        <f>Source!I205</f>
        <v>0.03</v>
      </c>
      <c r="E58" s="42"/>
    </row>
    <row r="59" spans="1:5" ht="28.5" x14ac:dyDescent="0.2">
      <c r="A59" s="41">
        <v>20.100000000000001</v>
      </c>
      <c r="B59" s="42" t="str">
        <f>Source!G206</f>
        <v>Решетки вентиляционные, жалюзийные, регулируемые, стальные, марка РС-Г, размер 425х225 мм (300х400 мм)</v>
      </c>
      <c r="C59" s="43" t="str">
        <f>Source!H206</f>
        <v>шт.</v>
      </c>
      <c r="D59" s="44">
        <f>Source!I206</f>
        <v>3</v>
      </c>
      <c r="E59" s="42"/>
    </row>
    <row r="60" spans="1:5" ht="28.5" x14ac:dyDescent="0.2">
      <c r="A60" s="41">
        <v>20.2</v>
      </c>
      <c r="B60" s="42" t="str">
        <f>Source!G207</f>
        <v>Решетки вентиляционные стальные штампованные, тип РШ, размеры 200х200 мм</v>
      </c>
      <c r="C60" s="43" t="str">
        <f>Source!H207</f>
        <v>шт.</v>
      </c>
      <c r="D60" s="44">
        <f>Source!I207</f>
        <v>-3</v>
      </c>
      <c r="E60" s="42"/>
    </row>
    <row r="61" spans="1:5" ht="16.5" x14ac:dyDescent="0.25">
      <c r="A61" s="68" t="str">
        <f>CONCATENATE("Раздел: ", Source!G269)</f>
        <v>Раздел: Второй этаж, кабинет № 311</v>
      </c>
      <c r="B61" s="68"/>
      <c r="C61" s="68"/>
      <c r="D61" s="68"/>
      <c r="E61" s="68"/>
    </row>
    <row r="62" spans="1:5" ht="16.5" x14ac:dyDescent="0.25">
      <c r="A62" s="68" t="str">
        <f>CONCATENATE("Подраздел: ", Source!G273)</f>
        <v>Подраздел: Полы</v>
      </c>
      <c r="B62" s="68"/>
      <c r="C62" s="68"/>
      <c r="D62" s="68"/>
      <c r="E62" s="68"/>
    </row>
    <row r="63" spans="1:5" ht="14.25" x14ac:dyDescent="0.2">
      <c r="A63" s="41">
        <v>21</v>
      </c>
      <c r="B63" s="42" t="str">
        <f>Source!G277</f>
        <v>Разборка (снятие) металлической накладной полосы (порожка)</v>
      </c>
      <c r="C63" s="43" t="str">
        <f>Source!H277</f>
        <v>100 м</v>
      </c>
      <c r="D63" s="44">
        <f>Source!I277</f>
        <v>8.9999999999999993E-3</v>
      </c>
      <c r="E63" s="42"/>
    </row>
    <row r="64" spans="1:5" ht="14.25" x14ac:dyDescent="0.2">
      <c r="A64" s="41">
        <v>22</v>
      </c>
      <c r="B64" s="42" t="str">
        <f>Source!G278</f>
        <v>Разборка деревянных плинтусов</v>
      </c>
      <c r="C64" s="43" t="str">
        <f>Source!H278</f>
        <v>100 м</v>
      </c>
      <c r="D64" s="44">
        <f>Source!I278</f>
        <v>0.3095</v>
      </c>
      <c r="E64" s="42"/>
    </row>
    <row r="65" spans="1:5" ht="14.25" x14ac:dyDescent="0.2">
      <c r="A65" s="41">
        <v>23</v>
      </c>
      <c r="B65" s="42" t="str">
        <f>Source!G279</f>
        <v>Устройство плинтусов неокрашенных из древесины хвойных пород</v>
      </c>
      <c r="C65" s="43" t="str">
        <f>Source!H279</f>
        <v>100 м</v>
      </c>
      <c r="D65" s="44">
        <f>Source!I279</f>
        <v>0.315</v>
      </c>
      <c r="E65" s="42"/>
    </row>
    <row r="66" spans="1:5" ht="28.5" x14ac:dyDescent="0.2">
      <c r="A66" s="41">
        <v>23.1</v>
      </c>
      <c r="B66" s="42" t="str">
        <f>Source!G280</f>
        <v>Плинтус деревянный сращенный ПКС-50 13x50x2200 мм хвоя Экстра (или эквивалент)</v>
      </c>
      <c r="C66" s="43" t="str">
        <f>Source!H280</f>
        <v>м</v>
      </c>
      <c r="D66" s="44">
        <f>Source!I280</f>
        <v>33.075000000000003</v>
      </c>
      <c r="E66" s="42"/>
    </row>
    <row r="67" spans="1:5" ht="14.25" x14ac:dyDescent="0.2">
      <c r="A67" s="41">
        <v>23.2</v>
      </c>
      <c r="B67" s="42" t="str">
        <f>Source!G281</f>
        <v>Плинтуса хвойных пород, неокрашенные, сечение 16х36 мм</v>
      </c>
      <c r="C67" s="43" t="str">
        <f>Source!H281</f>
        <v>м</v>
      </c>
      <c r="D67" s="44">
        <f>Source!I281</f>
        <v>-33.075000000000003</v>
      </c>
      <c r="E67" s="42"/>
    </row>
    <row r="68" spans="1:5" ht="28.5" x14ac:dyDescent="0.2">
      <c r="A68" s="41">
        <v>24</v>
      </c>
      <c r="B68" s="42" t="str">
        <f>Source!G282</f>
        <v>Покрытие полов лаком по огрунтованной или окрашенной поверхности за 2 раза (покрытие плинтуса морилкой)</v>
      </c>
      <c r="C68" s="43" t="str">
        <f>Source!H282</f>
        <v>100 м2</v>
      </c>
      <c r="D68" s="44">
        <f>Source!I282</f>
        <v>1.5800000000000002E-2</v>
      </c>
      <c r="E68" s="42"/>
    </row>
    <row r="69" spans="1:5" ht="14.25" x14ac:dyDescent="0.2">
      <c r="A69" s="41">
        <v>24.1</v>
      </c>
      <c r="B69" s="42" t="str">
        <f>Source!G283</f>
        <v>Морилка натуральная (в 2 слоя)</v>
      </c>
      <c r="C69" s="43" t="str">
        <f>Source!H283</f>
        <v>кг</v>
      </c>
      <c r="D69" s="44">
        <f>Source!I283</f>
        <v>0.39500000000000002</v>
      </c>
      <c r="E69" s="42"/>
    </row>
    <row r="70" spans="1:5" ht="14.25" x14ac:dyDescent="0.2">
      <c r="A70" s="41">
        <v>24.2</v>
      </c>
      <c r="B70" s="42" t="str">
        <f>Source!G284</f>
        <v>Лак мочевидный для паркетных полов</v>
      </c>
      <c r="C70" s="43" t="str">
        <f>Source!H284</f>
        <v>т</v>
      </c>
      <c r="D70" s="44">
        <f>Source!I284</f>
        <v>-3.2899999999999997E-4</v>
      </c>
      <c r="E70" s="42"/>
    </row>
    <row r="71" spans="1:5" ht="14.25" x14ac:dyDescent="0.2">
      <c r="A71" s="41">
        <v>25</v>
      </c>
      <c r="B71" s="42" t="str">
        <f>Source!G285</f>
        <v>Укладка металлической накладной полосы (порожка)</v>
      </c>
      <c r="C71" s="43" t="str">
        <f>Source!H285</f>
        <v>100 м</v>
      </c>
      <c r="D71" s="44">
        <f>Source!I285</f>
        <v>8.9999999999999993E-3</v>
      </c>
      <c r="E71" s="42"/>
    </row>
    <row r="72" spans="1:5" ht="14.25" x14ac:dyDescent="0.2">
      <c r="A72" s="41">
        <v>26</v>
      </c>
      <c r="B72" s="42" t="str">
        <f>Source!G286</f>
        <v>Разборка покрытий из линолеума и релина</v>
      </c>
      <c r="C72" s="43" t="str">
        <f>Source!H286</f>
        <v>100 м2</v>
      </c>
      <c r="D72" s="44">
        <f>Source!I286</f>
        <v>0.54100000000000004</v>
      </c>
      <c r="E72" s="42"/>
    </row>
    <row r="73" spans="1:5" ht="28.5" x14ac:dyDescent="0.2">
      <c r="A73" s="41">
        <v>27</v>
      </c>
      <c r="B73" s="42" t="str">
        <f>Source!G287</f>
        <v>Устройство самовыравнивающихся стяжек из специализированных сухих смесей толщиной 5 мм</v>
      </c>
      <c r="C73" s="43" t="str">
        <f>Source!H287</f>
        <v>100 м2</v>
      </c>
      <c r="D73" s="44">
        <f>Source!I287</f>
        <v>0.54100000000000004</v>
      </c>
      <c r="E73" s="42"/>
    </row>
    <row r="74" spans="1:5" ht="28.5" x14ac:dyDescent="0.2">
      <c r="A74" s="41">
        <v>28</v>
      </c>
      <c r="B74" s="42" t="str">
        <f>Source!G288</f>
        <v>Устройство покрытий на клее из линолеума высокой износостойкости толщиной 2 мм, истираемостью группы Р со сваркой стыков</v>
      </c>
      <c r="C74" s="43" t="str">
        <f>Source!H288</f>
        <v>100 м2</v>
      </c>
      <c r="D74" s="44">
        <f>Source!I288</f>
        <v>0.54100000000000004</v>
      </c>
      <c r="E74" s="42"/>
    </row>
    <row r="75" spans="1:5" ht="16.5" x14ac:dyDescent="0.25">
      <c r="A75" s="68" t="str">
        <f>CONCATENATE("Подраздел: ", Source!G320)</f>
        <v>Подраздел: Стены</v>
      </c>
      <c r="B75" s="68"/>
      <c r="C75" s="68"/>
      <c r="D75" s="68"/>
      <c r="E75" s="68"/>
    </row>
    <row r="76" spans="1:5" ht="42.75" x14ac:dyDescent="0.2">
      <c r="A76" s="41">
        <v>29</v>
      </c>
      <c r="B76" s="42" t="str">
        <f>Source!G324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C76" s="43" t="str">
        <f>Source!H324</f>
        <v>100 м2</v>
      </c>
      <c r="D76" s="44">
        <f>Source!I324</f>
        <v>0.77800000000000002</v>
      </c>
      <c r="E76" s="42"/>
    </row>
    <row r="77" spans="1:5" ht="14.25" x14ac:dyDescent="0.2">
      <c r="A77" s="41">
        <v>29.1</v>
      </c>
      <c r="B77" s="42" t="str">
        <f>Source!G325</f>
        <v>Пигменты сухие для красок, охра золотистая (цвет по согласованию)</v>
      </c>
      <c r="C77" s="43" t="str">
        <f>Source!H325</f>
        <v>т</v>
      </c>
      <c r="D77" s="44">
        <f>Source!I325</f>
        <v>1.323E-3</v>
      </c>
      <c r="E77" s="42"/>
    </row>
    <row r="78" spans="1:5" ht="16.5" x14ac:dyDescent="0.25">
      <c r="A78" s="68" t="str">
        <f>CONCATENATE("Подраздел: ", Source!G357)</f>
        <v>Подраздел: Потолок</v>
      </c>
      <c r="B78" s="68"/>
      <c r="C78" s="68"/>
      <c r="D78" s="68"/>
      <c r="E78" s="68"/>
    </row>
    <row r="79" spans="1:5" ht="42.75" x14ac:dyDescent="0.2">
      <c r="A79" s="41">
        <v>30</v>
      </c>
      <c r="B79" s="42" t="str">
        <f>Source!G361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C79" s="43" t="str">
        <f>Source!H361</f>
        <v>100 м2</v>
      </c>
      <c r="D79" s="44">
        <f>Source!I361</f>
        <v>0.54700000000000004</v>
      </c>
      <c r="E79" s="42"/>
    </row>
    <row r="80" spans="1:5" ht="16.5" x14ac:dyDescent="0.25">
      <c r="A80" s="68" t="str">
        <f>CONCATENATE("Подраздел: ", Source!G393)</f>
        <v>Подраздел: Окна</v>
      </c>
      <c r="B80" s="68"/>
      <c r="C80" s="68"/>
      <c r="D80" s="68"/>
      <c r="E80" s="68"/>
    </row>
    <row r="81" spans="1:5" ht="14.25" x14ac:dyDescent="0.2">
      <c r="A81" s="41">
        <v>31</v>
      </c>
      <c r="B81" s="42" t="str">
        <f>Source!G397</f>
        <v>Демонтаж Обрамление углов стен, откосов уголком ПВХ - вертикальные</v>
      </c>
      <c r="C81" s="43" t="str">
        <f>Source!H397</f>
        <v>100 м</v>
      </c>
      <c r="D81" s="44">
        <f>Source!I397</f>
        <v>0.123</v>
      </c>
      <c r="E81" s="42"/>
    </row>
    <row r="82" spans="1:5" ht="28.5" x14ac:dyDescent="0.2">
      <c r="A82" s="41">
        <v>32</v>
      </c>
      <c r="B82" s="42" t="str">
        <f>Source!G398</f>
        <v>Демонтаж Обрамление углов стен, откосов уголком ПВХ - горизонтальные</v>
      </c>
      <c r="C82" s="43" t="str">
        <f>Source!H398</f>
        <v>100 м</v>
      </c>
      <c r="D82" s="44">
        <f>Source!I398</f>
        <v>7.1999999999999995E-2</v>
      </c>
      <c r="E82" s="42"/>
    </row>
    <row r="83" spans="1:5" ht="14.25" x14ac:dyDescent="0.2">
      <c r="A83" s="41">
        <v>33</v>
      </c>
      <c r="B83" s="42" t="str">
        <f>Source!G399</f>
        <v>Обрамление углов стен, откосов уголком ПВХ - вертикальные</v>
      </c>
      <c r="C83" s="43" t="str">
        <f>Source!H399</f>
        <v>100 м</v>
      </c>
      <c r="D83" s="44">
        <f>Source!I399</f>
        <v>0.123</v>
      </c>
      <c r="E83" s="42"/>
    </row>
    <row r="84" spans="1:5" ht="28.5" x14ac:dyDescent="0.2">
      <c r="A84" s="41">
        <v>33.1</v>
      </c>
      <c r="B84" s="42" t="str">
        <f>Source!G400</f>
        <v>Уголки поливинилхлоридные декоративные для внутренней облицовки, внешние, размеры 40х40 мм, белые</v>
      </c>
      <c r="C84" s="43" t="str">
        <f>Source!H400</f>
        <v>м</v>
      </c>
      <c r="D84" s="44">
        <f>Source!I400</f>
        <v>12.423</v>
      </c>
      <c r="E84" s="42"/>
    </row>
    <row r="85" spans="1:5" ht="14.25" x14ac:dyDescent="0.2">
      <c r="A85" s="41">
        <v>34</v>
      </c>
      <c r="B85" s="42" t="str">
        <f>Source!G401</f>
        <v>Обрамление углов стен, откосов уголком ПВХ - горизонтальные</v>
      </c>
      <c r="C85" s="43" t="str">
        <f>Source!H401</f>
        <v>100 м</v>
      </c>
      <c r="D85" s="44">
        <f>Source!I401</f>
        <v>7.1999999999999995E-2</v>
      </c>
      <c r="E85" s="42"/>
    </row>
    <row r="86" spans="1:5" ht="28.5" x14ac:dyDescent="0.2">
      <c r="A86" s="41">
        <v>34.1</v>
      </c>
      <c r="B86" s="42" t="str">
        <f>Source!G402</f>
        <v>Уголки поливинилхлоридные декоративные для внутренней облицовки, внешние, размеры 40х40 мм, белые</v>
      </c>
      <c r="C86" s="43" t="str">
        <f>Source!H402</f>
        <v>м</v>
      </c>
      <c r="D86" s="44">
        <f>Source!I402</f>
        <v>7.2720000000000002</v>
      </c>
      <c r="E86" s="42"/>
    </row>
    <row r="87" spans="1:5" ht="16.5" x14ac:dyDescent="0.25">
      <c r="A87" s="68" t="str">
        <f>CONCATENATE("Подраздел: ", Source!G434)</f>
        <v>Подраздел: Инженерные сети</v>
      </c>
      <c r="B87" s="68"/>
      <c r="C87" s="68"/>
      <c r="D87" s="68"/>
      <c r="E87" s="68"/>
    </row>
    <row r="88" spans="1:5" ht="14.25" x14ac:dyDescent="0.2">
      <c r="A88" s="41">
        <v>35</v>
      </c>
      <c r="B88" s="42" t="str">
        <f>Source!G438</f>
        <v>Демонтаж санитарно-технических приборов умывальников или раковин</v>
      </c>
      <c r="C88" s="43" t="str">
        <f>Source!H438</f>
        <v>100 компл.</v>
      </c>
      <c r="D88" s="44">
        <f>Source!I438</f>
        <v>0.01</v>
      </c>
      <c r="E88" s="42"/>
    </row>
    <row r="89" spans="1:5" ht="28.5" x14ac:dyDescent="0.2">
      <c r="A89" s="41">
        <v>36</v>
      </c>
      <c r="B89" s="42" t="str">
        <f>Source!G439</f>
        <v>Демонтаж Установка штучных изделий столов, шкафов под мойки, холодильных шкафов и др. (без стоимости изделий)</v>
      </c>
      <c r="C89" s="43" t="str">
        <f>Source!H439</f>
        <v>100 шт.</v>
      </c>
      <c r="D89" s="44">
        <f>Source!I439</f>
        <v>0.01</v>
      </c>
      <c r="E89" s="42"/>
    </row>
    <row r="90" spans="1:5" ht="42.75" x14ac:dyDescent="0.2">
      <c r="A90" s="41">
        <v>37</v>
      </c>
      <c r="B90" s="42" t="str">
        <f>Source!G440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C90" s="43" t="str">
        <f>Source!H440</f>
        <v>компл.</v>
      </c>
      <c r="D90" s="44">
        <f>Source!I440</f>
        <v>1</v>
      </c>
      <c r="E90" s="42"/>
    </row>
    <row r="91" spans="1:5" ht="28.5" x14ac:dyDescent="0.2">
      <c r="A91" s="41">
        <v>37.1</v>
      </c>
      <c r="B91" s="42" t="str">
        <f>Source!G441</f>
        <v>Смесители для умывальников и моек двухрукояточные центральные набортные, излив с аэратором тип См-УмДЦБА</v>
      </c>
      <c r="C91" s="43" t="str">
        <f>Source!H441</f>
        <v>шт.</v>
      </c>
      <c r="D91" s="44">
        <f>Source!I441</f>
        <v>1</v>
      </c>
      <c r="E91" s="42"/>
    </row>
    <row r="92" spans="1:5" ht="14.25" x14ac:dyDescent="0.2">
      <c r="A92" s="41">
        <v>37.200000000000003</v>
      </c>
      <c r="B92" s="42" t="str">
        <f>Source!G442</f>
        <v>Сантехническая манжета для канализации MPF 50x25 (или эквивалент)</v>
      </c>
      <c r="C92" s="43" t="str">
        <f>Source!H442</f>
        <v>шт.</v>
      </c>
      <c r="D92" s="44">
        <f>Source!I442</f>
        <v>1</v>
      </c>
      <c r="E92" s="42"/>
    </row>
    <row r="93" spans="1:5" ht="28.5" x14ac:dyDescent="0.2">
      <c r="A93" s="41">
        <v>37.299999999999997</v>
      </c>
      <c r="B93" s="42" t="str">
        <f>Source!G443</f>
        <v>Смесители для умывальников и моек двухрукояточные центральные набортные, излив с аэратором тип См-УмДЦБА</v>
      </c>
      <c r="C93" s="43" t="str">
        <f>Source!H443</f>
        <v>шт.</v>
      </c>
      <c r="D93" s="44">
        <f>Source!I443</f>
        <v>-1</v>
      </c>
      <c r="E93" s="42"/>
    </row>
    <row r="94" spans="1:5" ht="28.5" x14ac:dyDescent="0.2">
      <c r="A94" s="41">
        <v>37.4</v>
      </c>
      <c r="B94" s="42" t="str">
        <f>Source!G444</f>
        <v>Умывальники керамические полукруглые второй величины с переливом 1 отверстие</v>
      </c>
      <c r="C94" s="43" t="str">
        <f>Source!H444</f>
        <v>шт.</v>
      </c>
      <c r="D94" s="44">
        <f>Source!I444</f>
        <v>-1</v>
      </c>
      <c r="E94" s="42"/>
    </row>
    <row r="95" spans="1:5" ht="28.5" x14ac:dyDescent="0.2">
      <c r="A95" s="41">
        <v>38</v>
      </c>
      <c r="B95" s="42" t="str">
        <f>Source!G445</f>
        <v>Установка штучных изделий столов, шкафов под мойки, холодильных шкафов и др. (без стоимости изделий)</v>
      </c>
      <c r="C95" s="43" t="str">
        <f>Source!H445</f>
        <v>100 шт.</v>
      </c>
      <c r="D95" s="44">
        <f>Source!I445</f>
        <v>0.01</v>
      </c>
      <c r="E95" s="42"/>
    </row>
    <row r="96" spans="1:5" ht="28.5" x14ac:dyDescent="0.2">
      <c r="A96" s="41">
        <v>38.1</v>
      </c>
      <c r="B96" s="42" t="str">
        <f>Source!G446</f>
        <v>Тумба под раковину напольная SanStar Квадро 50см с раковиной цвет белый (или эквивалент)</v>
      </c>
      <c r="C96" s="43" t="str">
        <f>Source!H446</f>
        <v>шт.</v>
      </c>
      <c r="D96" s="44">
        <f>Source!I446</f>
        <v>1</v>
      </c>
      <c r="E96" s="42"/>
    </row>
    <row r="97" spans="1:5" ht="28.5" x14ac:dyDescent="0.2">
      <c r="A97" s="41">
        <v>39</v>
      </c>
      <c r="B97" s="42" t="str">
        <f>Source!G447</f>
        <v>Монтаж гибких подводок к водогазоразборной арматуре / подводки с двумя латунными накидными гайками длиной 500 мм</v>
      </c>
      <c r="C97" s="43" t="str">
        <f>Source!H447</f>
        <v>100 м</v>
      </c>
      <c r="D97" s="44">
        <f>Source!I447</f>
        <v>0.01</v>
      </c>
      <c r="E97" s="42"/>
    </row>
    <row r="98" spans="1:5" ht="14.25" x14ac:dyDescent="0.2">
      <c r="A98" s="41">
        <v>40</v>
      </c>
      <c r="B98" s="42" t="str">
        <f>Source!G448</f>
        <v>Демонтаж муфтовой арматуры диаметром 20 мм</v>
      </c>
      <c r="C98" s="43" t="str">
        <f>Source!H448</f>
        <v>10 шт.</v>
      </c>
      <c r="D98" s="44">
        <f>Source!I448</f>
        <v>0.2</v>
      </c>
      <c r="E98" s="42"/>
    </row>
    <row r="99" spans="1:5" ht="14.25" x14ac:dyDescent="0.2">
      <c r="A99" s="41">
        <v>41</v>
      </c>
      <c r="B99" s="42" t="str">
        <f>Source!G449</f>
        <v>Установка муфтовой арматуры диаметром 20 мм</v>
      </c>
      <c r="C99" s="43" t="str">
        <f>Source!H449</f>
        <v>10 шт.</v>
      </c>
      <c r="D99" s="44">
        <f>Source!I449</f>
        <v>0.2</v>
      </c>
      <c r="E99" s="42"/>
    </row>
    <row r="100" spans="1:5" ht="28.5" x14ac:dyDescent="0.2">
      <c r="A100" s="41">
        <v>41.1</v>
      </c>
      <c r="B100" s="42" t="str">
        <f>Source!G450</f>
        <v>Краны латунные шаровые муфтовые проходные, марка 11б27п, диаметр 20 мм</v>
      </c>
      <c r="C100" s="43" t="str">
        <f>Source!H450</f>
        <v>шт.</v>
      </c>
      <c r="D100" s="44">
        <f>Source!I450</f>
        <v>2</v>
      </c>
      <c r="E100" s="42"/>
    </row>
    <row r="101" spans="1:5" ht="16.5" x14ac:dyDescent="0.25">
      <c r="A101" s="68" t="str">
        <f>CONCATENATE("Подраздел: ", Source!G482)</f>
        <v>Подраздел: Электрика</v>
      </c>
      <c r="B101" s="68"/>
      <c r="C101" s="68"/>
      <c r="D101" s="68"/>
      <c r="E101" s="68"/>
    </row>
    <row r="102" spans="1:5" ht="28.5" x14ac:dyDescent="0.2">
      <c r="A102" s="41">
        <v>42</v>
      </c>
      <c r="B102" s="42" t="str">
        <f>Source!G486</f>
        <v>Замена электроустановочных изделий, открытая проводка, выключатель, розетка (без стоимости материалов)</v>
      </c>
      <c r="C102" s="43" t="str">
        <f>Source!H486</f>
        <v>100 шт.</v>
      </c>
      <c r="D102" s="44">
        <f>Source!I486</f>
        <v>0.03</v>
      </c>
      <c r="E102" s="42"/>
    </row>
    <row r="103" spans="1:5" ht="14.25" x14ac:dyDescent="0.2">
      <c r="A103" s="41">
        <v>42.1</v>
      </c>
      <c r="B103" s="42" t="str">
        <f>Source!G487</f>
        <v>Розетка 2х2P+E Schuko со шторками, 16A-250В, IP20 (или эквивалент)</v>
      </c>
      <c r="C103" s="43" t="str">
        <f>Source!H487</f>
        <v>шт.</v>
      </c>
      <c r="D103" s="44">
        <f>Source!I487</f>
        <v>2</v>
      </c>
      <c r="E103" s="42"/>
    </row>
    <row r="104" spans="1:5" ht="28.5" x14ac:dyDescent="0.2">
      <c r="A104" s="41">
        <v>42.2</v>
      </c>
      <c r="B104" s="42" t="str">
        <f>Source!G488</f>
        <v>Выключатели, серия "Прима", напряжение 250 В, сила тока 6 А, тип: А16-051, одноклавишный, открытой установки</v>
      </c>
      <c r="C104" s="43" t="str">
        <f>Source!H488</f>
        <v>шт.</v>
      </c>
      <c r="D104" s="44">
        <f>Source!I488</f>
        <v>1</v>
      </c>
      <c r="E104" s="42"/>
    </row>
    <row r="105" spans="1:5" ht="16.5" x14ac:dyDescent="0.25">
      <c r="A105" s="68" t="str">
        <f>CONCATENATE("Подраздел: ", Source!G520)</f>
        <v>Подраздел: Прочее</v>
      </c>
      <c r="B105" s="68"/>
      <c r="C105" s="68"/>
      <c r="D105" s="68"/>
      <c r="E105" s="68"/>
    </row>
    <row r="106" spans="1:5" ht="28.5" x14ac:dyDescent="0.2">
      <c r="A106" s="41">
        <v>43</v>
      </c>
      <c r="B106" s="42" t="str">
        <f>Source!G524</f>
        <v>Смена вентиляционных решеток стальных штампованных, тип РШ, размеры 200х200 мм</v>
      </c>
      <c r="C106" s="43" t="str">
        <f>Source!H524</f>
        <v>100 шт.</v>
      </c>
      <c r="D106" s="44">
        <f>Source!I524</f>
        <v>0.02</v>
      </c>
      <c r="E106" s="42"/>
    </row>
    <row r="107" spans="1:5" ht="28.5" x14ac:dyDescent="0.2">
      <c r="A107" s="41">
        <v>43.1</v>
      </c>
      <c r="B107" s="42" t="str">
        <f>Source!G525</f>
        <v>Решетки вентиляционные, жалюзийные, регулируемые, стальные, марка РС-Г, размер 625х225 мм (600х300 мм)</v>
      </c>
      <c r="C107" s="43" t="str">
        <f>Source!H525</f>
        <v>шт.</v>
      </c>
      <c r="D107" s="44">
        <f>Source!I525</f>
        <v>2</v>
      </c>
      <c r="E107" s="42"/>
    </row>
    <row r="108" spans="1:5" ht="28.5" x14ac:dyDescent="0.2">
      <c r="A108" s="41">
        <v>43.2</v>
      </c>
      <c r="B108" s="42" t="str">
        <f>Source!G526</f>
        <v>Решетки вентиляционные стальные штампованные, тип РШ, размеры 200х200 мм</v>
      </c>
      <c r="C108" s="43" t="str">
        <f>Source!H526</f>
        <v>шт.</v>
      </c>
      <c r="D108" s="44">
        <f>Source!I526</f>
        <v>-2</v>
      </c>
      <c r="E108" s="42"/>
    </row>
    <row r="109" spans="1:5" ht="16.5" x14ac:dyDescent="0.25">
      <c r="A109" s="68" t="str">
        <f>CONCATENATE("Раздел: ", Source!G588)</f>
        <v>Раздел: Кровля</v>
      </c>
      <c r="B109" s="68"/>
      <c r="C109" s="68"/>
      <c r="D109" s="68"/>
      <c r="E109" s="68"/>
    </row>
    <row r="110" spans="1:5" ht="28.5" x14ac:dyDescent="0.2">
      <c r="A110" s="41">
        <v>44</v>
      </c>
      <c r="B110" s="42" t="str">
        <f>Source!G592</f>
        <v>Устройство рулонного покрытия в один слой из наплавляемого материала типа "Филизол-супер"</v>
      </c>
      <c r="C110" s="43" t="str">
        <f>Source!H592</f>
        <v>100 м2</v>
      </c>
      <c r="D110" s="44">
        <f>Source!I592</f>
        <v>3</v>
      </c>
      <c r="E110" s="42"/>
    </row>
    <row r="111" spans="1:5" ht="14.25" x14ac:dyDescent="0.2">
      <c r="A111" s="41">
        <v>44.1</v>
      </c>
      <c r="B111" s="42" t="str">
        <f>Source!G593</f>
        <v>Материал рулонный кровельный, Филизол, марка "В"</v>
      </c>
      <c r="C111" s="43" t="str">
        <f>Source!H593</f>
        <v>м2</v>
      </c>
      <c r="D111" s="44">
        <f>Source!I593</f>
        <v>405</v>
      </c>
      <c r="E111" s="42"/>
    </row>
    <row r="112" spans="1:5" ht="14.25" x14ac:dyDescent="0.2">
      <c r="A112" s="41">
        <v>44.2</v>
      </c>
      <c r="B112" s="42" t="str">
        <f>Source!G594</f>
        <v>Материал рулонный кровельный, Филизол, марка "СУПЕР"</v>
      </c>
      <c r="C112" s="43" t="str">
        <f>Source!H594</f>
        <v>м2</v>
      </c>
      <c r="D112" s="44">
        <f>Source!I594</f>
        <v>-405</v>
      </c>
      <c r="E112" s="42"/>
    </row>
    <row r="113" spans="1:5" ht="16.5" x14ac:dyDescent="0.25">
      <c r="A113" s="68" t="str">
        <f>CONCATENATE("Раздел: ", Source!G626)</f>
        <v>Раздел: Мусор</v>
      </c>
      <c r="B113" s="68"/>
      <c r="C113" s="68"/>
      <c r="D113" s="68"/>
      <c r="E113" s="68"/>
    </row>
    <row r="114" spans="1:5" ht="28.5" x14ac:dyDescent="0.2">
      <c r="A114" s="41">
        <v>45</v>
      </c>
      <c r="B114" s="42" t="str">
        <f>Source!G630</f>
        <v>Механизированная погрузка строительного мусора в автомобили-самосвалы</v>
      </c>
      <c r="C114" s="43" t="str">
        <f>Source!H630</f>
        <v>т</v>
      </c>
      <c r="D114" s="44">
        <f>Source!I630</f>
        <v>0.64500000000000002</v>
      </c>
      <c r="E114" s="42"/>
    </row>
    <row r="115" spans="1:5" ht="28.5" x14ac:dyDescent="0.2">
      <c r="A115" s="41">
        <v>46</v>
      </c>
      <c r="B115" s="42" t="str">
        <f>Source!G631</f>
        <v>Перевозка строительного мусора автосамосвалами грузоподъемностью до 10 т на расстояние 1 км - при механизированной погрузке</v>
      </c>
      <c r="C115" s="43" t="str">
        <f>Source!H631</f>
        <v>т</v>
      </c>
      <c r="D115" s="44">
        <f>Source!I631</f>
        <v>0.64500000000000002</v>
      </c>
      <c r="E115" s="42"/>
    </row>
    <row r="116" spans="1:5" ht="28.5" x14ac:dyDescent="0.2">
      <c r="A116" s="37">
        <v>47</v>
      </c>
      <c r="B116" s="38" t="str">
        <f>Source!G632</f>
        <v>Перевозка строительного мусора автосамосвалами грузоподъемностью до 10 т - добавляется на каждый последующий 1 км до 100 км</v>
      </c>
      <c r="C116" s="39" t="str">
        <f>Source!H632</f>
        <v>т</v>
      </c>
      <c r="D116" s="40">
        <f>Source!I632</f>
        <v>0.64500000000000002</v>
      </c>
      <c r="E116" s="38"/>
    </row>
    <row r="119" spans="1:5" ht="15" x14ac:dyDescent="0.25">
      <c r="A119" s="30" t="s">
        <v>557</v>
      </c>
      <c r="B119" s="30"/>
      <c r="C119" s="30" t="s">
        <v>558</v>
      </c>
      <c r="D119" s="30"/>
      <c r="E119" s="30"/>
    </row>
  </sheetData>
  <mergeCells count="21">
    <mergeCell ref="A105:E105"/>
    <mergeCell ref="A109:E109"/>
    <mergeCell ref="A113:E113"/>
    <mergeCell ref="A62:E62"/>
    <mergeCell ref="A75:E75"/>
    <mergeCell ref="A78:E78"/>
    <mergeCell ref="A80:E80"/>
    <mergeCell ref="A87:E87"/>
    <mergeCell ref="A101:E101"/>
    <mergeCell ref="A61:E61"/>
    <mergeCell ref="A11:D11"/>
    <mergeCell ref="A12:D12"/>
    <mergeCell ref="A19:E19"/>
    <mergeCell ref="A20:E20"/>
    <mergeCell ref="A21:E21"/>
    <mergeCell ref="A34:E34"/>
    <mergeCell ref="A39:E39"/>
    <mergeCell ref="A53:E53"/>
    <mergeCell ref="A57:E57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5"/>
  <sheetViews>
    <sheetView workbookViewId="0"/>
  </sheetViews>
  <sheetFormatPr defaultRowHeight="12.75" x14ac:dyDescent="0.2"/>
  <sheetData>
    <row r="1" spans="1:28" x14ac:dyDescent="0.2">
      <c r="A1" t="s">
        <v>587</v>
      </c>
      <c r="B1" t="s">
        <v>589</v>
      </c>
      <c r="C1" t="s">
        <v>590</v>
      </c>
      <c r="D1" t="s">
        <v>591</v>
      </c>
      <c r="E1" t="s">
        <v>592</v>
      </c>
      <c r="F1" t="s">
        <v>593</v>
      </c>
      <c r="G1" t="s">
        <v>594</v>
      </c>
      <c r="H1" t="s">
        <v>595</v>
      </c>
      <c r="I1" t="s">
        <v>596</v>
      </c>
      <c r="J1" t="s">
        <v>597</v>
      </c>
      <c r="K1" t="s">
        <v>598</v>
      </c>
      <c r="L1" t="s">
        <v>599</v>
      </c>
      <c r="M1" t="s">
        <v>600</v>
      </c>
      <c r="N1" t="s">
        <v>601</v>
      </c>
      <c r="O1" t="s">
        <v>588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75700856</v>
      </c>
      <c r="M2">
        <v>0</v>
      </c>
      <c r="N2">
        <v>0</v>
      </c>
      <c r="O2">
        <v>0</v>
      </c>
    </row>
    <row r="4" spans="1:28" x14ac:dyDescent="0.2">
      <c r="A4" t="s">
        <v>559</v>
      </c>
      <c r="B4" t="s">
        <v>560</v>
      </c>
      <c r="C4" t="s">
        <v>561</v>
      </c>
      <c r="D4" t="s">
        <v>562</v>
      </c>
      <c r="E4" t="s">
        <v>563</v>
      </c>
      <c r="F4" t="s">
        <v>564</v>
      </c>
      <c r="G4" t="s">
        <v>565</v>
      </c>
      <c r="H4" t="s">
        <v>566</v>
      </c>
      <c r="I4" t="s">
        <v>567</v>
      </c>
      <c r="J4" t="s">
        <v>568</v>
      </c>
      <c r="K4" t="s">
        <v>569</v>
      </c>
      <c r="L4" t="s">
        <v>570</v>
      </c>
      <c r="M4" t="s">
        <v>571</v>
      </c>
      <c r="N4" t="s">
        <v>572</v>
      </c>
      <c r="O4" t="s">
        <v>573</v>
      </c>
      <c r="P4" t="s">
        <v>574</v>
      </c>
      <c r="Q4" t="s">
        <v>575</v>
      </c>
      <c r="R4" t="s">
        <v>576</v>
      </c>
      <c r="S4" t="s">
        <v>577</v>
      </c>
      <c r="T4" t="s">
        <v>578</v>
      </c>
      <c r="U4" t="s">
        <v>582</v>
      </c>
      <c r="V4" t="s">
        <v>583</v>
      </c>
      <c r="W4" t="s">
        <v>584</v>
      </c>
      <c r="X4" t="s">
        <v>585</v>
      </c>
      <c r="Y4" t="s">
        <v>586</v>
      </c>
      <c r="Z4" t="s">
        <v>579</v>
      </c>
      <c r="AA4" t="s">
        <v>580</v>
      </c>
      <c r="AB4" t="s">
        <v>581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Второй этаж, кабинет № 216</v>
      </c>
    </row>
    <row r="8" spans="1:28" x14ac:dyDescent="0.2">
      <c r="A8">
        <f>Source!A28</f>
        <v>5</v>
      </c>
      <c r="B8">
        <v>28</v>
      </c>
      <c r="G8" t="str">
        <f>Source!G28</f>
        <v>Полы</v>
      </c>
    </row>
    <row r="9" spans="1:28" x14ac:dyDescent="0.2">
      <c r="A9">
        <v>20</v>
      </c>
      <c r="B9">
        <v>2</v>
      </c>
      <c r="C9">
        <v>2</v>
      </c>
      <c r="D9">
        <v>0</v>
      </c>
      <c r="E9">
        <f>SmtRes!AV2</f>
        <v>0</v>
      </c>
      <c r="F9" t="str">
        <f>SmtRes!I2</f>
        <v>22.1-30-56</v>
      </c>
      <c r="G9" t="str">
        <f>SmtRes!K2</f>
        <v>Шуруповерты</v>
      </c>
      <c r="H9" t="str">
        <f>SmtRes!O2</f>
        <v>маш.-ч</v>
      </c>
      <c r="I9">
        <f>SmtRes!Y2*Source!I32</f>
        <v>8.9999999999999993E-3</v>
      </c>
      <c r="J9">
        <f>SmtRes!AO2</f>
        <v>1</v>
      </c>
      <c r="K9">
        <f>SmtRes!AF2</f>
        <v>7.44</v>
      </c>
      <c r="L9">
        <f>SmtRes!DB2</f>
        <v>7.44</v>
      </c>
      <c r="M9">
        <f>ROUND(ROUND(L9*Source!I32, 6)*1, 2)</f>
        <v>7.0000000000000007E-2</v>
      </c>
      <c r="N9">
        <f>SmtRes!AB2</f>
        <v>7.44</v>
      </c>
      <c r="O9">
        <f>ROUND(ROUND(L9*Source!I32, 6)*SmtRes!DA2, 2)</f>
        <v>7.0000000000000007E-2</v>
      </c>
      <c r="P9">
        <f>SmtRes!AG2</f>
        <v>0.01</v>
      </c>
      <c r="Q9">
        <f>SmtRes!DC2</f>
        <v>0.01</v>
      </c>
      <c r="R9">
        <f>ROUND(ROUND(Q9*Source!I32, 6)*1, 2)</f>
        <v>0</v>
      </c>
      <c r="S9">
        <f>SmtRes!AC2</f>
        <v>0.01</v>
      </c>
      <c r="T9">
        <f>ROUND(ROUND(Q9*Source!I32, 6)*SmtRes!AK2, 2)</f>
        <v>0</v>
      </c>
      <c r="U9">
        <v>2</v>
      </c>
      <c r="Z9">
        <f>SmtRes!X2</f>
        <v>-247555338</v>
      </c>
      <c r="AA9">
        <v>-1795244417</v>
      </c>
      <c r="AB9">
        <v>-1795244417</v>
      </c>
    </row>
    <row r="10" spans="1:28" x14ac:dyDescent="0.2">
      <c r="A10">
        <v>20</v>
      </c>
      <c r="B10">
        <v>4</v>
      </c>
      <c r="C10">
        <v>2</v>
      </c>
      <c r="D10">
        <v>0</v>
      </c>
      <c r="E10">
        <f>SmtRes!AV4</f>
        <v>0</v>
      </c>
      <c r="F10" t="str">
        <f>SmtRes!I4</f>
        <v>22.1-30-56</v>
      </c>
      <c r="G10" t="str">
        <f>SmtRes!K4</f>
        <v>Шуруповерты</v>
      </c>
      <c r="H10" t="str">
        <f>SmtRes!O4</f>
        <v>маш.-ч</v>
      </c>
      <c r="I10">
        <f>SmtRes!Y4*Source!I33</f>
        <v>0.10999</v>
      </c>
      <c r="J10">
        <f>SmtRes!AO4</f>
        <v>1</v>
      </c>
      <c r="K10">
        <f>SmtRes!AF4</f>
        <v>7.44</v>
      </c>
      <c r="L10">
        <f>SmtRes!DB4</f>
        <v>2.5299999999999998</v>
      </c>
      <c r="M10">
        <f>ROUND(ROUND(L10*Source!I33, 6)*1, 2)</f>
        <v>0.82</v>
      </c>
      <c r="N10">
        <f>SmtRes!AB4</f>
        <v>7.44</v>
      </c>
      <c r="O10">
        <f>ROUND(ROUND(L10*Source!I33, 6)*SmtRes!DA4, 2)</f>
        <v>0.82</v>
      </c>
      <c r="P10">
        <f>SmtRes!AG4</f>
        <v>0.01</v>
      </c>
      <c r="Q10">
        <f>SmtRes!DC4</f>
        <v>0</v>
      </c>
      <c r="R10">
        <f>ROUND(ROUND(Q10*Source!I33, 6)*1, 2)</f>
        <v>0</v>
      </c>
      <c r="S10">
        <f>SmtRes!AC4</f>
        <v>0.01</v>
      </c>
      <c r="T10">
        <f>ROUND(ROUND(Q10*Source!I33, 6)*SmtRes!AK4, 2)</f>
        <v>0</v>
      </c>
      <c r="U10">
        <v>2</v>
      </c>
      <c r="Z10">
        <f>SmtRes!X4</f>
        <v>-247555338</v>
      </c>
      <c r="AA10">
        <v>-1795244417</v>
      </c>
      <c r="AB10">
        <v>-1795244417</v>
      </c>
    </row>
    <row r="11" spans="1:28" x14ac:dyDescent="0.2">
      <c r="A11">
        <v>20</v>
      </c>
      <c r="B11">
        <v>14</v>
      </c>
      <c r="C11">
        <v>3</v>
      </c>
      <c r="D11">
        <v>0</v>
      </c>
      <c r="E11">
        <f>SmtRes!AV14</f>
        <v>0</v>
      </c>
      <c r="F11" t="str">
        <f>SmtRes!I14</f>
        <v>21.3-2-120</v>
      </c>
      <c r="G11" t="str">
        <f>SmtRes!K14</f>
        <v>Смеси сухие цементно-песчаные для устройства стяжки, самовыравнивающиеся: В15 (М200), F50</v>
      </c>
      <c r="H11" t="str">
        <f>SmtRes!O14</f>
        <v>т</v>
      </c>
      <c r="I11">
        <f>SmtRes!Y14*Source!I35</f>
        <v>0.472362</v>
      </c>
      <c r="J11">
        <f>SmtRes!AO14</f>
        <v>1</v>
      </c>
      <c r="K11">
        <f>SmtRes!AE14</f>
        <v>37996.660000000003</v>
      </c>
      <c r="L11">
        <f>SmtRes!DB14</f>
        <v>31993.19</v>
      </c>
      <c r="M11">
        <f>ROUND(ROUND(L11*Source!I35, 6)*1, 2)</f>
        <v>17948.18</v>
      </c>
      <c r="N11">
        <f>SmtRes!AA14</f>
        <v>37996.660000000003</v>
      </c>
      <c r="O11">
        <f>ROUND(ROUND(L11*Source!I35, 6)*SmtRes!DA14, 2)</f>
        <v>17948.18</v>
      </c>
      <c r="P11">
        <f>SmtRes!AG14</f>
        <v>0</v>
      </c>
      <c r="Q11">
        <f>SmtRes!DC14</f>
        <v>0</v>
      </c>
      <c r="R11">
        <f>ROUND(ROUND(Q11*Source!I35, 6)*1, 2)</f>
        <v>0</v>
      </c>
      <c r="S11">
        <f>SmtRes!AC14</f>
        <v>0</v>
      </c>
      <c r="T11">
        <f>ROUND(ROUND(Q11*Source!I35, 6)*SmtRes!AK14, 2)</f>
        <v>0</v>
      </c>
      <c r="U11">
        <v>3</v>
      </c>
      <c r="Z11">
        <f>SmtRes!X14</f>
        <v>837212414</v>
      </c>
      <c r="AA11">
        <v>-2002525921</v>
      </c>
      <c r="AB11">
        <v>-2002525921</v>
      </c>
    </row>
    <row r="12" spans="1:28" x14ac:dyDescent="0.2">
      <c r="A12">
        <v>20</v>
      </c>
      <c r="B12">
        <v>13</v>
      </c>
      <c r="C12">
        <v>3</v>
      </c>
      <c r="D12">
        <v>0</v>
      </c>
      <c r="E12">
        <f>SmtRes!AV13</f>
        <v>0</v>
      </c>
      <c r="F12" t="str">
        <f>SmtRes!I13</f>
        <v>21.1-6-183</v>
      </c>
      <c r="G12" t="str">
        <f>SmtRes!K13</f>
        <v>Грунтовка водно-дисперсионная на акриловых сополимерах с токопроводящими добавками</v>
      </c>
      <c r="H12" t="str">
        <f>SmtRes!O13</f>
        <v>кг</v>
      </c>
      <c r="I12">
        <f>SmtRes!Y13*Source!I35</f>
        <v>11.22</v>
      </c>
      <c r="J12">
        <f>SmtRes!AO13</f>
        <v>1</v>
      </c>
      <c r="K12">
        <f>SmtRes!AE13</f>
        <v>915.75</v>
      </c>
      <c r="L12">
        <f>SmtRes!DB13</f>
        <v>18315</v>
      </c>
      <c r="M12">
        <f>ROUND(ROUND(L12*Source!I35, 6)*1, 2)</f>
        <v>10274.719999999999</v>
      </c>
      <c r="N12">
        <f>SmtRes!AA13</f>
        <v>915.75</v>
      </c>
      <c r="O12">
        <f>ROUND(ROUND(L12*Source!I35, 6)*SmtRes!DA13, 2)</f>
        <v>10274.719999999999</v>
      </c>
      <c r="P12">
        <f>SmtRes!AG13</f>
        <v>0</v>
      </c>
      <c r="Q12">
        <f>SmtRes!DC13</f>
        <v>0</v>
      </c>
      <c r="R12">
        <f>ROUND(ROUND(Q12*Source!I35, 6)*1, 2)</f>
        <v>0</v>
      </c>
      <c r="S12">
        <f>SmtRes!AC13</f>
        <v>0</v>
      </c>
      <c r="T12">
        <f>ROUND(ROUND(Q12*Source!I35, 6)*SmtRes!AK13, 2)</f>
        <v>0</v>
      </c>
      <c r="U12">
        <v>3</v>
      </c>
      <c r="Z12">
        <f>SmtRes!X13</f>
        <v>1856405498</v>
      </c>
      <c r="AA12">
        <v>1664722683</v>
      </c>
      <c r="AB12">
        <v>1664722683</v>
      </c>
    </row>
    <row r="13" spans="1:28" x14ac:dyDescent="0.2">
      <c r="A13">
        <v>20</v>
      </c>
      <c r="B13">
        <v>12</v>
      </c>
      <c r="C13">
        <v>3</v>
      </c>
      <c r="D13">
        <v>0</v>
      </c>
      <c r="E13">
        <f>SmtRes!AV12</f>
        <v>0</v>
      </c>
      <c r="F13" t="str">
        <f>SmtRes!I12</f>
        <v>21.1-25-257</v>
      </c>
      <c r="G13" t="str">
        <f>SmtRes!K12</f>
        <v>Пленка полиэтиленовая, толщина 80 мкм</v>
      </c>
      <c r="H13" t="str">
        <f>SmtRes!O12</f>
        <v>м2</v>
      </c>
      <c r="I13">
        <f>SmtRes!Y12*Source!I35</f>
        <v>5.61</v>
      </c>
      <c r="J13">
        <f>SmtRes!AO12</f>
        <v>1</v>
      </c>
      <c r="K13">
        <f>SmtRes!AE12</f>
        <v>10.62</v>
      </c>
      <c r="L13">
        <f>SmtRes!DB12</f>
        <v>106.2</v>
      </c>
      <c r="M13">
        <f>ROUND(ROUND(L13*Source!I35, 6)*1, 2)</f>
        <v>59.58</v>
      </c>
      <c r="N13">
        <f>SmtRes!AA12</f>
        <v>10.62</v>
      </c>
      <c r="O13">
        <f>ROUND(ROUND(L13*Source!I35, 6)*SmtRes!DA12, 2)</f>
        <v>59.58</v>
      </c>
      <c r="P13">
        <f>SmtRes!AG12</f>
        <v>0</v>
      </c>
      <c r="Q13">
        <f>SmtRes!DC12</f>
        <v>0</v>
      </c>
      <c r="R13">
        <f>ROUND(ROUND(Q13*Source!I35, 6)*1, 2)</f>
        <v>0</v>
      </c>
      <c r="S13">
        <f>SmtRes!AC12</f>
        <v>0</v>
      </c>
      <c r="T13">
        <f>ROUND(ROUND(Q13*Source!I35, 6)*SmtRes!AK12, 2)</f>
        <v>0</v>
      </c>
      <c r="U13">
        <v>3</v>
      </c>
      <c r="Z13">
        <f>SmtRes!X12</f>
        <v>1627923774</v>
      </c>
      <c r="AA13">
        <v>-745564717</v>
      </c>
      <c r="AB13">
        <v>-745564717</v>
      </c>
    </row>
    <row r="14" spans="1:28" x14ac:dyDescent="0.2">
      <c r="A14">
        <v>20</v>
      </c>
      <c r="B14">
        <v>11</v>
      </c>
      <c r="C14">
        <v>3</v>
      </c>
      <c r="D14">
        <v>0</v>
      </c>
      <c r="E14">
        <f>SmtRes!AV11</f>
        <v>0</v>
      </c>
      <c r="F14" t="str">
        <f>SmtRes!I11</f>
        <v>21.1-25-13</v>
      </c>
      <c r="G14" t="str">
        <f>SmtRes!K11</f>
        <v>Вода</v>
      </c>
      <c r="H14" t="str">
        <f>SmtRes!O11</f>
        <v>м3</v>
      </c>
      <c r="I14">
        <f>SmtRes!Y11*Source!I35</f>
        <v>0.16942200000000002</v>
      </c>
      <c r="J14">
        <f>SmtRes!AO11</f>
        <v>1</v>
      </c>
      <c r="K14">
        <f>SmtRes!AE11</f>
        <v>49.83</v>
      </c>
      <c r="L14">
        <f>SmtRes!DB11</f>
        <v>15.05</v>
      </c>
      <c r="M14">
        <f>ROUND(ROUND(L14*Source!I35, 6)*1, 2)</f>
        <v>8.44</v>
      </c>
      <c r="N14">
        <f>SmtRes!AA11</f>
        <v>49.83</v>
      </c>
      <c r="O14">
        <f>ROUND(ROUND(L14*Source!I35, 6)*SmtRes!DA11, 2)</f>
        <v>8.44</v>
      </c>
      <c r="P14">
        <f>SmtRes!AG11</f>
        <v>0</v>
      </c>
      <c r="Q14">
        <f>SmtRes!DC11</f>
        <v>0</v>
      </c>
      <c r="R14">
        <f>ROUND(ROUND(Q14*Source!I35, 6)*1, 2)</f>
        <v>0</v>
      </c>
      <c r="S14">
        <f>SmtRes!AC11</f>
        <v>0</v>
      </c>
      <c r="T14">
        <f>ROUND(ROUND(Q14*Source!I35, 6)*SmtRes!AK11, 2)</f>
        <v>0</v>
      </c>
      <c r="U14">
        <v>3</v>
      </c>
      <c r="Z14">
        <f>SmtRes!X11</f>
        <v>973433911</v>
      </c>
      <c r="AA14">
        <v>1405492101</v>
      </c>
      <c r="AB14">
        <v>1405492101</v>
      </c>
    </row>
    <row r="15" spans="1:28" x14ac:dyDescent="0.2">
      <c r="A15">
        <v>20</v>
      </c>
      <c r="B15">
        <v>10</v>
      </c>
      <c r="C15">
        <v>2</v>
      </c>
      <c r="D15">
        <v>0</v>
      </c>
      <c r="E15">
        <f>SmtRes!AV10</f>
        <v>0</v>
      </c>
      <c r="F15" t="str">
        <f>SmtRes!I10</f>
        <v>22.1-4-1</v>
      </c>
      <c r="G15" t="str">
        <f>SmtRes!K10</f>
        <v>Погрузчики универсальные на пневмоколесном ходу, грузоподъемность до 1 т</v>
      </c>
      <c r="H15" t="str">
        <f>SmtRes!O10</f>
        <v>маш.-ч</v>
      </c>
      <c r="I15">
        <f>SmtRes!Y10*Source!I35</f>
        <v>1.1220000000000001E-2</v>
      </c>
      <c r="J15">
        <f>SmtRes!AO10</f>
        <v>1</v>
      </c>
      <c r="K15">
        <f>SmtRes!AF10</f>
        <v>1472.88</v>
      </c>
      <c r="L15">
        <f>SmtRes!DB10</f>
        <v>29.46</v>
      </c>
      <c r="M15">
        <f>ROUND(ROUND(L15*Source!I35, 6)*1, 2)</f>
        <v>16.53</v>
      </c>
      <c r="N15">
        <f>SmtRes!AB10</f>
        <v>1472.88</v>
      </c>
      <c r="O15">
        <f>ROUND(ROUND(L15*Source!I35, 6)*SmtRes!DA10, 2)</f>
        <v>16.53</v>
      </c>
      <c r="P15">
        <f>SmtRes!AG10</f>
        <v>893.16</v>
      </c>
      <c r="Q15">
        <f>SmtRes!DC10</f>
        <v>17.86</v>
      </c>
      <c r="R15">
        <f>ROUND(ROUND(Q15*Source!I35, 6)*1, 2)</f>
        <v>10.02</v>
      </c>
      <c r="S15">
        <f>SmtRes!AC10</f>
        <v>893.16</v>
      </c>
      <c r="T15">
        <f>ROUND(ROUND(Q15*Source!I35, 6)*SmtRes!AK10, 2)</f>
        <v>10.02</v>
      </c>
      <c r="U15">
        <v>2</v>
      </c>
      <c r="Z15">
        <f>SmtRes!X10</f>
        <v>2002913998</v>
      </c>
      <c r="AA15">
        <v>-560972641</v>
      </c>
      <c r="AB15">
        <v>-560972641</v>
      </c>
    </row>
    <row r="16" spans="1:28" x14ac:dyDescent="0.2">
      <c r="A16">
        <v>20</v>
      </c>
      <c r="B16">
        <v>9</v>
      </c>
      <c r="C16">
        <v>2</v>
      </c>
      <c r="D16">
        <v>0</v>
      </c>
      <c r="E16">
        <f>SmtRes!AV9</f>
        <v>0</v>
      </c>
      <c r="F16" t="str">
        <f>SmtRes!I9</f>
        <v>22.1-30-103</v>
      </c>
      <c r="G16" t="str">
        <f>SmtRes!K9</f>
        <v>Перфораторы электрические, мощность до 800 Вт</v>
      </c>
      <c r="H16" t="str">
        <f>SmtRes!O9</f>
        <v>маш.-ч</v>
      </c>
      <c r="I16">
        <f>SmtRes!Y9*Source!I35</f>
        <v>2.3281500000000004</v>
      </c>
      <c r="J16">
        <f>SmtRes!AO9</f>
        <v>1</v>
      </c>
      <c r="K16">
        <f>SmtRes!AF9</f>
        <v>10.7</v>
      </c>
      <c r="L16">
        <f>SmtRes!DB9</f>
        <v>44.41</v>
      </c>
      <c r="M16">
        <f>ROUND(ROUND(L16*Source!I35, 6)*1, 2)</f>
        <v>24.91</v>
      </c>
      <c r="N16">
        <f>SmtRes!AB9</f>
        <v>10.7</v>
      </c>
      <c r="O16">
        <f>ROUND(ROUND(L16*Source!I35, 6)*SmtRes!DA9, 2)</f>
        <v>24.91</v>
      </c>
      <c r="P16">
        <f>SmtRes!AG9</f>
        <v>1.91</v>
      </c>
      <c r="Q16">
        <f>SmtRes!DC9</f>
        <v>7.93</v>
      </c>
      <c r="R16">
        <f>ROUND(ROUND(Q16*Source!I35, 6)*1, 2)</f>
        <v>4.45</v>
      </c>
      <c r="S16">
        <f>SmtRes!AC9</f>
        <v>1.91</v>
      </c>
      <c r="T16">
        <f>ROUND(ROUND(Q16*Source!I35, 6)*SmtRes!AK9, 2)</f>
        <v>4.45</v>
      </c>
      <c r="U16">
        <v>2</v>
      </c>
      <c r="Z16">
        <f>SmtRes!X9</f>
        <v>-684189830</v>
      </c>
      <c r="AA16">
        <v>-1048187902</v>
      </c>
      <c r="AB16">
        <v>-1048187902</v>
      </c>
    </row>
    <row r="17" spans="1:28" x14ac:dyDescent="0.2">
      <c r="A17">
        <v>20</v>
      </c>
      <c r="B17">
        <v>8</v>
      </c>
      <c r="C17">
        <v>2</v>
      </c>
      <c r="D17">
        <v>0</v>
      </c>
      <c r="E17">
        <f>SmtRes!AV8</f>
        <v>0</v>
      </c>
      <c r="F17" t="str">
        <f>SmtRes!I8</f>
        <v>22.1-14-13</v>
      </c>
      <c r="G17" t="str">
        <f>SmtRes!K8</f>
        <v>Пылесосы, потребляемая мощность 350-1200 Вт</v>
      </c>
      <c r="H17" t="str">
        <f>SmtRes!O8</f>
        <v>маш.-ч</v>
      </c>
      <c r="I17">
        <f>SmtRes!Y8*Source!I35</f>
        <v>1.6830000000000003</v>
      </c>
      <c r="J17">
        <f>SmtRes!AO8</f>
        <v>1</v>
      </c>
      <c r="K17">
        <f>SmtRes!AF8</f>
        <v>56.19</v>
      </c>
      <c r="L17">
        <f>SmtRes!DB8</f>
        <v>168.57</v>
      </c>
      <c r="M17">
        <f>ROUND(ROUND(L17*Source!I35, 6)*1, 2)</f>
        <v>94.57</v>
      </c>
      <c r="N17">
        <f>SmtRes!AB8</f>
        <v>56.19</v>
      </c>
      <c r="O17">
        <f>ROUND(ROUND(L17*Source!I35, 6)*SmtRes!DA8, 2)</f>
        <v>94.57</v>
      </c>
      <c r="P17">
        <f>SmtRes!AG8</f>
        <v>0.31</v>
      </c>
      <c r="Q17">
        <f>SmtRes!DC8</f>
        <v>0.93</v>
      </c>
      <c r="R17">
        <f>ROUND(ROUND(Q17*Source!I35, 6)*1, 2)</f>
        <v>0.52</v>
      </c>
      <c r="S17">
        <f>SmtRes!AC8</f>
        <v>0.31</v>
      </c>
      <c r="T17">
        <f>ROUND(ROUND(Q17*Source!I35, 6)*SmtRes!AK8, 2)</f>
        <v>0.52</v>
      </c>
      <c r="U17">
        <v>2</v>
      </c>
      <c r="Z17">
        <f>SmtRes!X8</f>
        <v>64700738</v>
      </c>
      <c r="AA17">
        <v>1115396703</v>
      </c>
      <c r="AB17">
        <v>1115396703</v>
      </c>
    </row>
    <row r="18" spans="1:28" x14ac:dyDescent="0.2">
      <c r="A18">
        <v>20</v>
      </c>
      <c r="B18">
        <v>22</v>
      </c>
      <c r="C18">
        <v>3</v>
      </c>
      <c r="D18">
        <v>0</v>
      </c>
      <c r="E18">
        <f>SmtRes!AV22</f>
        <v>0</v>
      </c>
      <c r="F18" t="str">
        <f>SmtRes!I22</f>
        <v>21.1-6-165</v>
      </c>
      <c r="G18" t="str">
        <f>SmtRes!K22</f>
        <v>Грунтовка водно-дисперсионная высококонцентрированная глубокопроникающая универсальная</v>
      </c>
      <c r="H18" t="str">
        <f>SmtRes!O22</f>
        <v>кг</v>
      </c>
      <c r="I18">
        <f>SmtRes!Y22*Source!I36</f>
        <v>5.7783000000000007</v>
      </c>
      <c r="J18">
        <f>SmtRes!AO22</f>
        <v>1</v>
      </c>
      <c r="K18">
        <f>SmtRes!AE22</f>
        <v>138.59</v>
      </c>
      <c r="L18">
        <f>SmtRes!DB22</f>
        <v>1427.48</v>
      </c>
      <c r="M18">
        <f>ROUND(ROUND(L18*Source!I36, 6)*1, 2)</f>
        <v>800.82</v>
      </c>
      <c r="N18">
        <f>SmtRes!AA22</f>
        <v>138.59</v>
      </c>
      <c r="O18">
        <f>ROUND(ROUND(L18*Source!I36, 6)*SmtRes!DA22, 2)</f>
        <v>800.82</v>
      </c>
      <c r="P18">
        <f>SmtRes!AG22</f>
        <v>0</v>
      </c>
      <c r="Q18">
        <f>SmtRes!DC22</f>
        <v>0</v>
      </c>
      <c r="R18">
        <f>ROUND(ROUND(Q18*Source!I36, 6)*1, 2)</f>
        <v>0</v>
      </c>
      <c r="S18">
        <f>SmtRes!AC22</f>
        <v>0</v>
      </c>
      <c r="T18">
        <f>ROUND(ROUND(Q18*Source!I36, 6)*SmtRes!AK22, 2)</f>
        <v>0</v>
      </c>
      <c r="U18">
        <v>3</v>
      </c>
      <c r="Z18">
        <f>SmtRes!X22</f>
        <v>538144241</v>
      </c>
      <c r="AA18">
        <v>127690875</v>
      </c>
      <c r="AB18">
        <v>127690875</v>
      </c>
    </row>
    <row r="19" spans="1:28" x14ac:dyDescent="0.2">
      <c r="A19">
        <v>20</v>
      </c>
      <c r="B19">
        <v>21</v>
      </c>
      <c r="C19">
        <v>3</v>
      </c>
      <c r="D19">
        <v>0</v>
      </c>
      <c r="E19">
        <f>SmtRes!AV21</f>
        <v>0</v>
      </c>
      <c r="F19" t="str">
        <f>SmtRes!I21</f>
        <v>21.1-25-748</v>
      </c>
      <c r="G19" t="str">
        <f>SmtRes!K21</f>
        <v>Шнур для сварки швов поливинилхлоридного линолеума</v>
      </c>
      <c r="H19" t="str">
        <f>SmtRes!O21</f>
        <v>м</v>
      </c>
      <c r="I19">
        <f>SmtRes!Y21*Source!I36</f>
        <v>33.660000000000004</v>
      </c>
      <c r="J19">
        <f>SmtRes!AO21</f>
        <v>1</v>
      </c>
      <c r="K19">
        <f>SmtRes!AE21</f>
        <v>57.6</v>
      </c>
      <c r="L19">
        <f>SmtRes!DB21</f>
        <v>3456</v>
      </c>
      <c r="M19">
        <f>ROUND(ROUND(L19*Source!I36, 6)*1, 2)</f>
        <v>1938.82</v>
      </c>
      <c r="N19">
        <f>SmtRes!AA21</f>
        <v>57.6</v>
      </c>
      <c r="O19">
        <f>ROUND(ROUND(L19*Source!I36, 6)*SmtRes!DA21, 2)</f>
        <v>1938.82</v>
      </c>
      <c r="P19">
        <f>SmtRes!AG21</f>
        <v>0</v>
      </c>
      <c r="Q19">
        <f>SmtRes!DC21</f>
        <v>0</v>
      </c>
      <c r="R19">
        <f>ROUND(ROUND(Q19*Source!I36, 6)*1, 2)</f>
        <v>0</v>
      </c>
      <c r="S19">
        <f>SmtRes!AC21</f>
        <v>0</v>
      </c>
      <c r="T19">
        <f>ROUND(ROUND(Q19*Source!I36, 6)*SmtRes!AK21, 2)</f>
        <v>0</v>
      </c>
      <c r="U19">
        <v>3</v>
      </c>
      <c r="Z19">
        <f>SmtRes!X21</f>
        <v>-1400349757</v>
      </c>
      <c r="AA19">
        <v>-2006813742</v>
      </c>
      <c r="AB19">
        <v>-2006813742</v>
      </c>
    </row>
    <row r="20" spans="1:28" x14ac:dyDescent="0.2">
      <c r="A20">
        <v>20</v>
      </c>
      <c r="B20">
        <v>20</v>
      </c>
      <c r="C20">
        <v>3</v>
      </c>
      <c r="D20">
        <v>0</v>
      </c>
      <c r="E20">
        <f>SmtRes!AV20</f>
        <v>0</v>
      </c>
      <c r="F20" t="str">
        <f>SmtRes!I20</f>
        <v>21.1-25-736</v>
      </c>
      <c r="G20" t="str">
        <f>SmtRes!K20</f>
        <v>Линолеум поливинилхлоридный высокой износостойкости, класс 34/43, истираемость 110 (86) мкм (Р), группа горючести Г1, толщина 2 мм</v>
      </c>
      <c r="H20" t="str">
        <f>SmtRes!O20</f>
        <v>м2</v>
      </c>
      <c r="I20">
        <f>SmtRes!Y20*Source!I36</f>
        <v>60.027000000000008</v>
      </c>
      <c r="J20">
        <f>SmtRes!AO20</f>
        <v>1</v>
      </c>
      <c r="K20">
        <f>SmtRes!AE20</f>
        <v>1117.3499999999999</v>
      </c>
      <c r="L20">
        <f>SmtRes!DB20</f>
        <v>119556.45</v>
      </c>
      <c r="M20">
        <f>ROUND(ROUND(L20*Source!I36, 6)*1, 2)</f>
        <v>67071.17</v>
      </c>
      <c r="N20">
        <f>SmtRes!AA20</f>
        <v>1117.3499999999999</v>
      </c>
      <c r="O20">
        <f>ROUND(ROUND(L20*Source!I36, 6)*SmtRes!DA20, 2)</f>
        <v>67071.17</v>
      </c>
      <c r="P20">
        <f>SmtRes!AG20</f>
        <v>0</v>
      </c>
      <c r="Q20">
        <f>SmtRes!DC20</f>
        <v>0</v>
      </c>
      <c r="R20">
        <f>ROUND(ROUND(Q20*Source!I36, 6)*1, 2)</f>
        <v>0</v>
      </c>
      <c r="S20">
        <f>SmtRes!AC20</f>
        <v>0</v>
      </c>
      <c r="T20">
        <f>ROUND(ROUND(Q20*Source!I36, 6)*SmtRes!AK20, 2)</f>
        <v>0</v>
      </c>
      <c r="U20">
        <v>3</v>
      </c>
      <c r="Z20">
        <f>SmtRes!X20</f>
        <v>-1901445925</v>
      </c>
      <c r="AA20">
        <v>1879435092</v>
      </c>
      <c r="AB20">
        <v>1879435092</v>
      </c>
    </row>
    <row r="21" spans="1:28" x14ac:dyDescent="0.2">
      <c r="A21">
        <v>20</v>
      </c>
      <c r="B21">
        <v>19</v>
      </c>
      <c r="C21">
        <v>3</v>
      </c>
      <c r="D21">
        <v>0</v>
      </c>
      <c r="E21">
        <f>SmtRes!AV19</f>
        <v>0</v>
      </c>
      <c r="F21" t="str">
        <f>SmtRes!I19</f>
        <v>21.1-25-100</v>
      </c>
      <c r="G21" t="str">
        <f>SmtRes!K19</f>
        <v>Клей водно-дисперсионный акриловый, универсальный для укладки поливинилхлоридных и текстильных покрытий</v>
      </c>
      <c r="H21" t="str">
        <f>SmtRes!O19</f>
        <v>кг</v>
      </c>
      <c r="I21">
        <f>SmtRes!Y19*Source!I36</f>
        <v>20.224050000000002</v>
      </c>
      <c r="J21">
        <f>SmtRes!AO19</f>
        <v>1</v>
      </c>
      <c r="K21">
        <f>SmtRes!AE19</f>
        <v>221.14</v>
      </c>
      <c r="L21">
        <f>SmtRes!DB19</f>
        <v>7972.1</v>
      </c>
      <c r="M21">
        <f>ROUND(ROUND(L21*Source!I36, 6)*1, 2)</f>
        <v>4472.3500000000004</v>
      </c>
      <c r="N21">
        <f>SmtRes!AA19</f>
        <v>221.14</v>
      </c>
      <c r="O21">
        <f>ROUND(ROUND(L21*Source!I36, 6)*SmtRes!DA19, 2)</f>
        <v>4472.3500000000004</v>
      </c>
      <c r="P21">
        <f>SmtRes!AG19</f>
        <v>0</v>
      </c>
      <c r="Q21">
        <f>SmtRes!DC19</f>
        <v>0</v>
      </c>
      <c r="R21">
        <f>ROUND(ROUND(Q21*Source!I36, 6)*1, 2)</f>
        <v>0</v>
      </c>
      <c r="S21">
        <f>SmtRes!AC19</f>
        <v>0</v>
      </c>
      <c r="T21">
        <f>ROUND(ROUND(Q21*Source!I36, 6)*SmtRes!AK19, 2)</f>
        <v>0</v>
      </c>
      <c r="U21">
        <v>3</v>
      </c>
      <c r="Z21">
        <f>SmtRes!X19</f>
        <v>713614851</v>
      </c>
      <c r="AA21">
        <v>-1833135714</v>
      </c>
      <c r="AB21">
        <v>-1833135714</v>
      </c>
    </row>
    <row r="22" spans="1:28" x14ac:dyDescent="0.2">
      <c r="A22">
        <v>20</v>
      </c>
      <c r="B22">
        <v>18</v>
      </c>
      <c r="C22">
        <v>2</v>
      </c>
      <c r="D22">
        <v>0</v>
      </c>
      <c r="E22">
        <f>SmtRes!AV18</f>
        <v>0</v>
      </c>
      <c r="F22" t="str">
        <f>SmtRes!I18</f>
        <v>22.1-30-23</v>
      </c>
      <c r="G22" t="str">
        <f>SmtRes!K18</f>
        <v>Приспособления для снятия фасок</v>
      </c>
      <c r="H22" t="str">
        <f>SmtRes!O18</f>
        <v>маш.-ч</v>
      </c>
      <c r="I22">
        <f>SmtRes!Y18*Source!I36</f>
        <v>0.84150000000000014</v>
      </c>
      <c r="J22">
        <f>SmtRes!AO18</f>
        <v>1</v>
      </c>
      <c r="K22">
        <f>SmtRes!AF18</f>
        <v>3.57</v>
      </c>
      <c r="L22">
        <f>SmtRes!DB18</f>
        <v>5.36</v>
      </c>
      <c r="M22">
        <f>ROUND(ROUND(L22*Source!I36, 6)*1, 2)</f>
        <v>3.01</v>
      </c>
      <c r="N22">
        <f>SmtRes!AB18</f>
        <v>3.57</v>
      </c>
      <c r="O22">
        <f>ROUND(ROUND(L22*Source!I36, 6)*SmtRes!DA18, 2)</f>
        <v>3.01</v>
      </c>
      <c r="P22">
        <f>SmtRes!AG18</f>
        <v>0.01</v>
      </c>
      <c r="Q22">
        <f>SmtRes!DC18</f>
        <v>0.02</v>
      </c>
      <c r="R22">
        <f>ROUND(ROUND(Q22*Source!I36, 6)*1, 2)</f>
        <v>0.01</v>
      </c>
      <c r="S22">
        <f>SmtRes!AC18</f>
        <v>0.01</v>
      </c>
      <c r="T22">
        <f>ROUND(ROUND(Q22*Source!I36, 6)*SmtRes!AK18, 2)</f>
        <v>0.01</v>
      </c>
      <c r="U22">
        <v>2</v>
      </c>
      <c r="Z22">
        <f>SmtRes!X18</f>
        <v>-1279016800</v>
      </c>
      <c r="AA22">
        <v>1804376768</v>
      </c>
      <c r="AB22">
        <v>1804376768</v>
      </c>
    </row>
    <row r="23" spans="1:28" x14ac:dyDescent="0.2">
      <c r="A23">
        <v>20</v>
      </c>
      <c r="B23">
        <v>17</v>
      </c>
      <c r="C23">
        <v>2</v>
      </c>
      <c r="D23">
        <v>0</v>
      </c>
      <c r="E23">
        <f>SmtRes!AV17</f>
        <v>0</v>
      </c>
      <c r="F23" t="str">
        <f>SmtRes!I17</f>
        <v>22.1-17-156</v>
      </c>
      <c r="G23" t="str">
        <f>SmtRes!K17</f>
        <v>Фены строительные, мощность 2 кВт</v>
      </c>
      <c r="H23" t="str">
        <f>SmtRes!O17</f>
        <v>маш.-ч</v>
      </c>
      <c r="I23">
        <f>SmtRes!Y17*Source!I36</f>
        <v>2.6367000000000003</v>
      </c>
      <c r="J23">
        <f>SmtRes!AO17</f>
        <v>1</v>
      </c>
      <c r="K23">
        <f>SmtRes!AF17</f>
        <v>10.02</v>
      </c>
      <c r="L23">
        <f>SmtRes!DB17</f>
        <v>47.09</v>
      </c>
      <c r="M23">
        <f>ROUND(ROUND(L23*Source!I36, 6)*1, 2)</f>
        <v>26.42</v>
      </c>
      <c r="N23">
        <f>SmtRes!AB17</f>
        <v>10.02</v>
      </c>
      <c r="O23">
        <f>ROUND(ROUND(L23*Source!I36, 6)*SmtRes!DA17, 2)</f>
        <v>26.42</v>
      </c>
      <c r="P23">
        <f>SmtRes!AG17</f>
        <v>0</v>
      </c>
      <c r="Q23">
        <f>SmtRes!DC17</f>
        <v>0</v>
      </c>
      <c r="R23">
        <f>ROUND(ROUND(Q23*Source!I36, 6)*1, 2)</f>
        <v>0</v>
      </c>
      <c r="S23">
        <f>SmtRes!AC17</f>
        <v>0</v>
      </c>
      <c r="T23">
        <f>ROUND(ROUND(Q23*Source!I36, 6)*SmtRes!AK17, 2)</f>
        <v>0</v>
      </c>
      <c r="U23">
        <v>2</v>
      </c>
      <c r="Z23">
        <f>SmtRes!X17</f>
        <v>-476797040</v>
      </c>
      <c r="AA23">
        <v>222818004</v>
      </c>
      <c r="AB23">
        <v>222818004</v>
      </c>
    </row>
    <row r="24" spans="1:28" x14ac:dyDescent="0.2">
      <c r="A24">
        <v>20</v>
      </c>
      <c r="B24">
        <v>16</v>
      </c>
      <c r="C24">
        <v>2</v>
      </c>
      <c r="D24">
        <v>0</v>
      </c>
      <c r="E24">
        <f>SmtRes!AV16</f>
        <v>0</v>
      </c>
      <c r="F24" t="str">
        <f>SmtRes!I16</f>
        <v>22.1-14-13</v>
      </c>
      <c r="G24" t="str">
        <f>SmtRes!K16</f>
        <v>Пылесосы, потребляемая мощность 350-1200 Вт</v>
      </c>
      <c r="H24" t="str">
        <f>SmtRes!O16</f>
        <v>маш.-ч</v>
      </c>
      <c r="I24">
        <f>SmtRes!Y16*Source!I36</f>
        <v>3.7250400000000004</v>
      </c>
      <c r="J24">
        <f>SmtRes!AO16</f>
        <v>1</v>
      </c>
      <c r="K24">
        <f>SmtRes!AF16</f>
        <v>56.19</v>
      </c>
      <c r="L24">
        <f>SmtRes!DB16</f>
        <v>373.1</v>
      </c>
      <c r="M24">
        <f>ROUND(ROUND(L24*Source!I36, 6)*1, 2)</f>
        <v>209.31</v>
      </c>
      <c r="N24">
        <f>SmtRes!AB16</f>
        <v>56.19</v>
      </c>
      <c r="O24">
        <f>ROUND(ROUND(L24*Source!I36, 6)*SmtRes!DA16, 2)</f>
        <v>209.31</v>
      </c>
      <c r="P24">
        <f>SmtRes!AG16</f>
        <v>0.31</v>
      </c>
      <c r="Q24">
        <f>SmtRes!DC16</f>
        <v>2.06</v>
      </c>
      <c r="R24">
        <f>ROUND(ROUND(Q24*Source!I36, 6)*1, 2)</f>
        <v>1.1599999999999999</v>
      </c>
      <c r="S24">
        <f>SmtRes!AC16</f>
        <v>0.31</v>
      </c>
      <c r="T24">
        <f>ROUND(ROUND(Q24*Source!I36, 6)*SmtRes!AK16, 2)</f>
        <v>1.1599999999999999</v>
      </c>
      <c r="U24">
        <v>2</v>
      </c>
      <c r="Z24">
        <f>SmtRes!X16</f>
        <v>64700738</v>
      </c>
      <c r="AA24">
        <v>1115396703</v>
      </c>
      <c r="AB24">
        <v>1115396703</v>
      </c>
    </row>
    <row r="25" spans="1:28" x14ac:dyDescent="0.2">
      <c r="A25">
        <v>20</v>
      </c>
      <c r="B25">
        <v>24</v>
      </c>
      <c r="C25">
        <v>3</v>
      </c>
      <c r="D25">
        <v>0</v>
      </c>
      <c r="E25">
        <f>SmtRes!AV24</f>
        <v>0</v>
      </c>
      <c r="F25" t="str">
        <f>SmtRes!I24</f>
        <v>21.1-11-46</v>
      </c>
      <c r="G25" t="str">
        <f>SmtRes!K24</f>
        <v>Гвозди строительные</v>
      </c>
      <c r="H25" t="str">
        <f>SmtRes!O24</f>
        <v>т</v>
      </c>
      <c r="I25">
        <f>SmtRes!Y24*Source!I37</f>
        <v>1.3860000000000001E-4</v>
      </c>
      <c r="J25">
        <f>SmtRes!AO24</f>
        <v>1</v>
      </c>
      <c r="K25">
        <f>SmtRes!AE24</f>
        <v>95976.83</v>
      </c>
      <c r="L25">
        <f>SmtRes!DB24</f>
        <v>40.31</v>
      </c>
      <c r="M25">
        <f>ROUND(ROUND(L25*Source!I37, 6)*1, 2)</f>
        <v>13.3</v>
      </c>
      <c r="N25">
        <f>SmtRes!AA24</f>
        <v>95976.83</v>
      </c>
      <c r="O25">
        <f>ROUND(ROUND(L25*Source!I37, 6)*SmtRes!DA24, 2)</f>
        <v>13.3</v>
      </c>
      <c r="P25">
        <f>SmtRes!AG24</f>
        <v>0</v>
      </c>
      <c r="Q25">
        <f>SmtRes!DC24</f>
        <v>0</v>
      </c>
      <c r="R25">
        <f>ROUND(ROUND(Q25*Source!I37, 6)*1, 2)</f>
        <v>0</v>
      </c>
      <c r="S25">
        <f>SmtRes!AC24</f>
        <v>0</v>
      </c>
      <c r="T25">
        <f>ROUND(ROUND(Q25*Source!I37, 6)*SmtRes!AK24, 2)</f>
        <v>0</v>
      </c>
      <c r="U25">
        <v>3</v>
      </c>
      <c r="Z25">
        <f>SmtRes!X24</f>
        <v>-799169102</v>
      </c>
      <c r="AA25">
        <v>1916598461</v>
      </c>
      <c r="AB25">
        <v>1916598461</v>
      </c>
    </row>
    <row r="26" spans="1:28" x14ac:dyDescent="0.2">
      <c r="A26">
        <f>Source!A38</f>
        <v>18</v>
      </c>
      <c r="B26">
        <v>38</v>
      </c>
      <c r="C26">
        <v>3</v>
      </c>
      <c r="D26">
        <f>Source!BI38</f>
        <v>4</v>
      </c>
      <c r="E26">
        <f>Source!FS38</f>
        <v>0</v>
      </c>
      <c r="F26" t="str">
        <f>Source!F38</f>
        <v>цена пост.</v>
      </c>
      <c r="G26" t="str">
        <f>Source!G38</f>
        <v>Плинтус деревянный сращенный ПКС-50 13x50x2200 мм хвоя Экстра (или эквивалент)</v>
      </c>
      <c r="H26" t="str">
        <f>Source!H38</f>
        <v>м</v>
      </c>
      <c r="I26">
        <f>Source!I38</f>
        <v>34.65</v>
      </c>
      <c r="J26">
        <v>1</v>
      </c>
      <c r="K26">
        <f>Source!AC38</f>
        <v>87.13</v>
      </c>
      <c r="M26">
        <f>ROUND(K26*I26, 2)</f>
        <v>3019.05</v>
      </c>
      <c r="N26">
        <f>Source!AC38*IF(Source!BC38&lt;&gt; 0, Source!BC38, 1)</f>
        <v>87.13</v>
      </c>
      <c r="O26">
        <f>ROUND(N26*I26, 2)</f>
        <v>3019.05</v>
      </c>
      <c r="P26">
        <f>Source!AE38</f>
        <v>0</v>
      </c>
      <c r="R26">
        <f>ROUND(P26*I26, 2)</f>
        <v>0</v>
      </c>
      <c r="S26">
        <f>Source!AE38*IF(Source!BS38&lt;&gt; 0, Source!BS38, 1)</f>
        <v>0</v>
      </c>
      <c r="T26">
        <f>ROUND(S26*I26, 2)</f>
        <v>0</v>
      </c>
      <c r="U26">
        <v>3</v>
      </c>
      <c r="Z26">
        <f>Source!GF38</f>
        <v>1643166817</v>
      </c>
      <c r="AA26">
        <v>816279899</v>
      </c>
      <c r="AB26">
        <v>816279899</v>
      </c>
    </row>
    <row r="27" spans="1:28" x14ac:dyDescent="0.2">
      <c r="A27">
        <f>Source!A41</f>
        <v>18</v>
      </c>
      <c r="B27">
        <v>41</v>
      </c>
      <c r="C27">
        <v>3</v>
      </c>
      <c r="D27">
        <f>Source!BI41</f>
        <v>4</v>
      </c>
      <c r="E27">
        <f>Source!FS41</f>
        <v>0</v>
      </c>
      <c r="F27" t="str">
        <f>Source!F41</f>
        <v>21.1-8-4</v>
      </c>
      <c r="G27" t="str">
        <f>Source!G41</f>
        <v>Морилка натуральная (в 2 слоя)</v>
      </c>
      <c r="H27" t="str">
        <f>Source!H41</f>
        <v>кг</v>
      </c>
      <c r="I27">
        <f>Source!I41</f>
        <v>0.4</v>
      </c>
      <c r="J27">
        <v>1</v>
      </c>
      <c r="K27">
        <f>Source!AC41</f>
        <v>309.42</v>
      </c>
      <c r="M27">
        <f>ROUND(K27*I27, 2)</f>
        <v>123.77</v>
      </c>
      <c r="N27">
        <f>Source!AC41*IF(Source!BC41&lt;&gt; 0, Source!BC41, 1)</f>
        <v>309.42</v>
      </c>
      <c r="O27">
        <f>ROUND(N27*I27, 2)</f>
        <v>123.77</v>
      </c>
      <c r="P27">
        <f>Source!AE41</f>
        <v>0</v>
      </c>
      <c r="R27">
        <f>ROUND(P27*I27, 2)</f>
        <v>0</v>
      </c>
      <c r="S27">
        <f>Source!AE41*IF(Source!BS41&lt;&gt; 0, Source!BS41, 1)</f>
        <v>0</v>
      </c>
      <c r="T27">
        <f>ROUND(S27*I27, 2)</f>
        <v>0</v>
      </c>
      <c r="U27">
        <v>3</v>
      </c>
      <c r="Z27">
        <f>Source!GF41</f>
        <v>1429785642</v>
      </c>
      <c r="AA27">
        <v>-1601762150</v>
      </c>
      <c r="AB27">
        <v>-1601762150</v>
      </c>
    </row>
    <row r="28" spans="1:28" x14ac:dyDescent="0.2">
      <c r="A28">
        <v>20</v>
      </c>
      <c r="B28">
        <v>35</v>
      </c>
      <c r="C28">
        <v>3</v>
      </c>
      <c r="D28">
        <v>0</v>
      </c>
      <c r="E28">
        <f>SmtRes!AV35</f>
        <v>0</v>
      </c>
      <c r="F28" t="str">
        <f>SmtRes!I35</f>
        <v>21.7-12-1</v>
      </c>
      <c r="G28" t="str">
        <f>SmtRes!K35</f>
        <v>Профили алюминиевые, ширина 40 мм, марка СПА 3505</v>
      </c>
      <c r="H28" t="str">
        <f>SmtRes!O35</f>
        <v>м</v>
      </c>
      <c r="I28">
        <f>SmtRes!Y35*Source!I43</f>
        <v>0.94499999999999995</v>
      </c>
      <c r="J28">
        <f>SmtRes!AO35</f>
        <v>1</v>
      </c>
      <c r="K28">
        <f>SmtRes!AE35</f>
        <v>154.56</v>
      </c>
      <c r="L28">
        <f>SmtRes!DB35</f>
        <v>16228.8</v>
      </c>
      <c r="M28">
        <f>ROUND(ROUND(L28*Source!I43, 6)*1, 2)</f>
        <v>146.06</v>
      </c>
      <c r="N28">
        <f>SmtRes!AA35</f>
        <v>154.56</v>
      </c>
      <c r="O28">
        <f>ROUND(ROUND(L28*Source!I43, 6)*SmtRes!DA35, 2)</f>
        <v>146.06</v>
      </c>
      <c r="P28">
        <f>SmtRes!AG35</f>
        <v>0</v>
      </c>
      <c r="Q28">
        <f>SmtRes!DC35</f>
        <v>0</v>
      </c>
      <c r="R28">
        <f>ROUND(ROUND(Q28*Source!I43, 6)*1, 2)</f>
        <v>0</v>
      </c>
      <c r="S28">
        <f>SmtRes!AC35</f>
        <v>0</v>
      </c>
      <c r="T28">
        <f>ROUND(ROUND(Q28*Source!I43, 6)*SmtRes!AK35, 2)</f>
        <v>0</v>
      </c>
      <c r="U28">
        <v>3</v>
      </c>
      <c r="Z28">
        <f>SmtRes!X35</f>
        <v>-1781956644</v>
      </c>
      <c r="AA28">
        <v>1256870118</v>
      </c>
      <c r="AB28">
        <v>1256870118</v>
      </c>
    </row>
    <row r="29" spans="1:28" x14ac:dyDescent="0.2">
      <c r="A29">
        <v>20</v>
      </c>
      <c r="B29">
        <v>34</v>
      </c>
      <c r="C29">
        <v>3</v>
      </c>
      <c r="D29">
        <v>0</v>
      </c>
      <c r="E29">
        <f>SmtRes!AV34</f>
        <v>0</v>
      </c>
      <c r="F29" t="str">
        <f>SmtRes!I34</f>
        <v>21.1-11-32</v>
      </c>
      <c r="G29" t="str">
        <f>SmtRes!K34</f>
        <v>Винты самонарезающие оцинкованные, длина 25 мм</v>
      </c>
      <c r="H29" t="str">
        <f>SmtRes!O34</f>
        <v>кг</v>
      </c>
      <c r="I29">
        <f>SmtRes!Y34*Source!I43</f>
        <v>8.4599999999999988E-3</v>
      </c>
      <c r="J29">
        <f>SmtRes!AO34</f>
        <v>1</v>
      </c>
      <c r="K29">
        <f>SmtRes!AE34</f>
        <v>263.45</v>
      </c>
      <c r="L29">
        <f>SmtRes!DB34</f>
        <v>247.64</v>
      </c>
      <c r="M29">
        <f>ROUND(ROUND(L29*Source!I43, 6)*1, 2)</f>
        <v>2.23</v>
      </c>
      <c r="N29">
        <f>SmtRes!AA34</f>
        <v>263.45</v>
      </c>
      <c r="O29">
        <f>ROUND(ROUND(L29*Source!I43, 6)*SmtRes!DA34, 2)</f>
        <v>2.23</v>
      </c>
      <c r="P29">
        <f>SmtRes!AG34</f>
        <v>0</v>
      </c>
      <c r="Q29">
        <f>SmtRes!DC34</f>
        <v>0</v>
      </c>
      <c r="R29">
        <f>ROUND(ROUND(Q29*Source!I43, 6)*1, 2)</f>
        <v>0</v>
      </c>
      <c r="S29">
        <f>SmtRes!AC34</f>
        <v>0</v>
      </c>
      <c r="T29">
        <f>ROUND(ROUND(Q29*Source!I43, 6)*SmtRes!AK34, 2)</f>
        <v>0</v>
      </c>
      <c r="U29">
        <v>3</v>
      </c>
      <c r="Z29">
        <f>SmtRes!X34</f>
        <v>25616993</v>
      </c>
      <c r="AA29">
        <v>-1846749560</v>
      </c>
      <c r="AB29">
        <v>-1846749560</v>
      </c>
    </row>
    <row r="30" spans="1:28" x14ac:dyDescent="0.2">
      <c r="A30">
        <v>20</v>
      </c>
      <c r="B30">
        <v>33</v>
      </c>
      <c r="C30">
        <v>2</v>
      </c>
      <c r="D30">
        <v>0</v>
      </c>
      <c r="E30">
        <f>SmtRes!AV33</f>
        <v>0</v>
      </c>
      <c r="F30" t="str">
        <f>SmtRes!I33</f>
        <v>22.1-30-56</v>
      </c>
      <c r="G30" t="str">
        <f>SmtRes!K33</f>
        <v>Шуруповерты</v>
      </c>
      <c r="H30" t="str">
        <f>SmtRes!O33</f>
        <v>маш.-ч</v>
      </c>
      <c r="I30">
        <f>SmtRes!Y33*Source!I43</f>
        <v>6.5699999999999995E-2</v>
      </c>
      <c r="J30">
        <f>SmtRes!AO33</f>
        <v>1</v>
      </c>
      <c r="K30">
        <f>SmtRes!AF33</f>
        <v>7.44</v>
      </c>
      <c r="L30">
        <f>SmtRes!DB33</f>
        <v>54.31</v>
      </c>
      <c r="M30">
        <f>ROUND(ROUND(L30*Source!I43, 6)*1, 2)</f>
        <v>0.49</v>
      </c>
      <c r="N30">
        <f>SmtRes!AB33</f>
        <v>7.44</v>
      </c>
      <c r="O30">
        <f>ROUND(ROUND(L30*Source!I43, 6)*SmtRes!DA33, 2)</f>
        <v>0.49</v>
      </c>
      <c r="P30">
        <f>SmtRes!AG33</f>
        <v>0.01</v>
      </c>
      <c r="Q30">
        <f>SmtRes!DC33</f>
        <v>7.0000000000000007E-2</v>
      </c>
      <c r="R30">
        <f>ROUND(ROUND(Q30*Source!I43, 6)*1, 2)</f>
        <v>0</v>
      </c>
      <c r="S30">
        <f>SmtRes!AC33</f>
        <v>0.01</v>
      </c>
      <c r="T30">
        <f>ROUND(ROUND(Q30*Source!I43, 6)*SmtRes!AK33, 2)</f>
        <v>0</v>
      </c>
      <c r="U30">
        <v>2</v>
      </c>
      <c r="Z30">
        <f>SmtRes!X33</f>
        <v>-247555338</v>
      </c>
      <c r="AA30">
        <v>-1795244417</v>
      </c>
      <c r="AB30">
        <v>-1795244417</v>
      </c>
    </row>
    <row r="31" spans="1:28" x14ac:dyDescent="0.2">
      <c r="A31">
        <v>20</v>
      </c>
      <c r="B31">
        <v>32</v>
      </c>
      <c r="C31">
        <v>2</v>
      </c>
      <c r="D31">
        <v>0</v>
      </c>
      <c r="E31">
        <f>SmtRes!AV32</f>
        <v>0</v>
      </c>
      <c r="F31" t="str">
        <f>SmtRes!I32</f>
        <v>22.1-30-27</v>
      </c>
      <c r="G31" t="str">
        <f>SmtRes!K32</f>
        <v>Пилы дисковые электрические для резки пиломатериалов</v>
      </c>
      <c r="H31" t="str">
        <f>SmtRes!O32</f>
        <v>маш.-ч</v>
      </c>
      <c r="I31">
        <f>SmtRes!Y32*Source!I43</f>
        <v>4.0499999999999998E-3</v>
      </c>
      <c r="J31">
        <f>SmtRes!AO32</f>
        <v>1</v>
      </c>
      <c r="K31">
        <f>SmtRes!AF32</f>
        <v>6.09</v>
      </c>
      <c r="L31">
        <f>SmtRes!DB32</f>
        <v>2.74</v>
      </c>
      <c r="M31">
        <f>ROUND(ROUND(L31*Source!I43, 6)*1, 2)</f>
        <v>0.02</v>
      </c>
      <c r="N31">
        <f>SmtRes!AB32</f>
        <v>6.09</v>
      </c>
      <c r="O31">
        <f>ROUND(ROUND(L31*Source!I43, 6)*SmtRes!DA32, 2)</f>
        <v>0.02</v>
      </c>
      <c r="P31">
        <f>SmtRes!AG32</f>
        <v>0.01</v>
      </c>
      <c r="Q31">
        <f>SmtRes!DC32</f>
        <v>0</v>
      </c>
      <c r="R31">
        <f>ROUND(ROUND(Q31*Source!I43, 6)*1, 2)</f>
        <v>0</v>
      </c>
      <c r="S31">
        <f>SmtRes!AC32</f>
        <v>0.01</v>
      </c>
      <c r="T31">
        <f>ROUND(ROUND(Q31*Source!I43, 6)*SmtRes!AK32, 2)</f>
        <v>0</v>
      </c>
      <c r="U31">
        <v>2</v>
      </c>
      <c r="Z31">
        <f>SmtRes!X32</f>
        <v>-156276122</v>
      </c>
      <c r="AA31">
        <v>1696645965</v>
      </c>
      <c r="AB31">
        <v>1696645965</v>
      </c>
    </row>
    <row r="32" spans="1:28" x14ac:dyDescent="0.2">
      <c r="A32">
        <v>20</v>
      </c>
      <c r="B32">
        <v>31</v>
      </c>
      <c r="C32">
        <v>2</v>
      </c>
      <c r="D32">
        <v>0</v>
      </c>
      <c r="E32">
        <f>SmtRes!AV31</f>
        <v>0</v>
      </c>
      <c r="F32" t="str">
        <f>SmtRes!I31</f>
        <v>22.1-30-102</v>
      </c>
      <c r="G32" t="str">
        <f>SmtRes!K31</f>
        <v>Дрели электрические, двухскоростные, мощностью 600 Вт</v>
      </c>
      <c r="H32" t="str">
        <f>SmtRes!O31</f>
        <v>маш.-ч</v>
      </c>
      <c r="I32">
        <f>SmtRes!Y31*Source!I43</f>
        <v>4.8239999999999998E-2</v>
      </c>
      <c r="J32">
        <f>SmtRes!AO31</f>
        <v>1</v>
      </c>
      <c r="K32">
        <f>SmtRes!AF31</f>
        <v>6.13</v>
      </c>
      <c r="L32">
        <f>SmtRes!DB31</f>
        <v>32.86</v>
      </c>
      <c r="M32">
        <f>ROUND(ROUND(L32*Source!I43, 6)*1, 2)</f>
        <v>0.3</v>
      </c>
      <c r="N32">
        <f>SmtRes!AB31</f>
        <v>6.13</v>
      </c>
      <c r="O32">
        <f>ROUND(ROUND(L32*Source!I43, 6)*SmtRes!DA31, 2)</f>
        <v>0.3</v>
      </c>
      <c r="P32">
        <f>SmtRes!AG31</f>
        <v>1.91</v>
      </c>
      <c r="Q32">
        <f>SmtRes!DC31</f>
        <v>10.24</v>
      </c>
      <c r="R32">
        <f>ROUND(ROUND(Q32*Source!I43, 6)*1, 2)</f>
        <v>0.09</v>
      </c>
      <c r="S32">
        <f>SmtRes!AC31</f>
        <v>1.91</v>
      </c>
      <c r="T32">
        <f>ROUND(ROUND(Q32*Source!I43, 6)*SmtRes!AK31, 2)</f>
        <v>0.09</v>
      </c>
      <c r="U32">
        <v>2</v>
      </c>
      <c r="Z32">
        <f>SmtRes!X31</f>
        <v>1989376342</v>
      </c>
      <c r="AA32">
        <v>1891803891</v>
      </c>
      <c r="AB32">
        <v>1891803891</v>
      </c>
    </row>
    <row r="33" spans="1:28" x14ac:dyDescent="0.2">
      <c r="A33">
        <f>Source!A75</f>
        <v>5</v>
      </c>
      <c r="B33">
        <v>75</v>
      </c>
      <c r="G33" t="str">
        <f>Source!G75</f>
        <v>Стены</v>
      </c>
    </row>
    <row r="34" spans="1:28" x14ac:dyDescent="0.2">
      <c r="A34">
        <v>20</v>
      </c>
      <c r="B34">
        <v>37</v>
      </c>
      <c r="C34">
        <v>2</v>
      </c>
      <c r="D34">
        <v>0</v>
      </c>
      <c r="E34">
        <f>SmtRes!AV37</f>
        <v>0</v>
      </c>
      <c r="F34" t="str">
        <f>SmtRes!I37</f>
        <v>22.1-30-56</v>
      </c>
      <c r="G34" t="str">
        <f>SmtRes!K37</f>
        <v>Шуруповерты</v>
      </c>
      <c r="H34" t="str">
        <f>SmtRes!O37</f>
        <v>маш.-ч</v>
      </c>
      <c r="I34">
        <f>SmtRes!Y37*Source!I79</f>
        <v>0.24</v>
      </c>
      <c r="J34">
        <f>SmtRes!AO37</f>
        <v>1</v>
      </c>
      <c r="K34">
        <f>SmtRes!AF37</f>
        <v>7.44</v>
      </c>
      <c r="L34">
        <f>SmtRes!DB37</f>
        <v>0.15</v>
      </c>
      <c r="M34">
        <f>ROUND(ROUND(L34*Source!I79, 6)*1, 2)</f>
        <v>1.8</v>
      </c>
      <c r="N34">
        <f>SmtRes!AB37</f>
        <v>7.44</v>
      </c>
      <c r="O34">
        <f>ROUND(ROUND(L34*Source!I79, 6)*SmtRes!DA37, 2)</f>
        <v>1.8</v>
      </c>
      <c r="P34">
        <f>SmtRes!AG37</f>
        <v>0.01</v>
      </c>
      <c r="Q34">
        <f>SmtRes!DC37</f>
        <v>0</v>
      </c>
      <c r="R34">
        <f>ROUND(ROUND(Q34*Source!I79, 6)*1, 2)</f>
        <v>0</v>
      </c>
      <c r="S34">
        <f>SmtRes!AC37</f>
        <v>0.01</v>
      </c>
      <c r="T34">
        <f>ROUND(ROUND(Q34*Source!I79, 6)*SmtRes!AK37, 2)</f>
        <v>0</v>
      </c>
      <c r="U34">
        <v>2</v>
      </c>
      <c r="Z34">
        <f>SmtRes!X37</f>
        <v>-247555338</v>
      </c>
      <c r="AA34">
        <v>-1795244417</v>
      </c>
      <c r="AB34">
        <v>-1795244417</v>
      </c>
    </row>
    <row r="35" spans="1:28" x14ac:dyDescent="0.2">
      <c r="A35">
        <v>20</v>
      </c>
      <c r="B35">
        <v>50</v>
      </c>
      <c r="C35">
        <v>3</v>
      </c>
      <c r="D35">
        <v>0</v>
      </c>
      <c r="E35">
        <f>SmtRes!AV50</f>
        <v>0</v>
      </c>
      <c r="F35" t="str">
        <f>SmtRes!I50</f>
        <v>21.1-6-221</v>
      </c>
      <c r="G35" t="str">
        <f>SmtRes!K50</f>
        <v>Грунтовка водно-дисперсионная акриловая укрепляющая для минеральных поверхностей, типа ВД-АК-0110</v>
      </c>
      <c r="H35" t="str">
        <f>SmtRes!O50</f>
        <v>кг</v>
      </c>
      <c r="I35">
        <f>SmtRes!Y50*Source!I82</f>
        <v>7.7896000000000001</v>
      </c>
      <c r="J35">
        <f>SmtRes!AO50</f>
        <v>1</v>
      </c>
      <c r="K35">
        <f>SmtRes!AE50</f>
        <v>80.599999999999994</v>
      </c>
      <c r="L35">
        <f>SmtRes!DB50</f>
        <v>838.24</v>
      </c>
      <c r="M35">
        <f>ROUND(ROUND(L35*Source!I82, 6)*1, 2)</f>
        <v>627.84</v>
      </c>
      <c r="N35">
        <f>SmtRes!AA50</f>
        <v>80.599999999999994</v>
      </c>
      <c r="O35">
        <f>ROUND(ROUND(L35*Source!I82, 6)*SmtRes!DA50, 2)</f>
        <v>627.84</v>
      </c>
      <c r="P35">
        <f>SmtRes!AG50</f>
        <v>0</v>
      </c>
      <c r="Q35">
        <f>SmtRes!DC50</f>
        <v>0</v>
      </c>
      <c r="R35">
        <f>ROUND(ROUND(Q35*Source!I82, 6)*1, 2)</f>
        <v>0</v>
      </c>
      <c r="S35">
        <f>SmtRes!AC50</f>
        <v>0</v>
      </c>
      <c r="T35">
        <f>ROUND(ROUND(Q35*Source!I82, 6)*SmtRes!AK50, 2)</f>
        <v>0</v>
      </c>
      <c r="U35">
        <v>3</v>
      </c>
      <c r="Z35">
        <f>SmtRes!X50</f>
        <v>2089374929</v>
      </c>
      <c r="AA35">
        <v>-172959861</v>
      </c>
      <c r="AB35">
        <v>-172959861</v>
      </c>
    </row>
    <row r="36" spans="1:28" x14ac:dyDescent="0.2">
      <c r="A36">
        <v>20</v>
      </c>
      <c r="B36">
        <v>49</v>
      </c>
      <c r="C36">
        <v>3</v>
      </c>
      <c r="D36">
        <v>0</v>
      </c>
      <c r="E36">
        <f>SmtRes!AV49</f>
        <v>0</v>
      </c>
      <c r="F36" t="str">
        <f>SmtRes!I49</f>
        <v>21.1-6-219</v>
      </c>
      <c r="G36" t="str">
        <f>SmtRes!K49</f>
        <v>Краски водно-дисперсионные акриловые износостойкие, интерьерные, моющиеся, типа ВД-АК-210, белые</v>
      </c>
      <c r="H36" t="str">
        <f>SmtRes!O49</f>
        <v>кг</v>
      </c>
      <c r="I36">
        <f>SmtRes!Y49*Source!I82</f>
        <v>18.125799999999998</v>
      </c>
      <c r="J36">
        <f>SmtRes!AO49</f>
        <v>1</v>
      </c>
      <c r="K36">
        <f>SmtRes!AE49</f>
        <v>215.72</v>
      </c>
      <c r="L36">
        <f>SmtRes!DB49</f>
        <v>5220.42</v>
      </c>
      <c r="M36">
        <f>ROUND(ROUND(L36*Source!I82, 6)*1, 2)</f>
        <v>3910.09</v>
      </c>
      <c r="N36">
        <f>SmtRes!AA49</f>
        <v>215.72</v>
      </c>
      <c r="O36">
        <f>ROUND(ROUND(L36*Source!I82, 6)*SmtRes!DA49, 2)</f>
        <v>3910.09</v>
      </c>
      <c r="P36">
        <f>SmtRes!AG49</f>
        <v>0</v>
      </c>
      <c r="Q36">
        <f>SmtRes!DC49</f>
        <v>0</v>
      </c>
      <c r="R36">
        <f>ROUND(ROUND(Q36*Source!I82, 6)*1, 2)</f>
        <v>0</v>
      </c>
      <c r="S36">
        <f>SmtRes!AC49</f>
        <v>0</v>
      </c>
      <c r="T36">
        <f>ROUND(ROUND(Q36*Source!I82, 6)*SmtRes!AK49, 2)</f>
        <v>0</v>
      </c>
      <c r="U36">
        <v>3</v>
      </c>
      <c r="Z36">
        <f>SmtRes!X49</f>
        <v>-1799487693</v>
      </c>
      <c r="AA36">
        <v>1845104999</v>
      </c>
      <c r="AB36">
        <v>1845104999</v>
      </c>
    </row>
    <row r="37" spans="1:28" x14ac:dyDescent="0.2">
      <c r="A37">
        <v>20</v>
      </c>
      <c r="B37">
        <v>47</v>
      </c>
      <c r="C37">
        <v>3</v>
      </c>
      <c r="D37">
        <v>0</v>
      </c>
      <c r="E37">
        <f>SmtRes!AV47</f>
        <v>0</v>
      </c>
      <c r="F37" t="str">
        <f>SmtRes!I47</f>
        <v>21.1-25-404</v>
      </c>
      <c r="G37" t="str">
        <f>SmtRes!K47</f>
        <v>Шпатлевка водно-дисперсионная акриловая</v>
      </c>
      <c r="H37" t="str">
        <f>SmtRes!O47</f>
        <v>т</v>
      </c>
      <c r="I37">
        <f>SmtRes!Y47*Source!I82</f>
        <v>3.8198999999999997E-2</v>
      </c>
      <c r="J37">
        <f>SmtRes!AO47</f>
        <v>1</v>
      </c>
      <c r="K37">
        <f>SmtRes!AE47</f>
        <v>76204.789999999994</v>
      </c>
      <c r="L37">
        <f>SmtRes!DB47</f>
        <v>3886.44</v>
      </c>
      <c r="M37">
        <f>ROUND(ROUND(L37*Source!I82, 6)*1, 2)</f>
        <v>2910.94</v>
      </c>
      <c r="N37">
        <f>SmtRes!AA47</f>
        <v>76204.789999999994</v>
      </c>
      <c r="O37">
        <f>ROUND(ROUND(L37*Source!I82, 6)*SmtRes!DA47, 2)</f>
        <v>2910.94</v>
      </c>
      <c r="P37">
        <f>SmtRes!AG47</f>
        <v>0</v>
      </c>
      <c r="Q37">
        <f>SmtRes!DC47</f>
        <v>0</v>
      </c>
      <c r="R37">
        <f>ROUND(ROUND(Q37*Source!I82, 6)*1, 2)</f>
        <v>0</v>
      </c>
      <c r="S37">
        <f>SmtRes!AC47</f>
        <v>0</v>
      </c>
      <c r="T37">
        <f>ROUND(ROUND(Q37*Source!I82, 6)*SmtRes!AK47, 2)</f>
        <v>0</v>
      </c>
      <c r="U37">
        <v>3</v>
      </c>
      <c r="Z37">
        <f>SmtRes!X47</f>
        <v>1133369200</v>
      </c>
      <c r="AA37">
        <v>358603207</v>
      </c>
      <c r="AB37">
        <v>358603207</v>
      </c>
    </row>
    <row r="38" spans="1:28" x14ac:dyDescent="0.2">
      <c r="A38">
        <v>20</v>
      </c>
      <c r="B38">
        <v>46</v>
      </c>
      <c r="C38">
        <v>3</v>
      </c>
      <c r="D38">
        <v>0</v>
      </c>
      <c r="E38">
        <f>SmtRes!AV46</f>
        <v>0</v>
      </c>
      <c r="F38" t="str">
        <f>SmtRes!I46</f>
        <v>21.1-25-388</v>
      </c>
      <c r="G38" t="str">
        <f>SmtRes!K46</f>
        <v>Шкурка шлифовальная на бумажной основе</v>
      </c>
      <c r="H38" t="str">
        <f>SmtRes!O46</f>
        <v>м2</v>
      </c>
      <c r="I38">
        <f>SmtRes!Y46*Source!I82</f>
        <v>0.59920000000000007</v>
      </c>
      <c r="J38">
        <f>SmtRes!AO46</f>
        <v>1</v>
      </c>
      <c r="K38">
        <f>SmtRes!AE46</f>
        <v>338.51</v>
      </c>
      <c r="L38">
        <f>SmtRes!DB46</f>
        <v>270.81</v>
      </c>
      <c r="M38">
        <f>ROUND(ROUND(L38*Source!I82, 6)*1, 2)</f>
        <v>202.84</v>
      </c>
      <c r="N38">
        <f>SmtRes!AA46</f>
        <v>338.51</v>
      </c>
      <c r="O38">
        <f>ROUND(ROUND(L38*Source!I82, 6)*SmtRes!DA46, 2)</f>
        <v>202.84</v>
      </c>
      <c r="P38">
        <f>SmtRes!AG46</f>
        <v>0</v>
      </c>
      <c r="Q38">
        <f>SmtRes!DC46</f>
        <v>0</v>
      </c>
      <c r="R38">
        <f>ROUND(ROUND(Q38*Source!I82, 6)*1, 2)</f>
        <v>0</v>
      </c>
      <c r="S38">
        <f>SmtRes!AC46</f>
        <v>0</v>
      </c>
      <c r="T38">
        <f>ROUND(ROUND(Q38*Source!I82, 6)*SmtRes!AK46, 2)</f>
        <v>0</v>
      </c>
      <c r="U38">
        <v>3</v>
      </c>
      <c r="Z38">
        <f>SmtRes!X46</f>
        <v>-668698448</v>
      </c>
      <c r="AA38">
        <v>1781192509</v>
      </c>
      <c r="AB38">
        <v>1781192509</v>
      </c>
    </row>
    <row r="39" spans="1:28" x14ac:dyDescent="0.2">
      <c r="A39">
        <v>20</v>
      </c>
      <c r="B39">
        <v>45</v>
      </c>
      <c r="C39">
        <v>3</v>
      </c>
      <c r="D39">
        <v>0</v>
      </c>
      <c r="E39">
        <f>SmtRes!AV45</f>
        <v>0</v>
      </c>
      <c r="F39" t="str">
        <f>SmtRes!I45</f>
        <v>21.1-25-13</v>
      </c>
      <c r="G39" t="str">
        <f>SmtRes!K45</f>
        <v>Вода</v>
      </c>
      <c r="H39" t="str">
        <f>SmtRes!O45</f>
        <v>м3</v>
      </c>
      <c r="I39">
        <f>SmtRes!Y45*Source!I82</f>
        <v>4.4939999999999997E-3</v>
      </c>
      <c r="J39">
        <f>SmtRes!AO45</f>
        <v>1</v>
      </c>
      <c r="K39">
        <f>SmtRes!AE45</f>
        <v>49.83</v>
      </c>
      <c r="L39">
        <f>SmtRes!DB45</f>
        <v>0.3</v>
      </c>
      <c r="M39">
        <f>ROUND(ROUND(L39*Source!I82, 6)*1, 2)</f>
        <v>0.22</v>
      </c>
      <c r="N39">
        <f>SmtRes!AA45</f>
        <v>49.83</v>
      </c>
      <c r="O39">
        <f>ROUND(ROUND(L39*Source!I82, 6)*SmtRes!DA45, 2)</f>
        <v>0.22</v>
      </c>
      <c r="P39">
        <f>SmtRes!AG45</f>
        <v>0</v>
      </c>
      <c r="Q39">
        <f>SmtRes!DC45</f>
        <v>0</v>
      </c>
      <c r="R39">
        <f>ROUND(ROUND(Q39*Source!I82, 6)*1, 2)</f>
        <v>0</v>
      </c>
      <c r="S39">
        <f>SmtRes!AC45</f>
        <v>0</v>
      </c>
      <c r="T39">
        <f>ROUND(ROUND(Q39*Source!I82, 6)*SmtRes!AK45, 2)</f>
        <v>0</v>
      </c>
      <c r="U39">
        <v>3</v>
      </c>
      <c r="Z39">
        <f>SmtRes!X45</f>
        <v>973433911</v>
      </c>
      <c r="AA39">
        <v>1405492101</v>
      </c>
      <c r="AB39">
        <v>1405492101</v>
      </c>
    </row>
    <row r="40" spans="1:28" x14ac:dyDescent="0.2">
      <c r="A40">
        <v>20</v>
      </c>
      <c r="B40">
        <v>44</v>
      </c>
      <c r="C40">
        <v>3</v>
      </c>
      <c r="D40">
        <v>0</v>
      </c>
      <c r="E40">
        <f>SmtRes!AV44</f>
        <v>0</v>
      </c>
      <c r="F40" t="str">
        <f>SmtRes!I44</f>
        <v>21.1-20-7</v>
      </c>
      <c r="G40" t="str">
        <f>SmtRes!K44</f>
        <v>Ветошь</v>
      </c>
      <c r="H40" t="str">
        <f>SmtRes!O44</f>
        <v>кг</v>
      </c>
      <c r="I40">
        <f>SmtRes!Y44*Source!I82</f>
        <v>0.23219000000000001</v>
      </c>
      <c r="J40">
        <f>SmtRes!AO44</f>
        <v>1</v>
      </c>
      <c r="K40">
        <f>SmtRes!AE44</f>
        <v>26.09</v>
      </c>
      <c r="L40">
        <f>SmtRes!DB44</f>
        <v>8.09</v>
      </c>
      <c r="M40">
        <f>ROUND(ROUND(L40*Source!I82, 6)*1, 2)</f>
        <v>6.06</v>
      </c>
      <c r="N40">
        <f>SmtRes!AA44</f>
        <v>26.09</v>
      </c>
      <c r="O40">
        <f>ROUND(ROUND(L40*Source!I82, 6)*SmtRes!DA44, 2)</f>
        <v>6.06</v>
      </c>
      <c r="P40">
        <f>SmtRes!AG44</f>
        <v>0</v>
      </c>
      <c r="Q40">
        <f>SmtRes!DC44</f>
        <v>0</v>
      </c>
      <c r="R40">
        <f>ROUND(ROUND(Q40*Source!I82, 6)*1, 2)</f>
        <v>0</v>
      </c>
      <c r="S40">
        <f>SmtRes!AC44</f>
        <v>0</v>
      </c>
      <c r="T40">
        <f>ROUND(ROUND(Q40*Source!I82, 6)*SmtRes!AK44, 2)</f>
        <v>0</v>
      </c>
      <c r="U40">
        <v>3</v>
      </c>
      <c r="Z40">
        <f>SmtRes!X44</f>
        <v>1118017035</v>
      </c>
      <c r="AA40">
        <v>777677002</v>
      </c>
      <c r="AB40">
        <v>777677002</v>
      </c>
    </row>
    <row r="41" spans="1:28" x14ac:dyDescent="0.2">
      <c r="A41">
        <f>Source!A83</f>
        <v>18</v>
      </c>
      <c r="B41">
        <v>83</v>
      </c>
      <c r="C41">
        <v>3</v>
      </c>
      <c r="D41">
        <f>Source!BI83</f>
        <v>4</v>
      </c>
      <c r="E41">
        <f>Source!FS83</f>
        <v>0</v>
      </c>
      <c r="F41" t="str">
        <f>Source!F83</f>
        <v>21.1-6-103</v>
      </c>
      <c r="G41" t="str">
        <f>Source!G83</f>
        <v>Пигменты сухие для красок, охра золотистая (цвет по согласованию)</v>
      </c>
      <c r="H41" t="str">
        <f>Source!H83</f>
        <v>т</v>
      </c>
      <c r="I41">
        <f>Source!I83</f>
        <v>1.273E-3</v>
      </c>
      <c r="J41">
        <v>1</v>
      </c>
      <c r="K41">
        <f>Source!AC83</f>
        <v>198992.34</v>
      </c>
      <c r="M41">
        <f>ROUND(K41*I41, 2)</f>
        <v>253.32</v>
      </c>
      <c r="N41">
        <f>Source!AC83*IF(Source!BC83&lt;&gt; 0, Source!BC83, 1)</f>
        <v>198992.34</v>
      </c>
      <c r="O41">
        <f>ROUND(N41*I41, 2)</f>
        <v>253.32</v>
      </c>
      <c r="P41">
        <f>Source!AE83</f>
        <v>0</v>
      </c>
      <c r="R41">
        <f>ROUND(P41*I41, 2)</f>
        <v>0</v>
      </c>
      <c r="S41">
        <f>Source!AE83*IF(Source!BS83&lt;&gt; 0, Source!BS83, 1)</f>
        <v>0</v>
      </c>
      <c r="T41">
        <f>ROUND(S41*I41, 2)</f>
        <v>0</v>
      </c>
      <c r="U41">
        <v>3</v>
      </c>
      <c r="Z41">
        <f>Source!GF83</f>
        <v>812432982</v>
      </c>
      <c r="AA41">
        <v>1057484904</v>
      </c>
      <c r="AB41">
        <v>1057484904</v>
      </c>
    </row>
    <row r="42" spans="1:28" x14ac:dyDescent="0.2">
      <c r="A42">
        <f>Source!A115</f>
        <v>5</v>
      </c>
      <c r="B42">
        <v>115</v>
      </c>
      <c r="G42" t="str">
        <f>Source!G115</f>
        <v>Инженерные сети</v>
      </c>
    </row>
    <row r="43" spans="1:28" x14ac:dyDescent="0.2">
      <c r="A43">
        <v>20</v>
      </c>
      <c r="B43">
        <v>56</v>
      </c>
      <c r="C43">
        <v>3</v>
      </c>
      <c r="D43">
        <v>0</v>
      </c>
      <c r="E43">
        <f>SmtRes!AV56</f>
        <v>0</v>
      </c>
      <c r="F43" t="str">
        <f>SmtRes!I56</f>
        <v>21.9-12-46</v>
      </c>
      <c r="G43" t="str">
        <f>SmtRes!K56</f>
        <v>Раскладки хвойных пород, окрашенные, сечение 19х13(24) мм</v>
      </c>
      <c r="H43" t="str">
        <f>SmtRes!O56</f>
        <v>м</v>
      </c>
      <c r="I43">
        <f>SmtRes!Y56*Source!I120</f>
        <v>4</v>
      </c>
      <c r="J43">
        <f>SmtRes!AO56</f>
        <v>1</v>
      </c>
      <c r="K43">
        <f>SmtRes!AE56</f>
        <v>27.14</v>
      </c>
      <c r="L43">
        <f>SmtRes!DB56</f>
        <v>10856</v>
      </c>
      <c r="M43">
        <f>ROUND(ROUND(L43*Source!I120, 6)*1, 2)</f>
        <v>108.56</v>
      </c>
      <c r="N43">
        <f>SmtRes!AA56</f>
        <v>27.14</v>
      </c>
      <c r="O43">
        <f>ROUND(ROUND(L43*Source!I120, 6)*SmtRes!DA56, 2)</f>
        <v>108.56</v>
      </c>
      <c r="P43">
        <f>SmtRes!AG56</f>
        <v>0</v>
      </c>
      <c r="Q43">
        <f>SmtRes!DC56</f>
        <v>0</v>
      </c>
      <c r="R43">
        <f>ROUND(ROUND(Q43*Source!I120, 6)*1, 2)</f>
        <v>0</v>
      </c>
      <c r="S43">
        <f>SmtRes!AC56</f>
        <v>0</v>
      </c>
      <c r="T43">
        <f>ROUND(ROUND(Q43*Source!I120, 6)*SmtRes!AK56, 2)</f>
        <v>0</v>
      </c>
      <c r="U43">
        <v>3</v>
      </c>
      <c r="Z43">
        <f>SmtRes!X56</f>
        <v>-1908336614</v>
      </c>
      <c r="AA43">
        <v>895668758</v>
      </c>
      <c r="AB43">
        <v>895668758</v>
      </c>
    </row>
    <row r="44" spans="1:28" x14ac:dyDescent="0.2">
      <c r="A44">
        <v>20</v>
      </c>
      <c r="B44">
        <v>55</v>
      </c>
      <c r="C44">
        <v>3</v>
      </c>
      <c r="D44">
        <v>0</v>
      </c>
      <c r="E44">
        <f>SmtRes!AV55</f>
        <v>0</v>
      </c>
      <c r="F44" t="str">
        <f>SmtRes!I55</f>
        <v>21.1-11-84</v>
      </c>
      <c r="G44" t="str">
        <f>SmtRes!K55</f>
        <v>Поковки строительные (скобы, закрепы, хомуты) простые, масса 1,8 кг</v>
      </c>
      <c r="H44" t="str">
        <f>SmtRes!O55</f>
        <v>т</v>
      </c>
      <c r="I44">
        <f>SmtRes!Y55*Source!I120</f>
        <v>3.5000000000000005E-4</v>
      </c>
      <c r="J44">
        <f>SmtRes!AO55</f>
        <v>1</v>
      </c>
      <c r="K44">
        <f>SmtRes!AE55</f>
        <v>87313.75</v>
      </c>
      <c r="L44">
        <f>SmtRes!DB55</f>
        <v>3055.98</v>
      </c>
      <c r="M44">
        <f>ROUND(ROUND(L44*Source!I120, 6)*1, 2)</f>
        <v>30.56</v>
      </c>
      <c r="N44">
        <f>SmtRes!AA55</f>
        <v>87313.75</v>
      </c>
      <c r="O44">
        <f>ROUND(ROUND(L44*Source!I120, 6)*SmtRes!DA55, 2)</f>
        <v>30.56</v>
      </c>
      <c r="P44">
        <f>SmtRes!AG55</f>
        <v>0</v>
      </c>
      <c r="Q44">
        <f>SmtRes!DC55</f>
        <v>0</v>
      </c>
      <c r="R44">
        <f>ROUND(ROUND(Q44*Source!I120, 6)*1, 2)</f>
        <v>0</v>
      </c>
      <c r="S44">
        <f>SmtRes!AC55</f>
        <v>0</v>
      </c>
      <c r="T44">
        <f>ROUND(ROUND(Q44*Source!I120, 6)*SmtRes!AK55, 2)</f>
        <v>0</v>
      </c>
      <c r="U44">
        <v>3</v>
      </c>
      <c r="Z44">
        <f>SmtRes!X55</f>
        <v>-1980536396</v>
      </c>
      <c r="AA44">
        <v>1251560671</v>
      </c>
      <c r="AB44">
        <v>1251560671</v>
      </c>
    </row>
    <row r="45" spans="1:28" x14ac:dyDescent="0.2">
      <c r="A45">
        <v>20</v>
      </c>
      <c r="B45">
        <v>54</v>
      </c>
      <c r="C45">
        <v>3</v>
      </c>
      <c r="D45">
        <v>0</v>
      </c>
      <c r="E45">
        <f>SmtRes!AV54</f>
        <v>0</v>
      </c>
      <c r="F45" t="str">
        <f>SmtRes!I54</f>
        <v>21.1-11-46</v>
      </c>
      <c r="G45" t="str">
        <f>SmtRes!K54</f>
        <v>Гвозди строительные</v>
      </c>
      <c r="H45" t="str">
        <f>SmtRes!O54</f>
        <v>т</v>
      </c>
      <c r="I45">
        <f>SmtRes!Y54*Source!I120</f>
        <v>1.2E-4</v>
      </c>
      <c r="J45">
        <f>SmtRes!AO54</f>
        <v>1</v>
      </c>
      <c r="K45">
        <f>SmtRes!AE54</f>
        <v>95976.83</v>
      </c>
      <c r="L45">
        <f>SmtRes!DB54</f>
        <v>1151.72</v>
      </c>
      <c r="M45">
        <f>ROUND(ROUND(L45*Source!I120, 6)*1, 2)</f>
        <v>11.52</v>
      </c>
      <c r="N45">
        <f>SmtRes!AA54</f>
        <v>95976.83</v>
      </c>
      <c r="O45">
        <f>ROUND(ROUND(L45*Source!I120, 6)*SmtRes!DA54, 2)</f>
        <v>11.52</v>
      </c>
      <c r="P45">
        <f>SmtRes!AG54</f>
        <v>0</v>
      </c>
      <c r="Q45">
        <f>SmtRes!DC54</f>
        <v>0</v>
      </c>
      <c r="R45">
        <f>ROUND(ROUND(Q45*Source!I120, 6)*1, 2)</f>
        <v>0</v>
      </c>
      <c r="S45">
        <f>SmtRes!AC54</f>
        <v>0</v>
      </c>
      <c r="T45">
        <f>ROUND(ROUND(Q45*Source!I120, 6)*SmtRes!AK54, 2)</f>
        <v>0</v>
      </c>
      <c r="U45">
        <v>3</v>
      </c>
      <c r="Z45">
        <f>SmtRes!X54</f>
        <v>-799169102</v>
      </c>
      <c r="AA45">
        <v>1916598461</v>
      </c>
      <c r="AB45">
        <v>1916598461</v>
      </c>
    </row>
    <row r="46" spans="1:28" x14ac:dyDescent="0.2">
      <c r="A46">
        <v>20</v>
      </c>
      <c r="B46">
        <v>68</v>
      </c>
      <c r="C46">
        <v>3</v>
      </c>
      <c r="D46">
        <v>0</v>
      </c>
      <c r="E46">
        <f>SmtRes!AV68</f>
        <v>0</v>
      </c>
      <c r="F46" t="str">
        <f>SmtRes!I68</f>
        <v>21.17-2-15</v>
      </c>
      <c r="G46" t="str">
        <f>SmtRes!K68</f>
        <v>Сифоны бутылочные из цветных металлов, латунные</v>
      </c>
      <c r="H46" t="str">
        <f>SmtRes!O68</f>
        <v>шт.</v>
      </c>
      <c r="I46">
        <f>SmtRes!Y68*Source!I121</f>
        <v>1</v>
      </c>
      <c r="J46">
        <f>SmtRes!AO68</f>
        <v>1</v>
      </c>
      <c r="K46">
        <f>SmtRes!AE68</f>
        <v>603.87</v>
      </c>
      <c r="L46">
        <f>SmtRes!DB68</f>
        <v>603.87</v>
      </c>
      <c r="M46">
        <f>ROUND(ROUND(L46*Source!I121, 6)*1, 2)</f>
        <v>603.87</v>
      </c>
      <c r="N46">
        <f>SmtRes!AA68</f>
        <v>603.87</v>
      </c>
      <c r="O46">
        <f>ROUND(ROUND(L46*Source!I121, 6)*SmtRes!DA68, 2)</f>
        <v>603.87</v>
      </c>
      <c r="P46">
        <f>SmtRes!AG68</f>
        <v>0</v>
      </c>
      <c r="Q46">
        <f>SmtRes!DC68</f>
        <v>0</v>
      </c>
      <c r="R46">
        <f>ROUND(ROUND(Q46*Source!I121, 6)*1, 2)</f>
        <v>0</v>
      </c>
      <c r="S46">
        <f>SmtRes!AC68</f>
        <v>0</v>
      </c>
      <c r="T46">
        <f>ROUND(ROUND(Q46*Source!I121, 6)*SmtRes!AK68, 2)</f>
        <v>0</v>
      </c>
      <c r="U46">
        <v>3</v>
      </c>
      <c r="Z46">
        <f>SmtRes!X68</f>
        <v>530957503</v>
      </c>
      <c r="AA46">
        <v>794469052</v>
      </c>
      <c r="AB46">
        <v>794469052</v>
      </c>
    </row>
    <row r="47" spans="1:28" x14ac:dyDescent="0.2">
      <c r="A47">
        <v>20</v>
      </c>
      <c r="B47">
        <v>67</v>
      </c>
      <c r="C47">
        <v>3</v>
      </c>
      <c r="D47">
        <v>0</v>
      </c>
      <c r="E47">
        <f>SmtRes!AV67</f>
        <v>0</v>
      </c>
      <c r="F47" t="str">
        <f>SmtRes!I67</f>
        <v>21.17-2-12</v>
      </c>
      <c r="G47" t="str">
        <f>SmtRes!K67</f>
        <v>Кронштейны чугунные для умывальников и моек скрытый большой КСБ, длина 320 мм</v>
      </c>
      <c r="H47" t="str">
        <f>SmtRes!O67</f>
        <v>шт.</v>
      </c>
      <c r="I47">
        <f>SmtRes!Y67*Source!I121</f>
        <v>2</v>
      </c>
      <c r="J47">
        <f>SmtRes!AO67</f>
        <v>1</v>
      </c>
      <c r="K47">
        <f>SmtRes!AE67</f>
        <v>271.39999999999998</v>
      </c>
      <c r="L47">
        <f>SmtRes!DB67</f>
        <v>542.79999999999995</v>
      </c>
      <c r="M47">
        <f>ROUND(ROUND(L47*Source!I121, 6)*1, 2)</f>
        <v>542.79999999999995</v>
      </c>
      <c r="N47">
        <f>SmtRes!AA67</f>
        <v>271.39999999999998</v>
      </c>
      <c r="O47">
        <f>ROUND(ROUND(L47*Source!I121, 6)*SmtRes!DA67, 2)</f>
        <v>542.79999999999995</v>
      </c>
      <c r="P47">
        <f>SmtRes!AG67</f>
        <v>0</v>
      </c>
      <c r="Q47">
        <f>SmtRes!DC67</f>
        <v>0</v>
      </c>
      <c r="R47">
        <f>ROUND(ROUND(Q47*Source!I121, 6)*1, 2)</f>
        <v>0</v>
      </c>
      <c r="S47">
        <f>SmtRes!AC67</f>
        <v>0</v>
      </c>
      <c r="T47">
        <f>ROUND(ROUND(Q47*Source!I121, 6)*SmtRes!AK67, 2)</f>
        <v>0</v>
      </c>
      <c r="U47">
        <v>3</v>
      </c>
      <c r="Z47">
        <f>SmtRes!X67</f>
        <v>911396742</v>
      </c>
      <c r="AA47">
        <v>496642280</v>
      </c>
      <c r="AB47">
        <v>496642280</v>
      </c>
    </row>
    <row r="48" spans="1:28" x14ac:dyDescent="0.2">
      <c r="A48">
        <v>20</v>
      </c>
      <c r="B48">
        <v>65</v>
      </c>
      <c r="C48">
        <v>3</v>
      </c>
      <c r="D48">
        <v>0</v>
      </c>
      <c r="E48">
        <f>SmtRes!AV65</f>
        <v>0</v>
      </c>
      <c r="F48" t="str">
        <f>SmtRes!I65</f>
        <v>21.1-6-90</v>
      </c>
      <c r="G48" t="str">
        <f>SmtRes!K65</f>
        <v>Олифа для окраски комбинированная оксоль</v>
      </c>
      <c r="H48" t="str">
        <f>SmtRes!O65</f>
        <v>кг</v>
      </c>
      <c r="I48">
        <f>SmtRes!Y65*Source!I121</f>
        <v>0.04</v>
      </c>
      <c r="J48">
        <f>SmtRes!AO65</f>
        <v>1</v>
      </c>
      <c r="K48">
        <f>SmtRes!AE65</f>
        <v>99.65</v>
      </c>
      <c r="L48">
        <f>SmtRes!DB65</f>
        <v>3.99</v>
      </c>
      <c r="M48">
        <f>ROUND(ROUND(L48*Source!I121, 6)*1, 2)</f>
        <v>3.99</v>
      </c>
      <c r="N48">
        <f>SmtRes!AA65</f>
        <v>99.65</v>
      </c>
      <c r="O48">
        <f>ROUND(ROUND(L48*Source!I121, 6)*SmtRes!DA65, 2)</f>
        <v>3.99</v>
      </c>
      <c r="P48">
        <f>SmtRes!AG65</f>
        <v>0</v>
      </c>
      <c r="Q48">
        <f>SmtRes!DC65</f>
        <v>0</v>
      </c>
      <c r="R48">
        <f>ROUND(ROUND(Q48*Source!I121, 6)*1, 2)</f>
        <v>0</v>
      </c>
      <c r="S48">
        <f>SmtRes!AC65</f>
        <v>0</v>
      </c>
      <c r="T48">
        <f>ROUND(ROUND(Q48*Source!I121, 6)*SmtRes!AK65, 2)</f>
        <v>0</v>
      </c>
      <c r="U48">
        <v>3</v>
      </c>
      <c r="Z48">
        <f>SmtRes!X65</f>
        <v>720467407</v>
      </c>
      <c r="AA48">
        <v>541381503</v>
      </c>
      <c r="AB48">
        <v>541381503</v>
      </c>
    </row>
    <row r="49" spans="1:28" x14ac:dyDescent="0.2">
      <c r="A49">
        <v>20</v>
      </c>
      <c r="B49">
        <v>64</v>
      </c>
      <c r="C49">
        <v>3</v>
      </c>
      <c r="D49">
        <v>0</v>
      </c>
      <c r="E49">
        <f>SmtRes!AV64</f>
        <v>0</v>
      </c>
      <c r="F49" t="str">
        <f>SmtRes!I64</f>
        <v>21.1-6-46</v>
      </c>
      <c r="G49" t="str">
        <f>SmtRes!K64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49" t="str">
        <f>SmtRes!O64</f>
        <v>т</v>
      </c>
      <c r="I49">
        <f>SmtRes!Y64*Source!I121</f>
        <v>3.8000000000000002E-4</v>
      </c>
      <c r="J49">
        <f>SmtRes!AO64</f>
        <v>1</v>
      </c>
      <c r="K49">
        <f>SmtRes!AE64</f>
        <v>91558.65</v>
      </c>
      <c r="L49">
        <f>SmtRes!DB64</f>
        <v>34.79</v>
      </c>
      <c r="M49">
        <f>ROUND(ROUND(L49*Source!I121, 6)*1, 2)</f>
        <v>34.79</v>
      </c>
      <c r="N49">
        <f>SmtRes!AA64</f>
        <v>91558.65</v>
      </c>
      <c r="O49">
        <f>ROUND(ROUND(L49*Source!I121, 6)*SmtRes!DA64, 2)</f>
        <v>34.79</v>
      </c>
      <c r="P49">
        <f>SmtRes!AG64</f>
        <v>0</v>
      </c>
      <c r="Q49">
        <f>SmtRes!DC64</f>
        <v>0</v>
      </c>
      <c r="R49">
        <f>ROUND(ROUND(Q49*Source!I121, 6)*1, 2)</f>
        <v>0</v>
      </c>
      <c r="S49">
        <f>SmtRes!AC64</f>
        <v>0</v>
      </c>
      <c r="T49">
        <f>ROUND(ROUND(Q49*Source!I121, 6)*SmtRes!AK64, 2)</f>
        <v>0</v>
      </c>
      <c r="U49">
        <v>3</v>
      </c>
      <c r="Z49">
        <f>SmtRes!X64</f>
        <v>169962723</v>
      </c>
      <c r="AA49">
        <v>913770738</v>
      </c>
      <c r="AB49">
        <v>913770738</v>
      </c>
    </row>
    <row r="50" spans="1:28" x14ac:dyDescent="0.2">
      <c r="A50">
        <v>20</v>
      </c>
      <c r="B50">
        <v>63</v>
      </c>
      <c r="C50">
        <v>3</v>
      </c>
      <c r="D50">
        <v>0</v>
      </c>
      <c r="E50">
        <f>SmtRes!AV63</f>
        <v>0</v>
      </c>
      <c r="F50" t="str">
        <f>SmtRes!I63</f>
        <v>21.1-25-56</v>
      </c>
      <c r="G50" t="str">
        <f>SmtRes!K63</f>
        <v>Замазка суриковая</v>
      </c>
      <c r="H50" t="str">
        <f>SmtRes!O63</f>
        <v>т</v>
      </c>
      <c r="I50">
        <f>SmtRes!Y63*Source!I121</f>
        <v>2.0000000000000001E-4</v>
      </c>
      <c r="J50">
        <f>SmtRes!AO63</f>
        <v>1</v>
      </c>
      <c r="K50">
        <f>SmtRes!AE63</f>
        <v>58866.75</v>
      </c>
      <c r="L50">
        <f>SmtRes!DB63</f>
        <v>11.77</v>
      </c>
      <c r="M50">
        <f>ROUND(ROUND(L50*Source!I121, 6)*1, 2)</f>
        <v>11.77</v>
      </c>
      <c r="N50">
        <f>SmtRes!AA63</f>
        <v>58866.75</v>
      </c>
      <c r="O50">
        <f>ROUND(ROUND(L50*Source!I121, 6)*SmtRes!DA63, 2)</f>
        <v>11.77</v>
      </c>
      <c r="P50">
        <f>SmtRes!AG63</f>
        <v>0</v>
      </c>
      <c r="Q50">
        <f>SmtRes!DC63</f>
        <v>0</v>
      </c>
      <c r="R50">
        <f>ROUND(ROUND(Q50*Source!I121, 6)*1, 2)</f>
        <v>0</v>
      </c>
      <c r="S50">
        <f>SmtRes!AC63</f>
        <v>0</v>
      </c>
      <c r="T50">
        <f>ROUND(ROUND(Q50*Source!I121, 6)*SmtRes!AK63, 2)</f>
        <v>0</v>
      </c>
      <c r="U50">
        <v>3</v>
      </c>
      <c r="Z50">
        <f>SmtRes!X63</f>
        <v>-1019129760</v>
      </c>
      <c r="AA50">
        <v>109297667</v>
      </c>
      <c r="AB50">
        <v>109297667</v>
      </c>
    </row>
    <row r="51" spans="1:28" x14ac:dyDescent="0.2">
      <c r="A51">
        <v>20</v>
      </c>
      <c r="B51">
        <v>62</v>
      </c>
      <c r="C51">
        <v>3</v>
      </c>
      <c r="D51">
        <v>0</v>
      </c>
      <c r="E51">
        <f>SmtRes!AV62</f>
        <v>0</v>
      </c>
      <c r="F51" t="str">
        <f>SmtRes!I62</f>
        <v>21.1-25-16</v>
      </c>
      <c r="G51" t="str">
        <f>SmtRes!K62</f>
        <v>Волокно льняное №11 для уплотнения резьбовых соединений при монтаже систем водоснабжения и отопления</v>
      </c>
      <c r="H51" t="str">
        <f>SmtRes!O62</f>
        <v>кг</v>
      </c>
      <c r="I51">
        <f>SmtRes!Y62*Source!I121</f>
        <v>0.03</v>
      </c>
      <c r="J51">
        <f>SmtRes!AO62</f>
        <v>1</v>
      </c>
      <c r="K51">
        <f>SmtRes!AE62</f>
        <v>656.56</v>
      </c>
      <c r="L51">
        <f>SmtRes!DB62</f>
        <v>19.7</v>
      </c>
      <c r="M51">
        <f>ROUND(ROUND(L51*Source!I121, 6)*1, 2)</f>
        <v>19.7</v>
      </c>
      <c r="N51">
        <f>SmtRes!AA62</f>
        <v>656.56</v>
      </c>
      <c r="O51">
        <f>ROUND(ROUND(L51*Source!I121, 6)*SmtRes!DA62, 2)</f>
        <v>19.7</v>
      </c>
      <c r="P51">
        <f>SmtRes!AG62</f>
        <v>0</v>
      </c>
      <c r="Q51">
        <f>SmtRes!DC62</f>
        <v>0</v>
      </c>
      <c r="R51">
        <f>ROUND(ROUND(Q51*Source!I121, 6)*1, 2)</f>
        <v>0</v>
      </c>
      <c r="S51">
        <f>SmtRes!AC62</f>
        <v>0</v>
      </c>
      <c r="T51">
        <f>ROUND(ROUND(Q51*Source!I121, 6)*SmtRes!AK62, 2)</f>
        <v>0</v>
      </c>
      <c r="U51">
        <v>3</v>
      </c>
      <c r="Z51">
        <f>SmtRes!X62</f>
        <v>-901272518</v>
      </c>
      <c r="AA51">
        <v>-507751513</v>
      </c>
      <c r="AB51">
        <v>-507751513</v>
      </c>
    </row>
    <row r="52" spans="1:28" x14ac:dyDescent="0.2">
      <c r="A52">
        <v>20</v>
      </c>
      <c r="B52">
        <v>61</v>
      </c>
      <c r="C52">
        <v>3</v>
      </c>
      <c r="D52">
        <v>0</v>
      </c>
      <c r="E52">
        <f>SmtRes!AV61</f>
        <v>0</v>
      </c>
      <c r="F52" t="str">
        <f>SmtRes!I61</f>
        <v>21.1-11-84</v>
      </c>
      <c r="G52" t="str">
        <f>SmtRes!K61</f>
        <v>Поковки строительные (скобы, закрепы, хомуты) простые, масса 1,8 кг</v>
      </c>
      <c r="H52" t="str">
        <f>SmtRes!O61</f>
        <v>т</v>
      </c>
      <c r="I52">
        <f>SmtRes!Y61*Source!I121</f>
        <v>3.6000000000000002E-4</v>
      </c>
      <c r="J52">
        <f>SmtRes!AO61</f>
        <v>1</v>
      </c>
      <c r="K52">
        <f>SmtRes!AE61</f>
        <v>87313.75</v>
      </c>
      <c r="L52">
        <f>SmtRes!DB61</f>
        <v>31.43</v>
      </c>
      <c r="M52">
        <f>ROUND(ROUND(L52*Source!I121, 6)*1, 2)</f>
        <v>31.43</v>
      </c>
      <c r="N52">
        <f>SmtRes!AA61</f>
        <v>87313.75</v>
      </c>
      <c r="O52">
        <f>ROUND(ROUND(L52*Source!I121, 6)*SmtRes!DA61, 2)</f>
        <v>31.43</v>
      </c>
      <c r="P52">
        <f>SmtRes!AG61</f>
        <v>0</v>
      </c>
      <c r="Q52">
        <f>SmtRes!DC61</f>
        <v>0</v>
      </c>
      <c r="R52">
        <f>ROUND(ROUND(Q52*Source!I121, 6)*1, 2)</f>
        <v>0</v>
      </c>
      <c r="S52">
        <f>SmtRes!AC61</f>
        <v>0</v>
      </c>
      <c r="T52">
        <f>ROUND(ROUND(Q52*Source!I121, 6)*SmtRes!AK61, 2)</f>
        <v>0</v>
      </c>
      <c r="U52">
        <v>3</v>
      </c>
      <c r="Z52">
        <f>SmtRes!X61</f>
        <v>-1980536396</v>
      </c>
      <c r="AA52">
        <v>1251560671</v>
      </c>
      <c r="AB52">
        <v>1251560671</v>
      </c>
    </row>
    <row r="53" spans="1:28" x14ac:dyDescent="0.2">
      <c r="A53">
        <v>20</v>
      </c>
      <c r="B53">
        <v>60</v>
      </c>
      <c r="C53">
        <v>3</v>
      </c>
      <c r="D53">
        <v>0</v>
      </c>
      <c r="E53">
        <f>SmtRes!AV60</f>
        <v>0</v>
      </c>
      <c r="F53" t="str">
        <f>SmtRes!I60</f>
        <v>21.1-11-198</v>
      </c>
      <c r="G53" t="str">
        <f>SmtRes!K60</f>
        <v>Дюбели пластмассовые</v>
      </c>
      <c r="H53" t="str">
        <f>SmtRes!O60</f>
        <v>шт.</v>
      </c>
      <c r="I53">
        <f>SmtRes!Y60*Source!I121</f>
        <v>0.04</v>
      </c>
      <c r="J53">
        <f>SmtRes!AO60</f>
        <v>1</v>
      </c>
      <c r="K53">
        <f>SmtRes!AE60</f>
        <v>2.31</v>
      </c>
      <c r="L53">
        <f>SmtRes!DB60</f>
        <v>0.09</v>
      </c>
      <c r="M53">
        <f>ROUND(ROUND(L53*Source!I121, 6)*1, 2)</f>
        <v>0.09</v>
      </c>
      <c r="N53">
        <f>SmtRes!AA60</f>
        <v>2.31</v>
      </c>
      <c r="O53">
        <f>ROUND(ROUND(L53*Source!I121, 6)*SmtRes!DA60, 2)</f>
        <v>0.09</v>
      </c>
      <c r="P53">
        <f>SmtRes!AG60</f>
        <v>0</v>
      </c>
      <c r="Q53">
        <f>SmtRes!DC60</f>
        <v>0</v>
      </c>
      <c r="R53">
        <f>ROUND(ROUND(Q53*Source!I121, 6)*1, 2)</f>
        <v>0</v>
      </c>
      <c r="S53">
        <f>SmtRes!AC60</f>
        <v>0</v>
      </c>
      <c r="T53">
        <f>ROUND(ROUND(Q53*Source!I121, 6)*SmtRes!AK60, 2)</f>
        <v>0</v>
      </c>
      <c r="U53">
        <v>3</v>
      </c>
      <c r="Z53">
        <f>SmtRes!X60</f>
        <v>1799219779</v>
      </c>
      <c r="AA53">
        <v>-223804902</v>
      </c>
      <c r="AB53">
        <v>-223804902</v>
      </c>
    </row>
    <row r="54" spans="1:28" x14ac:dyDescent="0.2">
      <c r="A54">
        <v>20</v>
      </c>
      <c r="B54">
        <v>59</v>
      </c>
      <c r="C54">
        <v>3</v>
      </c>
      <c r="D54">
        <v>0</v>
      </c>
      <c r="E54">
        <f>SmtRes!AV59</f>
        <v>0</v>
      </c>
      <c r="F54" t="str">
        <f>SmtRes!I59</f>
        <v>21.1-11-125</v>
      </c>
      <c r="G54" t="str">
        <f>SmtRes!K59</f>
        <v>Шурупы с потайной головкой, черные, размер 8,0х100 мм</v>
      </c>
      <c r="H54" t="str">
        <f>SmtRes!O59</f>
        <v>т</v>
      </c>
      <c r="I54">
        <f>SmtRes!Y59*Source!I121</f>
        <v>6.9999999999999994E-5</v>
      </c>
      <c r="J54">
        <f>SmtRes!AO59</f>
        <v>1</v>
      </c>
      <c r="K54">
        <f>SmtRes!AE59</f>
        <v>239140.75</v>
      </c>
      <c r="L54">
        <f>SmtRes!DB59</f>
        <v>16.739999999999998</v>
      </c>
      <c r="M54">
        <f>ROUND(ROUND(L54*Source!I121, 6)*1, 2)</f>
        <v>16.739999999999998</v>
      </c>
      <c r="N54">
        <f>SmtRes!AA59</f>
        <v>239140.75</v>
      </c>
      <c r="O54">
        <f>ROUND(ROUND(L54*Source!I121, 6)*SmtRes!DA59, 2)</f>
        <v>16.739999999999998</v>
      </c>
      <c r="P54">
        <f>SmtRes!AG59</f>
        <v>0</v>
      </c>
      <c r="Q54">
        <f>SmtRes!DC59</f>
        <v>0</v>
      </c>
      <c r="R54">
        <f>ROUND(ROUND(Q54*Source!I121, 6)*1, 2)</f>
        <v>0</v>
      </c>
      <c r="S54">
        <f>SmtRes!AC59</f>
        <v>0</v>
      </c>
      <c r="T54">
        <f>ROUND(ROUND(Q54*Source!I121, 6)*SmtRes!AK59, 2)</f>
        <v>0</v>
      </c>
      <c r="U54">
        <v>3</v>
      </c>
      <c r="Z54">
        <f>SmtRes!X59</f>
        <v>-1788654527</v>
      </c>
      <c r="AA54">
        <v>-451808164</v>
      </c>
      <c r="AB54">
        <v>-451808164</v>
      </c>
    </row>
    <row r="55" spans="1:28" x14ac:dyDescent="0.2">
      <c r="A55">
        <v>20</v>
      </c>
      <c r="B55">
        <v>58</v>
      </c>
      <c r="C55">
        <v>2</v>
      </c>
      <c r="D55">
        <v>0</v>
      </c>
      <c r="E55">
        <f>SmtRes!AV58</f>
        <v>0</v>
      </c>
      <c r="F55" t="str">
        <f>SmtRes!I58</f>
        <v>22.1-30-102</v>
      </c>
      <c r="G55" t="str">
        <f>SmtRes!K58</f>
        <v>Дрели электрические, двухскоростные, мощностью 600 Вт</v>
      </c>
      <c r="H55" t="str">
        <f>SmtRes!O58</f>
        <v>маш.-ч</v>
      </c>
      <c r="I55">
        <f>SmtRes!Y58*Source!I121</f>
        <v>0.02</v>
      </c>
      <c r="J55">
        <f>SmtRes!AO58</f>
        <v>1</v>
      </c>
      <c r="K55">
        <f>SmtRes!AF58</f>
        <v>6.13</v>
      </c>
      <c r="L55">
        <f>SmtRes!DB58</f>
        <v>0.12</v>
      </c>
      <c r="M55">
        <f>ROUND(ROUND(L55*Source!I121, 6)*1, 2)</f>
        <v>0.12</v>
      </c>
      <c r="N55">
        <f>SmtRes!AB58</f>
        <v>6.13</v>
      </c>
      <c r="O55">
        <f>ROUND(ROUND(L55*Source!I121, 6)*SmtRes!DA58, 2)</f>
        <v>0.12</v>
      </c>
      <c r="P55">
        <f>SmtRes!AG58</f>
        <v>1.91</v>
      </c>
      <c r="Q55">
        <f>SmtRes!DC58</f>
        <v>0.04</v>
      </c>
      <c r="R55">
        <f>ROUND(ROUND(Q55*Source!I121, 6)*1, 2)</f>
        <v>0.04</v>
      </c>
      <c r="S55">
        <f>SmtRes!AC58</f>
        <v>1.91</v>
      </c>
      <c r="T55">
        <f>ROUND(ROUND(Q55*Source!I121, 6)*SmtRes!AK58, 2)</f>
        <v>0.04</v>
      </c>
      <c r="U55">
        <v>2</v>
      </c>
      <c r="Z55">
        <f>SmtRes!X58</f>
        <v>1989376342</v>
      </c>
      <c r="AA55">
        <v>1891803891</v>
      </c>
      <c r="AB55">
        <v>1891803891</v>
      </c>
    </row>
    <row r="56" spans="1:28" x14ac:dyDescent="0.2">
      <c r="A56">
        <f>Source!A122</f>
        <v>18</v>
      </c>
      <c r="B56">
        <v>122</v>
      </c>
      <c r="C56">
        <v>3</v>
      </c>
      <c r="D56">
        <f>Source!BI122</f>
        <v>4</v>
      </c>
      <c r="E56">
        <f>Source!FS122</f>
        <v>0</v>
      </c>
      <c r="F56" t="str">
        <f>Source!F122</f>
        <v>21.17-2-19</v>
      </c>
      <c r="G56" t="str">
        <f>Source!G122</f>
        <v>Смесители для умывальников и моек двухрукояточные центральные набортные, излив с аэратором тип См-УмДЦБА</v>
      </c>
      <c r="H56" t="str">
        <f>Source!H122</f>
        <v>шт.</v>
      </c>
      <c r="I56">
        <f>Source!I122</f>
        <v>1</v>
      </c>
      <c r="J56">
        <v>1</v>
      </c>
      <c r="K56">
        <f>Source!AC122</f>
        <v>5025.26</v>
      </c>
      <c r="M56">
        <f>ROUND(K56*I56, 2)</f>
        <v>5025.26</v>
      </c>
      <c r="N56">
        <f>Source!AC122*IF(Source!BC122&lt;&gt; 0, Source!BC122, 1)</f>
        <v>5025.26</v>
      </c>
      <c r="O56">
        <f>ROUND(N56*I56, 2)</f>
        <v>5025.26</v>
      </c>
      <c r="P56">
        <f>Source!AE122</f>
        <v>0</v>
      </c>
      <c r="R56">
        <f>ROUND(P56*I56, 2)</f>
        <v>0</v>
      </c>
      <c r="S56">
        <f>Source!AE122*IF(Source!BS122&lt;&gt; 0, Source!BS122, 1)</f>
        <v>0</v>
      </c>
      <c r="T56">
        <f>ROUND(S56*I56, 2)</f>
        <v>0</v>
      </c>
      <c r="U56">
        <v>3</v>
      </c>
      <c r="Z56">
        <f>Source!GF122</f>
        <v>-125063506</v>
      </c>
      <c r="AA56">
        <v>1323547038</v>
      </c>
      <c r="AB56">
        <v>1323547038</v>
      </c>
    </row>
    <row r="57" spans="1:28" x14ac:dyDescent="0.2">
      <c r="A57">
        <f>Source!A123</f>
        <v>18</v>
      </c>
      <c r="B57">
        <v>123</v>
      </c>
      <c r="C57">
        <v>3</v>
      </c>
      <c r="D57">
        <f>Source!BI123</f>
        <v>4</v>
      </c>
      <c r="E57">
        <f>Source!FS123</f>
        <v>0</v>
      </c>
      <c r="F57" t="str">
        <f>Source!F123</f>
        <v>Цена пост.</v>
      </c>
      <c r="G57" t="str">
        <f>Source!G123</f>
        <v>Сантехническая манжета для канализации MPF 50x25 (или эквивалент)</v>
      </c>
      <c r="H57" t="str">
        <f>Source!H123</f>
        <v>шт.</v>
      </c>
      <c r="I57">
        <f>Source!I123</f>
        <v>1</v>
      </c>
      <c r="J57">
        <v>1</v>
      </c>
      <c r="K57">
        <f>Source!AC123</f>
        <v>37.5</v>
      </c>
      <c r="M57">
        <f>ROUND(K57*I57, 2)</f>
        <v>37.5</v>
      </c>
      <c r="N57">
        <f>Source!AC123*IF(Source!BC123&lt;&gt; 0, Source!BC123, 1)</f>
        <v>37.5</v>
      </c>
      <c r="O57">
        <f>ROUND(N57*I57, 2)</f>
        <v>37.5</v>
      </c>
      <c r="P57">
        <f>Source!AE123</f>
        <v>0</v>
      </c>
      <c r="R57">
        <f>ROUND(P57*I57, 2)</f>
        <v>0</v>
      </c>
      <c r="S57">
        <f>Source!AE123*IF(Source!BS123&lt;&gt; 0, Source!BS123, 1)</f>
        <v>0</v>
      </c>
      <c r="T57">
        <f>ROUND(S57*I57, 2)</f>
        <v>0</v>
      </c>
      <c r="U57">
        <v>3</v>
      </c>
      <c r="Z57">
        <f>Source!GF123</f>
        <v>1407851726</v>
      </c>
      <c r="AA57">
        <v>1662594525</v>
      </c>
      <c r="AB57">
        <v>1662594525</v>
      </c>
    </row>
    <row r="58" spans="1:28" x14ac:dyDescent="0.2">
      <c r="A58">
        <v>20</v>
      </c>
      <c r="B58">
        <v>75</v>
      </c>
      <c r="C58">
        <v>3</v>
      </c>
      <c r="D58">
        <v>0</v>
      </c>
      <c r="E58">
        <f>SmtRes!AV75</f>
        <v>0</v>
      </c>
      <c r="F58" t="str">
        <f>SmtRes!I75</f>
        <v>21.9-12-46</v>
      </c>
      <c r="G58" t="str">
        <f>SmtRes!K75</f>
        <v>Раскладки хвойных пород, окрашенные, сечение 19х13(24) мм</v>
      </c>
      <c r="H58" t="str">
        <f>SmtRes!O75</f>
        <v>м</v>
      </c>
      <c r="I58">
        <f>SmtRes!Y75*Source!I126</f>
        <v>4</v>
      </c>
      <c r="J58">
        <f>SmtRes!AO75</f>
        <v>1</v>
      </c>
      <c r="K58">
        <f>SmtRes!AE75</f>
        <v>27.14</v>
      </c>
      <c r="L58">
        <f>SmtRes!DB75</f>
        <v>10856</v>
      </c>
      <c r="M58">
        <f>ROUND(ROUND(L58*Source!I126, 6)*1, 2)</f>
        <v>108.56</v>
      </c>
      <c r="N58">
        <f>SmtRes!AA75</f>
        <v>27.14</v>
      </c>
      <c r="O58">
        <f>ROUND(ROUND(L58*Source!I126, 6)*SmtRes!DA75, 2)</f>
        <v>108.56</v>
      </c>
      <c r="P58">
        <f>SmtRes!AG75</f>
        <v>0</v>
      </c>
      <c r="Q58">
        <f>SmtRes!DC75</f>
        <v>0</v>
      </c>
      <c r="R58">
        <f>ROUND(ROUND(Q58*Source!I126, 6)*1, 2)</f>
        <v>0</v>
      </c>
      <c r="S58">
        <f>SmtRes!AC75</f>
        <v>0</v>
      </c>
      <c r="T58">
        <f>ROUND(ROUND(Q58*Source!I126, 6)*SmtRes!AK75, 2)</f>
        <v>0</v>
      </c>
      <c r="U58">
        <v>3</v>
      </c>
      <c r="Z58">
        <f>SmtRes!X75</f>
        <v>-1908336614</v>
      </c>
      <c r="AA58">
        <v>895668758</v>
      </c>
      <c r="AB58">
        <v>895668758</v>
      </c>
    </row>
    <row r="59" spans="1:28" x14ac:dyDescent="0.2">
      <c r="A59">
        <v>20</v>
      </c>
      <c r="B59">
        <v>74</v>
      </c>
      <c r="C59">
        <v>3</v>
      </c>
      <c r="D59">
        <v>0</v>
      </c>
      <c r="E59">
        <f>SmtRes!AV74</f>
        <v>0</v>
      </c>
      <c r="F59" t="str">
        <f>SmtRes!I74</f>
        <v>21.1-11-84</v>
      </c>
      <c r="G59" t="str">
        <f>SmtRes!K74</f>
        <v>Поковки строительные (скобы, закрепы, хомуты) простые, масса 1,8 кг</v>
      </c>
      <c r="H59" t="str">
        <f>SmtRes!O74</f>
        <v>т</v>
      </c>
      <c r="I59">
        <f>SmtRes!Y74*Source!I126</f>
        <v>3.5000000000000005E-4</v>
      </c>
      <c r="J59">
        <f>SmtRes!AO74</f>
        <v>1</v>
      </c>
      <c r="K59">
        <f>SmtRes!AE74</f>
        <v>87313.75</v>
      </c>
      <c r="L59">
        <f>SmtRes!DB74</f>
        <v>3055.98</v>
      </c>
      <c r="M59">
        <f>ROUND(ROUND(L59*Source!I126, 6)*1, 2)</f>
        <v>30.56</v>
      </c>
      <c r="N59">
        <f>SmtRes!AA74</f>
        <v>87313.75</v>
      </c>
      <c r="O59">
        <f>ROUND(ROUND(L59*Source!I126, 6)*SmtRes!DA74, 2)</f>
        <v>30.56</v>
      </c>
      <c r="P59">
        <f>SmtRes!AG74</f>
        <v>0</v>
      </c>
      <c r="Q59">
        <f>SmtRes!DC74</f>
        <v>0</v>
      </c>
      <c r="R59">
        <f>ROUND(ROUND(Q59*Source!I126, 6)*1, 2)</f>
        <v>0</v>
      </c>
      <c r="S59">
        <f>SmtRes!AC74</f>
        <v>0</v>
      </c>
      <c r="T59">
        <f>ROUND(ROUND(Q59*Source!I126, 6)*SmtRes!AK74, 2)</f>
        <v>0</v>
      </c>
      <c r="U59">
        <v>3</v>
      </c>
      <c r="Z59">
        <f>SmtRes!X74</f>
        <v>-1980536396</v>
      </c>
      <c r="AA59">
        <v>1251560671</v>
      </c>
      <c r="AB59">
        <v>1251560671</v>
      </c>
    </row>
    <row r="60" spans="1:28" x14ac:dyDescent="0.2">
      <c r="A60">
        <v>20</v>
      </c>
      <c r="B60">
        <v>73</v>
      </c>
      <c r="C60">
        <v>3</v>
      </c>
      <c r="D60">
        <v>0</v>
      </c>
      <c r="E60">
        <f>SmtRes!AV73</f>
        <v>0</v>
      </c>
      <c r="F60" t="str">
        <f>SmtRes!I73</f>
        <v>21.1-11-46</v>
      </c>
      <c r="G60" t="str">
        <f>SmtRes!K73</f>
        <v>Гвозди строительные</v>
      </c>
      <c r="H60" t="str">
        <f>SmtRes!O73</f>
        <v>т</v>
      </c>
      <c r="I60">
        <f>SmtRes!Y73*Source!I126</f>
        <v>1.2E-4</v>
      </c>
      <c r="J60">
        <f>SmtRes!AO73</f>
        <v>1</v>
      </c>
      <c r="K60">
        <f>SmtRes!AE73</f>
        <v>95976.83</v>
      </c>
      <c r="L60">
        <f>SmtRes!DB73</f>
        <v>1151.72</v>
      </c>
      <c r="M60">
        <f>ROUND(ROUND(L60*Source!I126, 6)*1, 2)</f>
        <v>11.52</v>
      </c>
      <c r="N60">
        <f>SmtRes!AA73</f>
        <v>95976.83</v>
      </c>
      <c r="O60">
        <f>ROUND(ROUND(L60*Source!I126, 6)*SmtRes!DA73, 2)</f>
        <v>11.52</v>
      </c>
      <c r="P60">
        <f>SmtRes!AG73</f>
        <v>0</v>
      </c>
      <c r="Q60">
        <f>SmtRes!DC73</f>
        <v>0</v>
      </c>
      <c r="R60">
        <f>ROUND(ROUND(Q60*Source!I126, 6)*1, 2)</f>
        <v>0</v>
      </c>
      <c r="S60">
        <f>SmtRes!AC73</f>
        <v>0</v>
      </c>
      <c r="T60">
        <f>ROUND(ROUND(Q60*Source!I126, 6)*SmtRes!AK73, 2)</f>
        <v>0</v>
      </c>
      <c r="U60">
        <v>3</v>
      </c>
      <c r="Z60">
        <f>SmtRes!X73</f>
        <v>-799169102</v>
      </c>
      <c r="AA60">
        <v>1916598461</v>
      </c>
      <c r="AB60">
        <v>1916598461</v>
      </c>
    </row>
    <row r="61" spans="1:28" x14ac:dyDescent="0.2">
      <c r="A61">
        <f>Source!A127</f>
        <v>18</v>
      </c>
      <c r="B61">
        <v>127</v>
      </c>
      <c r="C61">
        <v>3</v>
      </c>
      <c r="D61">
        <f>Source!BI127</f>
        <v>4</v>
      </c>
      <c r="E61">
        <f>Source!FS127</f>
        <v>0</v>
      </c>
      <c r="F61" t="str">
        <f>Source!F127</f>
        <v>Цена пост.</v>
      </c>
      <c r="G61" t="str">
        <f>Source!G127</f>
        <v>Тумба под раковину напольная SanStar Квадро 50см с раковиной цвет белый (или эквивалент)</v>
      </c>
      <c r="H61" t="str">
        <f>Source!H127</f>
        <v>шт.</v>
      </c>
      <c r="I61">
        <f>Source!I127</f>
        <v>1</v>
      </c>
      <c r="J61">
        <v>1</v>
      </c>
      <c r="K61">
        <f>Source!AC127</f>
        <v>10050.83</v>
      </c>
      <c r="M61">
        <f>ROUND(K61*I61, 2)</f>
        <v>10050.83</v>
      </c>
      <c r="N61">
        <f>Source!AC127*IF(Source!BC127&lt;&gt; 0, Source!BC127, 1)</f>
        <v>10050.83</v>
      </c>
      <c r="O61">
        <f>ROUND(N61*I61, 2)</f>
        <v>10050.83</v>
      </c>
      <c r="P61">
        <f>Source!AE127</f>
        <v>0</v>
      </c>
      <c r="R61">
        <f>ROUND(P61*I61, 2)</f>
        <v>0</v>
      </c>
      <c r="S61">
        <f>Source!AE127*IF(Source!BS127&lt;&gt; 0, Source!BS127, 1)</f>
        <v>0</v>
      </c>
      <c r="T61">
        <f>ROUND(S61*I61, 2)</f>
        <v>0</v>
      </c>
      <c r="U61">
        <v>3</v>
      </c>
      <c r="Z61">
        <f>Source!GF127</f>
        <v>-541391768</v>
      </c>
      <c r="AA61">
        <v>921625570</v>
      </c>
      <c r="AB61">
        <v>921625570</v>
      </c>
    </row>
    <row r="62" spans="1:28" x14ac:dyDescent="0.2">
      <c r="A62">
        <v>20</v>
      </c>
      <c r="B62">
        <v>78</v>
      </c>
      <c r="C62">
        <v>3</v>
      </c>
      <c r="D62">
        <v>0</v>
      </c>
      <c r="E62">
        <f>SmtRes!AV78</f>
        <v>0</v>
      </c>
      <c r="F62" t="str">
        <f>SmtRes!I78</f>
        <v>21.12-5-61</v>
      </c>
      <c r="G62" t="str">
        <f>SmtRes!K78</f>
        <v>Подводки к водоразборной арматуре, с двумя латунными накидными гайками, длина 500 мм</v>
      </c>
      <c r="H62" t="str">
        <f>SmtRes!O78</f>
        <v>компл.</v>
      </c>
      <c r="I62">
        <f>SmtRes!Y78*Source!I128</f>
        <v>2</v>
      </c>
      <c r="J62">
        <f>SmtRes!AO78</f>
        <v>1</v>
      </c>
      <c r="K62">
        <f>SmtRes!AE78</f>
        <v>132.30000000000001</v>
      </c>
      <c r="L62">
        <f>SmtRes!DB78</f>
        <v>26460</v>
      </c>
      <c r="M62">
        <f>ROUND(ROUND(L62*Source!I128, 6)*1, 2)</f>
        <v>264.60000000000002</v>
      </c>
      <c r="N62">
        <f>SmtRes!AA78</f>
        <v>132.30000000000001</v>
      </c>
      <c r="O62">
        <f>ROUND(ROUND(L62*Source!I128, 6)*SmtRes!DA78, 2)</f>
        <v>264.60000000000002</v>
      </c>
      <c r="P62">
        <f>SmtRes!AG78</f>
        <v>0</v>
      </c>
      <c r="Q62">
        <f>SmtRes!DC78</f>
        <v>0</v>
      </c>
      <c r="R62">
        <f>ROUND(ROUND(Q62*Source!I128, 6)*1, 2)</f>
        <v>0</v>
      </c>
      <c r="S62">
        <f>SmtRes!AC78</f>
        <v>0</v>
      </c>
      <c r="T62">
        <f>ROUND(ROUND(Q62*Source!I128, 6)*SmtRes!AK78, 2)</f>
        <v>0</v>
      </c>
      <c r="U62">
        <v>3</v>
      </c>
      <c r="Z62">
        <f>SmtRes!X78</f>
        <v>1711651658</v>
      </c>
      <c r="AA62">
        <v>-1301456157</v>
      </c>
      <c r="AB62">
        <v>-1301456157</v>
      </c>
    </row>
    <row r="63" spans="1:28" x14ac:dyDescent="0.2">
      <c r="A63">
        <v>20</v>
      </c>
      <c r="B63">
        <v>84</v>
      </c>
      <c r="C63">
        <v>3</v>
      </c>
      <c r="D63">
        <v>0</v>
      </c>
      <c r="E63">
        <f>SmtRes!AV84</f>
        <v>0</v>
      </c>
      <c r="F63" t="str">
        <f>SmtRes!I84</f>
        <v>21.1-6-90</v>
      </c>
      <c r="G63" t="str">
        <f>SmtRes!K84</f>
        <v>Олифа для окраски комбинированная оксоль</v>
      </c>
      <c r="H63" t="str">
        <f>SmtRes!O84</f>
        <v>кг</v>
      </c>
      <c r="I63">
        <f>SmtRes!Y84*Source!I130</f>
        <v>1.26E-2</v>
      </c>
      <c r="J63">
        <f>SmtRes!AO84</f>
        <v>1</v>
      </c>
      <c r="K63">
        <f>SmtRes!AE84</f>
        <v>99.65</v>
      </c>
      <c r="L63">
        <f>SmtRes!DB84</f>
        <v>6.28</v>
      </c>
      <c r="M63">
        <f>ROUND(ROUND(L63*Source!I130, 6)*1, 2)</f>
        <v>1.26</v>
      </c>
      <c r="N63">
        <f>SmtRes!AA84</f>
        <v>99.65</v>
      </c>
      <c r="O63">
        <f>ROUND(ROUND(L63*Source!I130, 6)*SmtRes!DA84, 2)</f>
        <v>1.26</v>
      </c>
      <c r="P63">
        <f>SmtRes!AG84</f>
        <v>0</v>
      </c>
      <c r="Q63">
        <f>SmtRes!DC84</f>
        <v>0</v>
      </c>
      <c r="R63">
        <f>ROUND(ROUND(Q63*Source!I130, 6)*1, 2)</f>
        <v>0</v>
      </c>
      <c r="S63">
        <f>SmtRes!AC84</f>
        <v>0</v>
      </c>
      <c r="T63">
        <f>ROUND(ROUND(Q63*Source!I130, 6)*SmtRes!AK84, 2)</f>
        <v>0</v>
      </c>
      <c r="U63">
        <v>3</v>
      </c>
      <c r="Z63">
        <f>SmtRes!X84</f>
        <v>720467407</v>
      </c>
      <c r="AA63">
        <v>541381503</v>
      </c>
      <c r="AB63">
        <v>541381503</v>
      </c>
    </row>
    <row r="64" spans="1:28" x14ac:dyDescent="0.2">
      <c r="A64">
        <v>20</v>
      </c>
      <c r="B64">
        <v>83</v>
      </c>
      <c r="C64">
        <v>3</v>
      </c>
      <c r="D64">
        <v>0</v>
      </c>
      <c r="E64">
        <f>SmtRes!AV83</f>
        <v>0</v>
      </c>
      <c r="F64" t="str">
        <f>SmtRes!I83</f>
        <v>21.1-6-46</v>
      </c>
      <c r="G64" t="str">
        <f>SmtRes!K83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64" t="str">
        <f>SmtRes!O83</f>
        <v>т</v>
      </c>
      <c r="I64">
        <f>SmtRes!Y83*Source!I130</f>
        <v>2.5999999999999998E-5</v>
      </c>
      <c r="J64">
        <f>SmtRes!AO83</f>
        <v>1</v>
      </c>
      <c r="K64">
        <f>SmtRes!AE83</f>
        <v>91558.65</v>
      </c>
      <c r="L64">
        <f>SmtRes!DB83</f>
        <v>11.9</v>
      </c>
      <c r="M64">
        <f>ROUND(ROUND(L64*Source!I130, 6)*1, 2)</f>
        <v>2.38</v>
      </c>
      <c r="N64">
        <f>SmtRes!AA83</f>
        <v>91558.65</v>
      </c>
      <c r="O64">
        <f>ROUND(ROUND(L64*Source!I130, 6)*SmtRes!DA83, 2)</f>
        <v>2.38</v>
      </c>
      <c r="P64">
        <f>SmtRes!AG83</f>
        <v>0</v>
      </c>
      <c r="Q64">
        <f>SmtRes!DC83</f>
        <v>0</v>
      </c>
      <c r="R64">
        <f>ROUND(ROUND(Q64*Source!I130, 6)*1, 2)</f>
        <v>0</v>
      </c>
      <c r="S64">
        <f>SmtRes!AC83</f>
        <v>0</v>
      </c>
      <c r="T64">
        <f>ROUND(ROUND(Q64*Source!I130, 6)*SmtRes!AK83, 2)</f>
        <v>0</v>
      </c>
      <c r="U64">
        <v>3</v>
      </c>
      <c r="Z64">
        <f>SmtRes!X83</f>
        <v>169962723</v>
      </c>
      <c r="AA64">
        <v>913770738</v>
      </c>
      <c r="AB64">
        <v>913770738</v>
      </c>
    </row>
    <row r="65" spans="1:28" x14ac:dyDescent="0.2">
      <c r="A65">
        <v>20</v>
      </c>
      <c r="B65">
        <v>81</v>
      </c>
      <c r="C65">
        <v>3</v>
      </c>
      <c r="D65">
        <v>0</v>
      </c>
      <c r="E65">
        <f>SmtRes!AV81</f>
        <v>0</v>
      </c>
      <c r="F65" t="str">
        <f>SmtRes!I81</f>
        <v>21.1-25-16</v>
      </c>
      <c r="G65" t="str">
        <f>SmtRes!K81</f>
        <v>Волокно льняное №11 для уплотнения резьбовых соединений при монтаже систем водоснабжения и отопления</v>
      </c>
      <c r="H65" t="str">
        <f>SmtRes!O81</f>
        <v>кг</v>
      </c>
      <c r="I65">
        <f>SmtRes!Y81*Source!I130</f>
        <v>1.26E-2</v>
      </c>
      <c r="J65">
        <f>SmtRes!AO81</f>
        <v>1</v>
      </c>
      <c r="K65">
        <f>SmtRes!AE81</f>
        <v>656.56</v>
      </c>
      <c r="L65">
        <f>SmtRes!DB81</f>
        <v>41.36</v>
      </c>
      <c r="M65">
        <f>ROUND(ROUND(L65*Source!I130, 6)*1, 2)</f>
        <v>8.27</v>
      </c>
      <c r="N65">
        <f>SmtRes!AA81</f>
        <v>656.56</v>
      </c>
      <c r="O65">
        <f>ROUND(ROUND(L65*Source!I130, 6)*SmtRes!DA81, 2)</f>
        <v>8.27</v>
      </c>
      <c r="P65">
        <f>SmtRes!AG81</f>
        <v>0</v>
      </c>
      <c r="Q65">
        <f>SmtRes!DC81</f>
        <v>0</v>
      </c>
      <c r="R65">
        <f>ROUND(ROUND(Q65*Source!I130, 6)*1, 2)</f>
        <v>0</v>
      </c>
      <c r="S65">
        <f>SmtRes!AC81</f>
        <v>0</v>
      </c>
      <c r="T65">
        <f>ROUND(ROUND(Q65*Source!I130, 6)*SmtRes!AK81, 2)</f>
        <v>0</v>
      </c>
      <c r="U65">
        <v>3</v>
      </c>
      <c r="Z65">
        <f>SmtRes!X81</f>
        <v>-901272518</v>
      </c>
      <c r="AA65">
        <v>-507751513</v>
      </c>
      <c r="AB65">
        <v>-507751513</v>
      </c>
    </row>
    <row r="66" spans="1:28" x14ac:dyDescent="0.2">
      <c r="A66">
        <f>Source!A131</f>
        <v>18</v>
      </c>
      <c r="B66">
        <v>131</v>
      </c>
      <c r="C66">
        <v>3</v>
      </c>
      <c r="D66">
        <f>Source!BI131</f>
        <v>4</v>
      </c>
      <c r="E66">
        <f>Source!FS131</f>
        <v>0</v>
      </c>
      <c r="F66" t="str">
        <f>Source!F131</f>
        <v>21.13-4-40</v>
      </c>
      <c r="G66" t="str">
        <f>Source!G131</f>
        <v>Краны латунные шаровые муфтовые проходные, марка 11б27п, диаметр 20 мм</v>
      </c>
      <c r="H66" t="str">
        <f>Source!H131</f>
        <v>шт.</v>
      </c>
      <c r="I66">
        <f>Source!I131</f>
        <v>2</v>
      </c>
      <c r="J66">
        <v>1</v>
      </c>
      <c r="K66">
        <f>Source!AC131</f>
        <v>182.88</v>
      </c>
      <c r="M66">
        <f>ROUND(K66*I66, 2)</f>
        <v>365.76</v>
      </c>
      <c r="N66">
        <f>Source!AC131*IF(Source!BC131&lt;&gt; 0, Source!BC131, 1)</f>
        <v>182.88</v>
      </c>
      <c r="O66">
        <f>ROUND(N66*I66, 2)</f>
        <v>365.76</v>
      </c>
      <c r="P66">
        <f>Source!AE131</f>
        <v>0</v>
      </c>
      <c r="R66">
        <f>ROUND(P66*I66, 2)</f>
        <v>0</v>
      </c>
      <c r="S66">
        <f>Source!AE131*IF(Source!BS131&lt;&gt; 0, Source!BS131, 1)</f>
        <v>0</v>
      </c>
      <c r="T66">
        <f>ROUND(S66*I66, 2)</f>
        <v>0</v>
      </c>
      <c r="U66">
        <v>3</v>
      </c>
      <c r="Z66">
        <f>Source!GF131</f>
        <v>331574299</v>
      </c>
      <c r="AA66">
        <v>1604916054</v>
      </c>
      <c r="AB66">
        <v>1604916054</v>
      </c>
    </row>
    <row r="67" spans="1:28" x14ac:dyDescent="0.2">
      <c r="A67">
        <f>Source!A163</f>
        <v>5</v>
      </c>
      <c r="B67">
        <v>163</v>
      </c>
      <c r="G67" t="str">
        <f>Source!G163</f>
        <v>Электрика</v>
      </c>
    </row>
    <row r="68" spans="1:28" x14ac:dyDescent="0.2">
      <c r="A68">
        <f>Source!A168</f>
        <v>18</v>
      </c>
      <c r="B68">
        <v>168</v>
      </c>
      <c r="C68">
        <v>3</v>
      </c>
      <c r="D68">
        <f>Source!BI168</f>
        <v>4</v>
      </c>
      <c r="E68">
        <f>Source!FS168</f>
        <v>0</v>
      </c>
      <c r="F68" t="str">
        <f>Source!F168</f>
        <v>Цена пост.</v>
      </c>
      <c r="G68" t="str">
        <f>Source!G168</f>
        <v>Розетка 2х2P+E Schuko со шторками, 16A-250В, IP20 (или эквивалент)</v>
      </c>
      <c r="H68" t="str">
        <f>Source!H168</f>
        <v>шт.</v>
      </c>
      <c r="I68">
        <f>Source!I168</f>
        <v>2</v>
      </c>
      <c r="J68">
        <v>1</v>
      </c>
      <c r="K68">
        <f>Source!AC168</f>
        <v>285</v>
      </c>
      <c r="M68">
        <f>ROUND(K68*I68, 2)</f>
        <v>570</v>
      </c>
      <c r="N68">
        <f>Source!AC168*IF(Source!BC168&lt;&gt; 0, Source!BC168, 1)</f>
        <v>285</v>
      </c>
      <c r="O68">
        <f>ROUND(N68*I68, 2)</f>
        <v>570</v>
      </c>
      <c r="P68">
        <f>Source!AE168</f>
        <v>0</v>
      </c>
      <c r="R68">
        <f>ROUND(P68*I68, 2)</f>
        <v>0</v>
      </c>
      <c r="S68">
        <f>Source!AE168*IF(Source!BS168&lt;&gt; 0, Source!BS168, 1)</f>
        <v>0</v>
      </c>
      <c r="T68">
        <f>ROUND(S68*I68, 2)</f>
        <v>0</v>
      </c>
      <c r="U68">
        <v>3</v>
      </c>
      <c r="Z68">
        <f>Source!GF168</f>
        <v>-303536335</v>
      </c>
      <c r="AA68">
        <v>-1902312805</v>
      </c>
      <c r="AB68">
        <v>-1902312805</v>
      </c>
    </row>
    <row r="69" spans="1:28" x14ac:dyDescent="0.2">
      <c r="A69">
        <f>Source!A169</f>
        <v>18</v>
      </c>
      <c r="B69">
        <v>169</v>
      </c>
      <c r="C69">
        <v>3</v>
      </c>
      <c r="D69">
        <f>Source!BI169</f>
        <v>4</v>
      </c>
      <c r="E69">
        <f>Source!FS169</f>
        <v>0</v>
      </c>
      <c r="F69" t="str">
        <f>Source!F169</f>
        <v>21.21-5-24</v>
      </c>
      <c r="G69" t="str">
        <f>Source!G169</f>
        <v>Выключатели, серия "Прима", напряжение 250 В, сила тока 6 А, тип: А16-051, одноклавишный, открытой установки</v>
      </c>
      <c r="H69" t="str">
        <f>Source!H169</f>
        <v>шт.</v>
      </c>
      <c r="I69">
        <f>Source!I169</f>
        <v>2</v>
      </c>
      <c r="J69">
        <v>1</v>
      </c>
      <c r="K69">
        <f>Source!AC169</f>
        <v>90.55</v>
      </c>
      <c r="M69">
        <f>ROUND(K69*I69, 2)</f>
        <v>181.1</v>
      </c>
      <c r="N69">
        <f>Source!AC169*IF(Source!BC169&lt;&gt; 0, Source!BC169, 1)</f>
        <v>90.55</v>
      </c>
      <c r="O69">
        <f>ROUND(N69*I69, 2)</f>
        <v>181.1</v>
      </c>
      <c r="P69">
        <f>Source!AE169</f>
        <v>0</v>
      </c>
      <c r="R69">
        <f>ROUND(P69*I69, 2)</f>
        <v>0</v>
      </c>
      <c r="S69">
        <f>Source!AE169*IF(Source!BS169&lt;&gt; 0, Source!BS169, 1)</f>
        <v>0</v>
      </c>
      <c r="T69">
        <f>ROUND(S69*I69, 2)</f>
        <v>0</v>
      </c>
      <c r="U69">
        <v>3</v>
      </c>
      <c r="Z69">
        <f>Source!GF169</f>
        <v>-314732257</v>
      </c>
      <c r="AA69">
        <v>710553705</v>
      </c>
      <c r="AB69">
        <v>710553705</v>
      </c>
    </row>
    <row r="70" spans="1:28" x14ac:dyDescent="0.2">
      <c r="A70">
        <f>Source!A201</f>
        <v>5</v>
      </c>
      <c r="B70">
        <v>201</v>
      </c>
      <c r="G70" t="str">
        <f>Source!G201</f>
        <v>Прочее</v>
      </c>
    </row>
    <row r="71" spans="1:28" x14ac:dyDescent="0.2">
      <c r="A71">
        <v>20</v>
      </c>
      <c r="B71">
        <v>89</v>
      </c>
      <c r="C71">
        <v>3</v>
      </c>
      <c r="D71">
        <v>0</v>
      </c>
      <c r="E71">
        <f>SmtRes!AV89</f>
        <v>0</v>
      </c>
      <c r="F71" t="str">
        <f>SmtRes!I89</f>
        <v>21.1-2-2</v>
      </c>
      <c r="G71" t="str">
        <f>SmtRes!K89</f>
        <v>Гипсовые вяжущие (гипс) для штукатурных работ</v>
      </c>
      <c r="H71" t="str">
        <f>SmtRes!O89</f>
        <v>т</v>
      </c>
      <c r="I71">
        <f>SmtRes!Y89*Source!I205</f>
        <v>1.5E-3</v>
      </c>
      <c r="J71">
        <f>SmtRes!AO89</f>
        <v>1</v>
      </c>
      <c r="K71">
        <f>SmtRes!AE89</f>
        <v>8017.57</v>
      </c>
      <c r="L71">
        <f>SmtRes!DB89</f>
        <v>400.88</v>
      </c>
      <c r="M71">
        <f>ROUND(ROUND(L71*Source!I205, 6)*1, 2)</f>
        <v>12.03</v>
      </c>
      <c r="N71">
        <f>SmtRes!AA89</f>
        <v>8017.57</v>
      </c>
      <c r="O71">
        <f>ROUND(ROUND(L71*Source!I205, 6)*SmtRes!DA89, 2)</f>
        <v>12.03</v>
      </c>
      <c r="P71">
        <f>SmtRes!AG89</f>
        <v>0</v>
      </c>
      <c r="Q71">
        <f>SmtRes!DC89</f>
        <v>0</v>
      </c>
      <c r="R71">
        <f>ROUND(ROUND(Q71*Source!I205, 6)*1, 2)</f>
        <v>0</v>
      </c>
      <c r="S71">
        <f>SmtRes!AC89</f>
        <v>0</v>
      </c>
      <c r="T71">
        <f>ROUND(ROUND(Q71*Source!I205, 6)*SmtRes!AK89, 2)</f>
        <v>0</v>
      </c>
      <c r="U71">
        <v>3</v>
      </c>
      <c r="Z71">
        <f>SmtRes!X89</f>
        <v>-2049845446</v>
      </c>
      <c r="AA71">
        <v>-453821089</v>
      </c>
      <c r="AB71">
        <v>-453821089</v>
      </c>
    </row>
    <row r="72" spans="1:28" x14ac:dyDescent="0.2">
      <c r="A72">
        <f>Source!A206</f>
        <v>18</v>
      </c>
      <c r="B72">
        <v>206</v>
      </c>
      <c r="C72">
        <v>3</v>
      </c>
      <c r="D72">
        <f>Source!BI206</f>
        <v>4</v>
      </c>
      <c r="E72">
        <f>Source!FS206</f>
        <v>0</v>
      </c>
      <c r="F72" t="str">
        <f>Source!F206</f>
        <v>21.19-11-46</v>
      </c>
      <c r="G72" t="str">
        <f>Source!G206</f>
        <v>Решетки вентиляционные, жалюзийные, регулируемые, стальные, марка РС-Г, размер 425х225 мм (300х400 мм)</v>
      </c>
      <c r="H72" t="str">
        <f>Source!H206</f>
        <v>шт.</v>
      </c>
      <c r="I72">
        <f>Source!I206</f>
        <v>3</v>
      </c>
      <c r="J72">
        <v>1</v>
      </c>
      <c r="K72">
        <f>Source!AC206</f>
        <v>776.22</v>
      </c>
      <c r="M72">
        <f>ROUND(K72*I72, 2)</f>
        <v>2328.66</v>
      </c>
      <c r="N72">
        <f>Source!AC206*IF(Source!BC206&lt;&gt; 0, Source!BC206, 1)</f>
        <v>776.22</v>
      </c>
      <c r="O72">
        <f>ROUND(N72*I72, 2)</f>
        <v>2328.66</v>
      </c>
      <c r="P72">
        <f>Source!AE206</f>
        <v>0</v>
      </c>
      <c r="R72">
        <f>ROUND(P72*I72, 2)</f>
        <v>0</v>
      </c>
      <c r="S72">
        <f>Source!AE206*IF(Source!BS206&lt;&gt; 0, Source!BS206, 1)</f>
        <v>0</v>
      </c>
      <c r="T72">
        <f>ROUND(S72*I72, 2)</f>
        <v>0</v>
      </c>
      <c r="U72">
        <v>3</v>
      </c>
      <c r="Z72">
        <f>Source!GF206</f>
        <v>-1885415833</v>
      </c>
      <c r="AA72">
        <v>-331770489</v>
      </c>
      <c r="AB72">
        <v>-331770489</v>
      </c>
    </row>
    <row r="73" spans="1:28" x14ac:dyDescent="0.2">
      <c r="A73">
        <f>Source!A269</f>
        <v>4</v>
      </c>
      <c r="B73">
        <v>269</v>
      </c>
      <c r="G73" t="str">
        <f>Source!G269</f>
        <v>Второй этаж, кабинет № 311</v>
      </c>
    </row>
    <row r="74" spans="1:28" x14ac:dyDescent="0.2">
      <c r="A74">
        <f>Source!A273</f>
        <v>5</v>
      </c>
      <c r="B74">
        <v>273</v>
      </c>
      <c r="G74" t="str">
        <f>Source!G273</f>
        <v>Полы</v>
      </c>
    </row>
    <row r="75" spans="1:28" x14ac:dyDescent="0.2">
      <c r="A75">
        <v>20</v>
      </c>
      <c r="B75">
        <v>93</v>
      </c>
      <c r="C75">
        <v>2</v>
      </c>
      <c r="D75">
        <v>0</v>
      </c>
      <c r="E75">
        <f>SmtRes!AV93</f>
        <v>0</v>
      </c>
      <c r="F75" t="str">
        <f>SmtRes!I93</f>
        <v>22.1-30-56</v>
      </c>
      <c r="G75" t="str">
        <f>SmtRes!K93</f>
        <v>Шуруповерты</v>
      </c>
      <c r="H75" t="str">
        <f>SmtRes!O93</f>
        <v>маш.-ч</v>
      </c>
      <c r="I75">
        <f>SmtRes!Y93*Source!I277</f>
        <v>8.9999999999999993E-3</v>
      </c>
      <c r="J75">
        <f>SmtRes!AO93</f>
        <v>1</v>
      </c>
      <c r="K75">
        <f>SmtRes!AF93</f>
        <v>7.44</v>
      </c>
      <c r="L75">
        <f>SmtRes!DB93</f>
        <v>7.44</v>
      </c>
      <c r="M75">
        <f>ROUND(ROUND(L75*Source!I277, 6)*1, 2)</f>
        <v>7.0000000000000007E-2</v>
      </c>
      <c r="N75">
        <f>SmtRes!AB93</f>
        <v>7.44</v>
      </c>
      <c r="O75">
        <f>ROUND(ROUND(L75*Source!I277, 6)*SmtRes!DA93, 2)</f>
        <v>7.0000000000000007E-2</v>
      </c>
      <c r="P75">
        <f>SmtRes!AG93</f>
        <v>0.01</v>
      </c>
      <c r="Q75">
        <f>SmtRes!DC93</f>
        <v>0.01</v>
      </c>
      <c r="R75">
        <f>ROUND(ROUND(Q75*Source!I277, 6)*1, 2)</f>
        <v>0</v>
      </c>
      <c r="S75">
        <f>SmtRes!AC93</f>
        <v>0.01</v>
      </c>
      <c r="T75">
        <f>ROUND(ROUND(Q75*Source!I277, 6)*SmtRes!AK93, 2)</f>
        <v>0</v>
      </c>
      <c r="U75">
        <v>2</v>
      </c>
      <c r="Z75">
        <f>SmtRes!X93</f>
        <v>-247555338</v>
      </c>
      <c r="AA75">
        <v>-1795244417</v>
      </c>
      <c r="AB75">
        <v>-1795244417</v>
      </c>
    </row>
    <row r="76" spans="1:28" x14ac:dyDescent="0.2">
      <c r="A76">
        <v>20</v>
      </c>
      <c r="B76">
        <v>97</v>
      </c>
      <c r="C76">
        <v>3</v>
      </c>
      <c r="D76">
        <v>0</v>
      </c>
      <c r="E76">
        <f>SmtRes!AV97</f>
        <v>0</v>
      </c>
      <c r="F76" t="str">
        <f>SmtRes!I97</f>
        <v>21.1-11-46</v>
      </c>
      <c r="G76" t="str">
        <f>SmtRes!K97</f>
        <v>Гвозди строительные</v>
      </c>
      <c r="H76" t="str">
        <f>SmtRes!O97</f>
        <v>т</v>
      </c>
      <c r="I76">
        <f>SmtRes!Y97*Source!I279</f>
        <v>1.3230000000000002E-4</v>
      </c>
      <c r="J76">
        <f>SmtRes!AO97</f>
        <v>1</v>
      </c>
      <c r="K76">
        <f>SmtRes!AE97</f>
        <v>95976.83</v>
      </c>
      <c r="L76">
        <f>SmtRes!DB97</f>
        <v>40.31</v>
      </c>
      <c r="M76">
        <f>ROUND(ROUND(L76*Source!I279, 6)*1, 2)</f>
        <v>12.7</v>
      </c>
      <c r="N76">
        <f>SmtRes!AA97</f>
        <v>95976.83</v>
      </c>
      <c r="O76">
        <f>ROUND(ROUND(L76*Source!I279, 6)*SmtRes!DA97, 2)</f>
        <v>12.7</v>
      </c>
      <c r="P76">
        <f>SmtRes!AG97</f>
        <v>0</v>
      </c>
      <c r="Q76">
        <f>SmtRes!DC97</f>
        <v>0</v>
      </c>
      <c r="R76">
        <f>ROUND(ROUND(Q76*Source!I279, 6)*1, 2)</f>
        <v>0</v>
      </c>
      <c r="S76">
        <f>SmtRes!AC97</f>
        <v>0</v>
      </c>
      <c r="T76">
        <f>ROUND(ROUND(Q76*Source!I279, 6)*SmtRes!AK97, 2)</f>
        <v>0</v>
      </c>
      <c r="U76">
        <v>3</v>
      </c>
      <c r="Z76">
        <f>SmtRes!X97</f>
        <v>-799169102</v>
      </c>
      <c r="AA76">
        <v>1916598461</v>
      </c>
      <c r="AB76">
        <v>1916598461</v>
      </c>
    </row>
    <row r="77" spans="1:28" x14ac:dyDescent="0.2">
      <c r="A77">
        <f>Source!A280</f>
        <v>18</v>
      </c>
      <c r="B77">
        <v>280</v>
      </c>
      <c r="C77">
        <v>3</v>
      </c>
      <c r="D77">
        <f>Source!BI280</f>
        <v>4</v>
      </c>
      <c r="E77">
        <f>Source!FS280</f>
        <v>0</v>
      </c>
      <c r="F77" t="str">
        <f>Source!F280</f>
        <v>цена пост.</v>
      </c>
      <c r="G77" t="str">
        <f>Source!G280</f>
        <v>Плинтус деревянный сращенный ПКС-50 13x50x2200 мм хвоя Экстра (или эквивалент)</v>
      </c>
      <c r="H77" t="str">
        <f>Source!H280</f>
        <v>м</v>
      </c>
      <c r="I77">
        <f>Source!I280</f>
        <v>33.075000000000003</v>
      </c>
      <c r="J77">
        <v>1</v>
      </c>
      <c r="K77">
        <f>Source!AC280</f>
        <v>87.13</v>
      </c>
      <c r="M77">
        <f>ROUND(K77*I77, 2)</f>
        <v>2881.82</v>
      </c>
      <c r="N77">
        <f>Source!AC280*IF(Source!BC280&lt;&gt; 0, Source!BC280, 1)</f>
        <v>87.13</v>
      </c>
      <c r="O77">
        <f>ROUND(N77*I77, 2)</f>
        <v>2881.82</v>
      </c>
      <c r="P77">
        <f>Source!AE280</f>
        <v>0</v>
      </c>
      <c r="R77">
        <f>ROUND(P77*I77, 2)</f>
        <v>0</v>
      </c>
      <c r="S77">
        <f>Source!AE280*IF(Source!BS280&lt;&gt; 0, Source!BS280, 1)</f>
        <v>0</v>
      </c>
      <c r="T77">
        <f>ROUND(S77*I77, 2)</f>
        <v>0</v>
      </c>
      <c r="U77">
        <v>3</v>
      </c>
      <c r="Z77">
        <f>Source!GF280</f>
        <v>1643166817</v>
      </c>
      <c r="AA77">
        <v>816279899</v>
      </c>
      <c r="AB77">
        <v>816279899</v>
      </c>
    </row>
    <row r="78" spans="1:28" x14ac:dyDescent="0.2">
      <c r="A78">
        <f>Source!A283</f>
        <v>18</v>
      </c>
      <c r="B78">
        <v>283</v>
      </c>
      <c r="C78">
        <v>3</v>
      </c>
      <c r="D78">
        <f>Source!BI283</f>
        <v>4</v>
      </c>
      <c r="E78">
        <f>Source!FS283</f>
        <v>0</v>
      </c>
      <c r="F78" t="str">
        <f>Source!F283</f>
        <v>21.1-8-4</v>
      </c>
      <c r="G78" t="str">
        <f>Source!G283</f>
        <v>Морилка натуральная (в 2 слоя)</v>
      </c>
      <c r="H78" t="str">
        <f>Source!H283</f>
        <v>кг</v>
      </c>
      <c r="I78">
        <f>Source!I283</f>
        <v>0.39500000000000002</v>
      </c>
      <c r="J78">
        <v>1</v>
      </c>
      <c r="K78">
        <f>Source!AC283</f>
        <v>309.42</v>
      </c>
      <c r="M78">
        <f>ROUND(K78*I78, 2)</f>
        <v>122.22</v>
      </c>
      <c r="N78">
        <f>Source!AC283*IF(Source!BC283&lt;&gt; 0, Source!BC283, 1)</f>
        <v>309.42</v>
      </c>
      <c r="O78">
        <f>ROUND(N78*I78, 2)</f>
        <v>122.22</v>
      </c>
      <c r="P78">
        <f>Source!AE283</f>
        <v>0</v>
      </c>
      <c r="R78">
        <f>ROUND(P78*I78, 2)</f>
        <v>0</v>
      </c>
      <c r="S78">
        <f>Source!AE283*IF(Source!BS283&lt;&gt; 0, Source!BS283, 1)</f>
        <v>0</v>
      </c>
      <c r="T78">
        <f>ROUND(S78*I78, 2)</f>
        <v>0</v>
      </c>
      <c r="U78">
        <v>3</v>
      </c>
      <c r="Z78">
        <f>Source!GF283</f>
        <v>1429785642</v>
      </c>
      <c r="AA78">
        <v>-1601762150</v>
      </c>
      <c r="AB78">
        <v>-1601762150</v>
      </c>
    </row>
    <row r="79" spans="1:28" x14ac:dyDescent="0.2">
      <c r="A79">
        <v>20</v>
      </c>
      <c r="B79">
        <v>108</v>
      </c>
      <c r="C79">
        <v>3</v>
      </c>
      <c r="D79">
        <v>0</v>
      </c>
      <c r="E79">
        <f>SmtRes!AV108</f>
        <v>0</v>
      </c>
      <c r="F79" t="str">
        <f>SmtRes!I108</f>
        <v>21.7-12-1</v>
      </c>
      <c r="G79" t="str">
        <f>SmtRes!K108</f>
        <v>Профили алюминиевые, ширина 40 мм, марка СПА 3505</v>
      </c>
      <c r="H79" t="str">
        <f>SmtRes!O108</f>
        <v>м</v>
      </c>
      <c r="I79">
        <f>SmtRes!Y108*Source!I285</f>
        <v>0.94499999999999995</v>
      </c>
      <c r="J79">
        <f>SmtRes!AO108</f>
        <v>1</v>
      </c>
      <c r="K79">
        <f>SmtRes!AE108</f>
        <v>154.56</v>
      </c>
      <c r="L79">
        <f>SmtRes!DB108</f>
        <v>16228.8</v>
      </c>
      <c r="M79">
        <f>ROUND(ROUND(L79*Source!I285, 6)*1, 2)</f>
        <v>146.06</v>
      </c>
      <c r="N79">
        <f>SmtRes!AA108</f>
        <v>154.56</v>
      </c>
      <c r="O79">
        <f>ROUND(ROUND(L79*Source!I285, 6)*SmtRes!DA108, 2)</f>
        <v>146.06</v>
      </c>
      <c r="P79">
        <f>SmtRes!AG108</f>
        <v>0</v>
      </c>
      <c r="Q79">
        <f>SmtRes!DC108</f>
        <v>0</v>
      </c>
      <c r="R79">
        <f>ROUND(ROUND(Q79*Source!I285, 6)*1, 2)</f>
        <v>0</v>
      </c>
      <c r="S79">
        <f>SmtRes!AC108</f>
        <v>0</v>
      </c>
      <c r="T79">
        <f>ROUND(ROUND(Q79*Source!I285, 6)*SmtRes!AK108, 2)</f>
        <v>0</v>
      </c>
      <c r="U79">
        <v>3</v>
      </c>
      <c r="Z79">
        <f>SmtRes!X108</f>
        <v>-1781956644</v>
      </c>
      <c r="AA79">
        <v>1256870118</v>
      </c>
      <c r="AB79">
        <v>1256870118</v>
      </c>
    </row>
    <row r="80" spans="1:28" x14ac:dyDescent="0.2">
      <c r="A80">
        <v>20</v>
      </c>
      <c r="B80">
        <v>107</v>
      </c>
      <c r="C80">
        <v>3</v>
      </c>
      <c r="D80">
        <v>0</v>
      </c>
      <c r="E80">
        <f>SmtRes!AV107</f>
        <v>0</v>
      </c>
      <c r="F80" t="str">
        <f>SmtRes!I107</f>
        <v>21.1-11-32</v>
      </c>
      <c r="G80" t="str">
        <f>SmtRes!K107</f>
        <v>Винты самонарезающие оцинкованные, длина 25 мм</v>
      </c>
      <c r="H80" t="str">
        <f>SmtRes!O107</f>
        <v>кг</v>
      </c>
      <c r="I80">
        <f>SmtRes!Y107*Source!I285</f>
        <v>8.4599999999999988E-3</v>
      </c>
      <c r="J80">
        <f>SmtRes!AO107</f>
        <v>1</v>
      </c>
      <c r="K80">
        <f>SmtRes!AE107</f>
        <v>263.45</v>
      </c>
      <c r="L80">
        <f>SmtRes!DB107</f>
        <v>247.64</v>
      </c>
      <c r="M80">
        <f>ROUND(ROUND(L80*Source!I285, 6)*1, 2)</f>
        <v>2.23</v>
      </c>
      <c r="N80">
        <f>SmtRes!AA107</f>
        <v>263.45</v>
      </c>
      <c r="O80">
        <f>ROUND(ROUND(L80*Source!I285, 6)*SmtRes!DA107, 2)</f>
        <v>2.23</v>
      </c>
      <c r="P80">
        <f>SmtRes!AG107</f>
        <v>0</v>
      </c>
      <c r="Q80">
        <f>SmtRes!DC107</f>
        <v>0</v>
      </c>
      <c r="R80">
        <f>ROUND(ROUND(Q80*Source!I285, 6)*1, 2)</f>
        <v>0</v>
      </c>
      <c r="S80">
        <f>SmtRes!AC107</f>
        <v>0</v>
      </c>
      <c r="T80">
        <f>ROUND(ROUND(Q80*Source!I285, 6)*SmtRes!AK107, 2)</f>
        <v>0</v>
      </c>
      <c r="U80">
        <v>3</v>
      </c>
      <c r="Z80">
        <f>SmtRes!X107</f>
        <v>25616993</v>
      </c>
      <c r="AA80">
        <v>-1846749560</v>
      </c>
      <c r="AB80">
        <v>-1846749560</v>
      </c>
    </row>
    <row r="81" spans="1:28" x14ac:dyDescent="0.2">
      <c r="A81">
        <v>20</v>
      </c>
      <c r="B81">
        <v>106</v>
      </c>
      <c r="C81">
        <v>2</v>
      </c>
      <c r="D81">
        <v>0</v>
      </c>
      <c r="E81">
        <f>SmtRes!AV106</f>
        <v>0</v>
      </c>
      <c r="F81" t="str">
        <f>SmtRes!I106</f>
        <v>22.1-30-56</v>
      </c>
      <c r="G81" t="str">
        <f>SmtRes!K106</f>
        <v>Шуруповерты</v>
      </c>
      <c r="H81" t="str">
        <f>SmtRes!O106</f>
        <v>маш.-ч</v>
      </c>
      <c r="I81">
        <f>SmtRes!Y106*Source!I285</f>
        <v>6.5699999999999995E-2</v>
      </c>
      <c r="J81">
        <f>SmtRes!AO106</f>
        <v>1</v>
      </c>
      <c r="K81">
        <f>SmtRes!AF106</f>
        <v>7.44</v>
      </c>
      <c r="L81">
        <f>SmtRes!DB106</f>
        <v>54.31</v>
      </c>
      <c r="M81">
        <f>ROUND(ROUND(L81*Source!I285, 6)*1, 2)</f>
        <v>0.49</v>
      </c>
      <c r="N81">
        <f>SmtRes!AB106</f>
        <v>7.44</v>
      </c>
      <c r="O81">
        <f>ROUND(ROUND(L81*Source!I285, 6)*SmtRes!DA106, 2)</f>
        <v>0.49</v>
      </c>
      <c r="P81">
        <f>SmtRes!AG106</f>
        <v>0.01</v>
      </c>
      <c r="Q81">
        <f>SmtRes!DC106</f>
        <v>7.0000000000000007E-2</v>
      </c>
      <c r="R81">
        <f>ROUND(ROUND(Q81*Source!I285, 6)*1, 2)</f>
        <v>0</v>
      </c>
      <c r="S81">
        <f>SmtRes!AC106</f>
        <v>0.01</v>
      </c>
      <c r="T81">
        <f>ROUND(ROUND(Q81*Source!I285, 6)*SmtRes!AK106, 2)</f>
        <v>0</v>
      </c>
      <c r="U81">
        <v>2</v>
      </c>
      <c r="Z81">
        <f>SmtRes!X106</f>
        <v>-247555338</v>
      </c>
      <c r="AA81">
        <v>-1795244417</v>
      </c>
      <c r="AB81">
        <v>-1795244417</v>
      </c>
    </row>
    <row r="82" spans="1:28" x14ac:dyDescent="0.2">
      <c r="A82">
        <v>20</v>
      </c>
      <c r="B82">
        <v>105</v>
      </c>
      <c r="C82">
        <v>2</v>
      </c>
      <c r="D82">
        <v>0</v>
      </c>
      <c r="E82">
        <f>SmtRes!AV105</f>
        <v>0</v>
      </c>
      <c r="F82" t="str">
        <f>SmtRes!I105</f>
        <v>22.1-30-27</v>
      </c>
      <c r="G82" t="str">
        <f>SmtRes!K105</f>
        <v>Пилы дисковые электрические для резки пиломатериалов</v>
      </c>
      <c r="H82" t="str">
        <f>SmtRes!O105</f>
        <v>маш.-ч</v>
      </c>
      <c r="I82">
        <f>SmtRes!Y105*Source!I285</f>
        <v>4.0499999999999998E-3</v>
      </c>
      <c r="J82">
        <f>SmtRes!AO105</f>
        <v>1</v>
      </c>
      <c r="K82">
        <f>SmtRes!AF105</f>
        <v>6.09</v>
      </c>
      <c r="L82">
        <f>SmtRes!DB105</f>
        <v>2.74</v>
      </c>
      <c r="M82">
        <f>ROUND(ROUND(L82*Source!I285, 6)*1, 2)</f>
        <v>0.02</v>
      </c>
      <c r="N82">
        <f>SmtRes!AB105</f>
        <v>6.09</v>
      </c>
      <c r="O82">
        <f>ROUND(ROUND(L82*Source!I285, 6)*SmtRes!DA105, 2)</f>
        <v>0.02</v>
      </c>
      <c r="P82">
        <f>SmtRes!AG105</f>
        <v>0.01</v>
      </c>
      <c r="Q82">
        <f>SmtRes!DC105</f>
        <v>0</v>
      </c>
      <c r="R82">
        <f>ROUND(ROUND(Q82*Source!I285, 6)*1, 2)</f>
        <v>0</v>
      </c>
      <c r="S82">
        <f>SmtRes!AC105</f>
        <v>0.01</v>
      </c>
      <c r="T82">
        <f>ROUND(ROUND(Q82*Source!I285, 6)*SmtRes!AK105, 2)</f>
        <v>0</v>
      </c>
      <c r="U82">
        <v>2</v>
      </c>
      <c r="Z82">
        <f>SmtRes!X105</f>
        <v>-156276122</v>
      </c>
      <c r="AA82">
        <v>1696645965</v>
      </c>
      <c r="AB82">
        <v>1696645965</v>
      </c>
    </row>
    <row r="83" spans="1:28" x14ac:dyDescent="0.2">
      <c r="A83">
        <v>20</v>
      </c>
      <c r="B83">
        <v>104</v>
      </c>
      <c r="C83">
        <v>2</v>
      </c>
      <c r="D83">
        <v>0</v>
      </c>
      <c r="E83">
        <f>SmtRes!AV104</f>
        <v>0</v>
      </c>
      <c r="F83" t="str">
        <f>SmtRes!I104</f>
        <v>22.1-30-102</v>
      </c>
      <c r="G83" t="str">
        <f>SmtRes!K104</f>
        <v>Дрели электрические, двухскоростные, мощностью 600 Вт</v>
      </c>
      <c r="H83" t="str">
        <f>SmtRes!O104</f>
        <v>маш.-ч</v>
      </c>
      <c r="I83">
        <f>SmtRes!Y104*Source!I285</f>
        <v>4.8239999999999998E-2</v>
      </c>
      <c r="J83">
        <f>SmtRes!AO104</f>
        <v>1</v>
      </c>
      <c r="K83">
        <f>SmtRes!AF104</f>
        <v>6.13</v>
      </c>
      <c r="L83">
        <f>SmtRes!DB104</f>
        <v>32.86</v>
      </c>
      <c r="M83">
        <f>ROUND(ROUND(L83*Source!I285, 6)*1, 2)</f>
        <v>0.3</v>
      </c>
      <c r="N83">
        <f>SmtRes!AB104</f>
        <v>6.13</v>
      </c>
      <c r="O83">
        <f>ROUND(ROUND(L83*Source!I285, 6)*SmtRes!DA104, 2)</f>
        <v>0.3</v>
      </c>
      <c r="P83">
        <f>SmtRes!AG104</f>
        <v>1.91</v>
      </c>
      <c r="Q83">
        <f>SmtRes!DC104</f>
        <v>10.24</v>
      </c>
      <c r="R83">
        <f>ROUND(ROUND(Q83*Source!I285, 6)*1, 2)</f>
        <v>0.09</v>
      </c>
      <c r="S83">
        <f>SmtRes!AC104</f>
        <v>1.91</v>
      </c>
      <c r="T83">
        <f>ROUND(ROUND(Q83*Source!I285, 6)*SmtRes!AK104, 2)</f>
        <v>0.09</v>
      </c>
      <c r="U83">
        <v>2</v>
      </c>
      <c r="Z83">
        <f>SmtRes!X104</f>
        <v>1989376342</v>
      </c>
      <c r="AA83">
        <v>1891803891</v>
      </c>
      <c r="AB83">
        <v>1891803891</v>
      </c>
    </row>
    <row r="84" spans="1:28" x14ac:dyDescent="0.2">
      <c r="A84">
        <v>20</v>
      </c>
      <c r="B84">
        <v>118</v>
      </c>
      <c r="C84">
        <v>3</v>
      </c>
      <c r="D84">
        <v>0</v>
      </c>
      <c r="E84">
        <f>SmtRes!AV118</f>
        <v>0</v>
      </c>
      <c r="F84" t="str">
        <f>SmtRes!I118</f>
        <v>21.3-2-120</v>
      </c>
      <c r="G84" t="str">
        <f>SmtRes!K118</f>
        <v>Смеси сухие цементно-песчаные для устройства стяжки, самовыравнивающиеся: В15 (М200), F50</v>
      </c>
      <c r="H84" t="str">
        <f>SmtRes!O118</f>
        <v>т</v>
      </c>
      <c r="I84">
        <f>SmtRes!Y118*Source!I287</f>
        <v>0.45552200000000004</v>
      </c>
      <c r="J84">
        <f>SmtRes!AO118</f>
        <v>1</v>
      </c>
      <c r="K84">
        <f>SmtRes!AE118</f>
        <v>37996.660000000003</v>
      </c>
      <c r="L84">
        <f>SmtRes!DB118</f>
        <v>31993.19</v>
      </c>
      <c r="M84">
        <f>ROUND(ROUND(L84*Source!I287, 6)*1, 2)</f>
        <v>17308.32</v>
      </c>
      <c r="N84">
        <f>SmtRes!AA118</f>
        <v>37996.660000000003</v>
      </c>
      <c r="O84">
        <f>ROUND(ROUND(L84*Source!I287, 6)*SmtRes!DA118, 2)</f>
        <v>17308.32</v>
      </c>
      <c r="P84">
        <f>SmtRes!AG118</f>
        <v>0</v>
      </c>
      <c r="Q84">
        <f>SmtRes!DC118</f>
        <v>0</v>
      </c>
      <c r="R84">
        <f>ROUND(ROUND(Q84*Source!I287, 6)*1, 2)</f>
        <v>0</v>
      </c>
      <c r="S84">
        <f>SmtRes!AC118</f>
        <v>0</v>
      </c>
      <c r="T84">
        <f>ROUND(ROUND(Q84*Source!I287, 6)*SmtRes!AK118, 2)</f>
        <v>0</v>
      </c>
      <c r="U84">
        <v>3</v>
      </c>
      <c r="Z84">
        <f>SmtRes!X118</f>
        <v>837212414</v>
      </c>
      <c r="AA84">
        <v>-2002525921</v>
      </c>
      <c r="AB84">
        <v>-2002525921</v>
      </c>
    </row>
    <row r="85" spans="1:28" x14ac:dyDescent="0.2">
      <c r="A85">
        <v>20</v>
      </c>
      <c r="B85">
        <v>117</v>
      </c>
      <c r="C85">
        <v>3</v>
      </c>
      <c r="D85">
        <v>0</v>
      </c>
      <c r="E85">
        <f>SmtRes!AV117</f>
        <v>0</v>
      </c>
      <c r="F85" t="str">
        <f>SmtRes!I117</f>
        <v>21.1-6-183</v>
      </c>
      <c r="G85" t="str">
        <f>SmtRes!K117</f>
        <v>Грунтовка водно-дисперсионная на акриловых сополимерах с токопроводящими добавками</v>
      </c>
      <c r="H85" t="str">
        <f>SmtRes!O117</f>
        <v>кг</v>
      </c>
      <c r="I85">
        <f>SmtRes!Y117*Source!I287</f>
        <v>10.82</v>
      </c>
      <c r="J85">
        <f>SmtRes!AO117</f>
        <v>1</v>
      </c>
      <c r="K85">
        <f>SmtRes!AE117</f>
        <v>915.75</v>
      </c>
      <c r="L85">
        <f>SmtRes!DB117</f>
        <v>18315</v>
      </c>
      <c r="M85">
        <f>ROUND(ROUND(L85*Source!I287, 6)*1, 2)</f>
        <v>9908.42</v>
      </c>
      <c r="N85">
        <f>SmtRes!AA117</f>
        <v>915.75</v>
      </c>
      <c r="O85">
        <f>ROUND(ROUND(L85*Source!I287, 6)*SmtRes!DA117, 2)</f>
        <v>9908.42</v>
      </c>
      <c r="P85">
        <f>SmtRes!AG117</f>
        <v>0</v>
      </c>
      <c r="Q85">
        <f>SmtRes!DC117</f>
        <v>0</v>
      </c>
      <c r="R85">
        <f>ROUND(ROUND(Q85*Source!I287, 6)*1, 2)</f>
        <v>0</v>
      </c>
      <c r="S85">
        <f>SmtRes!AC117</f>
        <v>0</v>
      </c>
      <c r="T85">
        <f>ROUND(ROUND(Q85*Source!I287, 6)*SmtRes!AK117, 2)</f>
        <v>0</v>
      </c>
      <c r="U85">
        <v>3</v>
      </c>
      <c r="Z85">
        <f>SmtRes!X117</f>
        <v>1856405498</v>
      </c>
      <c r="AA85">
        <v>1664722683</v>
      </c>
      <c r="AB85">
        <v>1664722683</v>
      </c>
    </row>
    <row r="86" spans="1:28" x14ac:dyDescent="0.2">
      <c r="A86">
        <v>20</v>
      </c>
      <c r="B86">
        <v>116</v>
      </c>
      <c r="C86">
        <v>3</v>
      </c>
      <c r="D86">
        <v>0</v>
      </c>
      <c r="E86">
        <f>SmtRes!AV116</f>
        <v>0</v>
      </c>
      <c r="F86" t="str">
        <f>SmtRes!I116</f>
        <v>21.1-25-257</v>
      </c>
      <c r="G86" t="str">
        <f>SmtRes!K116</f>
        <v>Пленка полиэтиленовая, толщина 80 мкм</v>
      </c>
      <c r="H86" t="str">
        <f>SmtRes!O116</f>
        <v>м2</v>
      </c>
      <c r="I86">
        <f>SmtRes!Y116*Source!I287</f>
        <v>5.41</v>
      </c>
      <c r="J86">
        <f>SmtRes!AO116</f>
        <v>1</v>
      </c>
      <c r="K86">
        <f>SmtRes!AE116</f>
        <v>10.62</v>
      </c>
      <c r="L86">
        <f>SmtRes!DB116</f>
        <v>106.2</v>
      </c>
      <c r="M86">
        <f>ROUND(ROUND(L86*Source!I287, 6)*1, 2)</f>
        <v>57.45</v>
      </c>
      <c r="N86">
        <f>SmtRes!AA116</f>
        <v>10.62</v>
      </c>
      <c r="O86">
        <f>ROUND(ROUND(L86*Source!I287, 6)*SmtRes!DA116, 2)</f>
        <v>57.45</v>
      </c>
      <c r="P86">
        <f>SmtRes!AG116</f>
        <v>0</v>
      </c>
      <c r="Q86">
        <f>SmtRes!DC116</f>
        <v>0</v>
      </c>
      <c r="R86">
        <f>ROUND(ROUND(Q86*Source!I287, 6)*1, 2)</f>
        <v>0</v>
      </c>
      <c r="S86">
        <f>SmtRes!AC116</f>
        <v>0</v>
      </c>
      <c r="T86">
        <f>ROUND(ROUND(Q86*Source!I287, 6)*SmtRes!AK116, 2)</f>
        <v>0</v>
      </c>
      <c r="U86">
        <v>3</v>
      </c>
      <c r="Z86">
        <f>SmtRes!X116</f>
        <v>1627923774</v>
      </c>
      <c r="AA86">
        <v>-745564717</v>
      </c>
      <c r="AB86">
        <v>-745564717</v>
      </c>
    </row>
    <row r="87" spans="1:28" x14ac:dyDescent="0.2">
      <c r="A87">
        <v>20</v>
      </c>
      <c r="B87">
        <v>115</v>
      </c>
      <c r="C87">
        <v>3</v>
      </c>
      <c r="D87">
        <v>0</v>
      </c>
      <c r="E87">
        <f>SmtRes!AV115</f>
        <v>0</v>
      </c>
      <c r="F87" t="str">
        <f>SmtRes!I115</f>
        <v>21.1-25-13</v>
      </c>
      <c r="G87" t="str">
        <f>SmtRes!K115</f>
        <v>Вода</v>
      </c>
      <c r="H87" t="str">
        <f>SmtRes!O115</f>
        <v>м3</v>
      </c>
      <c r="I87">
        <f>SmtRes!Y115*Source!I287</f>
        <v>0.163382</v>
      </c>
      <c r="J87">
        <f>SmtRes!AO115</f>
        <v>1</v>
      </c>
      <c r="K87">
        <f>SmtRes!AE115</f>
        <v>49.83</v>
      </c>
      <c r="L87">
        <f>SmtRes!DB115</f>
        <v>15.05</v>
      </c>
      <c r="M87">
        <f>ROUND(ROUND(L87*Source!I287, 6)*1, 2)</f>
        <v>8.14</v>
      </c>
      <c r="N87">
        <f>SmtRes!AA115</f>
        <v>49.83</v>
      </c>
      <c r="O87">
        <f>ROUND(ROUND(L87*Source!I287, 6)*SmtRes!DA115, 2)</f>
        <v>8.14</v>
      </c>
      <c r="P87">
        <f>SmtRes!AG115</f>
        <v>0</v>
      </c>
      <c r="Q87">
        <f>SmtRes!DC115</f>
        <v>0</v>
      </c>
      <c r="R87">
        <f>ROUND(ROUND(Q87*Source!I287, 6)*1, 2)</f>
        <v>0</v>
      </c>
      <c r="S87">
        <f>SmtRes!AC115</f>
        <v>0</v>
      </c>
      <c r="T87">
        <f>ROUND(ROUND(Q87*Source!I287, 6)*SmtRes!AK115, 2)</f>
        <v>0</v>
      </c>
      <c r="U87">
        <v>3</v>
      </c>
      <c r="Z87">
        <f>SmtRes!X115</f>
        <v>973433911</v>
      </c>
      <c r="AA87">
        <v>1405492101</v>
      </c>
      <c r="AB87">
        <v>1405492101</v>
      </c>
    </row>
    <row r="88" spans="1:28" x14ac:dyDescent="0.2">
      <c r="A88">
        <v>20</v>
      </c>
      <c r="B88">
        <v>114</v>
      </c>
      <c r="C88">
        <v>2</v>
      </c>
      <c r="D88">
        <v>0</v>
      </c>
      <c r="E88">
        <f>SmtRes!AV114</f>
        <v>0</v>
      </c>
      <c r="F88" t="str">
        <f>SmtRes!I114</f>
        <v>22.1-4-1</v>
      </c>
      <c r="G88" t="str">
        <f>SmtRes!K114</f>
        <v>Погрузчики универсальные на пневмоколесном ходу, грузоподъемность до 1 т</v>
      </c>
      <c r="H88" t="str">
        <f>SmtRes!O114</f>
        <v>маш.-ч</v>
      </c>
      <c r="I88">
        <f>SmtRes!Y114*Source!I287</f>
        <v>1.0820000000000001E-2</v>
      </c>
      <c r="J88">
        <f>SmtRes!AO114</f>
        <v>1</v>
      </c>
      <c r="K88">
        <f>SmtRes!AF114</f>
        <v>1472.88</v>
      </c>
      <c r="L88">
        <f>SmtRes!DB114</f>
        <v>29.46</v>
      </c>
      <c r="M88">
        <f>ROUND(ROUND(L88*Source!I287, 6)*1, 2)</f>
        <v>15.94</v>
      </c>
      <c r="N88">
        <f>SmtRes!AB114</f>
        <v>1472.88</v>
      </c>
      <c r="O88">
        <f>ROUND(ROUND(L88*Source!I287, 6)*SmtRes!DA114, 2)</f>
        <v>15.94</v>
      </c>
      <c r="P88">
        <f>SmtRes!AG114</f>
        <v>893.16</v>
      </c>
      <c r="Q88">
        <f>SmtRes!DC114</f>
        <v>17.86</v>
      </c>
      <c r="R88">
        <f>ROUND(ROUND(Q88*Source!I287, 6)*1, 2)</f>
        <v>9.66</v>
      </c>
      <c r="S88">
        <f>SmtRes!AC114</f>
        <v>893.16</v>
      </c>
      <c r="T88">
        <f>ROUND(ROUND(Q88*Source!I287, 6)*SmtRes!AK114, 2)</f>
        <v>9.66</v>
      </c>
      <c r="U88">
        <v>2</v>
      </c>
      <c r="Z88">
        <f>SmtRes!X114</f>
        <v>2002913998</v>
      </c>
      <c r="AA88">
        <v>-560972641</v>
      </c>
      <c r="AB88">
        <v>-560972641</v>
      </c>
    </row>
    <row r="89" spans="1:28" x14ac:dyDescent="0.2">
      <c r="A89">
        <v>20</v>
      </c>
      <c r="B89">
        <v>113</v>
      </c>
      <c r="C89">
        <v>2</v>
      </c>
      <c r="D89">
        <v>0</v>
      </c>
      <c r="E89">
        <f>SmtRes!AV113</f>
        <v>0</v>
      </c>
      <c r="F89" t="str">
        <f>SmtRes!I113</f>
        <v>22.1-30-103</v>
      </c>
      <c r="G89" t="str">
        <f>SmtRes!K113</f>
        <v>Перфораторы электрические, мощность до 800 Вт</v>
      </c>
      <c r="H89" t="str">
        <f>SmtRes!O113</f>
        <v>маш.-ч</v>
      </c>
      <c r="I89">
        <f>SmtRes!Y113*Source!I287</f>
        <v>2.2451500000000002</v>
      </c>
      <c r="J89">
        <f>SmtRes!AO113</f>
        <v>1</v>
      </c>
      <c r="K89">
        <f>SmtRes!AF113</f>
        <v>10.7</v>
      </c>
      <c r="L89">
        <f>SmtRes!DB113</f>
        <v>44.41</v>
      </c>
      <c r="M89">
        <f>ROUND(ROUND(L89*Source!I287, 6)*1, 2)</f>
        <v>24.03</v>
      </c>
      <c r="N89">
        <f>SmtRes!AB113</f>
        <v>10.7</v>
      </c>
      <c r="O89">
        <f>ROUND(ROUND(L89*Source!I287, 6)*SmtRes!DA113, 2)</f>
        <v>24.03</v>
      </c>
      <c r="P89">
        <f>SmtRes!AG113</f>
        <v>1.91</v>
      </c>
      <c r="Q89">
        <f>SmtRes!DC113</f>
        <v>7.93</v>
      </c>
      <c r="R89">
        <f>ROUND(ROUND(Q89*Source!I287, 6)*1, 2)</f>
        <v>4.29</v>
      </c>
      <c r="S89">
        <f>SmtRes!AC113</f>
        <v>1.91</v>
      </c>
      <c r="T89">
        <f>ROUND(ROUND(Q89*Source!I287, 6)*SmtRes!AK113, 2)</f>
        <v>4.29</v>
      </c>
      <c r="U89">
        <v>2</v>
      </c>
      <c r="Z89">
        <f>SmtRes!X113</f>
        <v>-684189830</v>
      </c>
      <c r="AA89">
        <v>-1048187902</v>
      </c>
      <c r="AB89">
        <v>-1048187902</v>
      </c>
    </row>
    <row r="90" spans="1:28" x14ac:dyDescent="0.2">
      <c r="A90">
        <v>20</v>
      </c>
      <c r="B90">
        <v>112</v>
      </c>
      <c r="C90">
        <v>2</v>
      </c>
      <c r="D90">
        <v>0</v>
      </c>
      <c r="E90">
        <f>SmtRes!AV112</f>
        <v>0</v>
      </c>
      <c r="F90" t="str">
        <f>SmtRes!I112</f>
        <v>22.1-14-13</v>
      </c>
      <c r="G90" t="str">
        <f>SmtRes!K112</f>
        <v>Пылесосы, потребляемая мощность 350-1200 Вт</v>
      </c>
      <c r="H90" t="str">
        <f>SmtRes!O112</f>
        <v>маш.-ч</v>
      </c>
      <c r="I90">
        <f>SmtRes!Y112*Source!I287</f>
        <v>1.6230000000000002</v>
      </c>
      <c r="J90">
        <f>SmtRes!AO112</f>
        <v>1</v>
      </c>
      <c r="K90">
        <f>SmtRes!AF112</f>
        <v>56.19</v>
      </c>
      <c r="L90">
        <f>SmtRes!DB112</f>
        <v>168.57</v>
      </c>
      <c r="M90">
        <f>ROUND(ROUND(L90*Source!I287, 6)*1, 2)</f>
        <v>91.2</v>
      </c>
      <c r="N90">
        <f>SmtRes!AB112</f>
        <v>56.19</v>
      </c>
      <c r="O90">
        <f>ROUND(ROUND(L90*Source!I287, 6)*SmtRes!DA112, 2)</f>
        <v>91.2</v>
      </c>
      <c r="P90">
        <f>SmtRes!AG112</f>
        <v>0.31</v>
      </c>
      <c r="Q90">
        <f>SmtRes!DC112</f>
        <v>0.93</v>
      </c>
      <c r="R90">
        <f>ROUND(ROUND(Q90*Source!I287, 6)*1, 2)</f>
        <v>0.5</v>
      </c>
      <c r="S90">
        <f>SmtRes!AC112</f>
        <v>0.31</v>
      </c>
      <c r="T90">
        <f>ROUND(ROUND(Q90*Source!I287, 6)*SmtRes!AK112, 2)</f>
        <v>0.5</v>
      </c>
      <c r="U90">
        <v>2</v>
      </c>
      <c r="Z90">
        <f>SmtRes!X112</f>
        <v>64700738</v>
      </c>
      <c r="AA90">
        <v>1115396703</v>
      </c>
      <c r="AB90">
        <v>1115396703</v>
      </c>
    </row>
    <row r="91" spans="1:28" x14ac:dyDescent="0.2">
      <c r="A91">
        <v>20</v>
      </c>
      <c r="B91">
        <v>126</v>
      </c>
      <c r="C91">
        <v>3</v>
      </c>
      <c r="D91">
        <v>0</v>
      </c>
      <c r="E91">
        <f>SmtRes!AV126</f>
        <v>0</v>
      </c>
      <c r="F91" t="str">
        <f>SmtRes!I126</f>
        <v>21.1-6-165</v>
      </c>
      <c r="G91" t="str">
        <f>SmtRes!K126</f>
        <v>Грунтовка водно-дисперсионная высококонцентрированная глубокопроникающая универсальная</v>
      </c>
      <c r="H91" t="str">
        <f>SmtRes!O126</f>
        <v>кг</v>
      </c>
      <c r="I91">
        <f>SmtRes!Y126*Source!I288</f>
        <v>5.5723000000000011</v>
      </c>
      <c r="J91">
        <f>SmtRes!AO126</f>
        <v>1</v>
      </c>
      <c r="K91">
        <f>SmtRes!AE126</f>
        <v>138.59</v>
      </c>
      <c r="L91">
        <f>SmtRes!DB126</f>
        <v>1427.48</v>
      </c>
      <c r="M91">
        <f>ROUND(ROUND(L91*Source!I288, 6)*1, 2)</f>
        <v>772.27</v>
      </c>
      <c r="N91">
        <f>SmtRes!AA126</f>
        <v>138.59</v>
      </c>
      <c r="O91">
        <f>ROUND(ROUND(L91*Source!I288, 6)*SmtRes!DA126, 2)</f>
        <v>772.27</v>
      </c>
      <c r="P91">
        <f>SmtRes!AG126</f>
        <v>0</v>
      </c>
      <c r="Q91">
        <f>SmtRes!DC126</f>
        <v>0</v>
      </c>
      <c r="R91">
        <f>ROUND(ROUND(Q91*Source!I288, 6)*1, 2)</f>
        <v>0</v>
      </c>
      <c r="S91">
        <f>SmtRes!AC126</f>
        <v>0</v>
      </c>
      <c r="T91">
        <f>ROUND(ROUND(Q91*Source!I288, 6)*SmtRes!AK126, 2)</f>
        <v>0</v>
      </c>
      <c r="U91">
        <v>3</v>
      </c>
      <c r="Z91">
        <f>SmtRes!X126</f>
        <v>538144241</v>
      </c>
      <c r="AA91">
        <v>127690875</v>
      </c>
      <c r="AB91">
        <v>127690875</v>
      </c>
    </row>
    <row r="92" spans="1:28" x14ac:dyDescent="0.2">
      <c r="A92">
        <v>20</v>
      </c>
      <c r="B92">
        <v>125</v>
      </c>
      <c r="C92">
        <v>3</v>
      </c>
      <c r="D92">
        <v>0</v>
      </c>
      <c r="E92">
        <f>SmtRes!AV125</f>
        <v>0</v>
      </c>
      <c r="F92" t="str">
        <f>SmtRes!I125</f>
        <v>21.1-25-748</v>
      </c>
      <c r="G92" t="str">
        <f>SmtRes!K125</f>
        <v>Шнур для сварки швов поливинилхлоридного линолеума</v>
      </c>
      <c r="H92" t="str">
        <f>SmtRes!O125</f>
        <v>м</v>
      </c>
      <c r="I92">
        <f>SmtRes!Y125*Source!I288</f>
        <v>32.46</v>
      </c>
      <c r="J92">
        <f>SmtRes!AO125</f>
        <v>1</v>
      </c>
      <c r="K92">
        <f>SmtRes!AE125</f>
        <v>57.6</v>
      </c>
      <c r="L92">
        <f>SmtRes!DB125</f>
        <v>3456</v>
      </c>
      <c r="M92">
        <f>ROUND(ROUND(L92*Source!I288, 6)*1, 2)</f>
        <v>1869.7</v>
      </c>
      <c r="N92">
        <f>SmtRes!AA125</f>
        <v>57.6</v>
      </c>
      <c r="O92">
        <f>ROUND(ROUND(L92*Source!I288, 6)*SmtRes!DA125, 2)</f>
        <v>1869.7</v>
      </c>
      <c r="P92">
        <f>SmtRes!AG125</f>
        <v>0</v>
      </c>
      <c r="Q92">
        <f>SmtRes!DC125</f>
        <v>0</v>
      </c>
      <c r="R92">
        <f>ROUND(ROUND(Q92*Source!I288, 6)*1, 2)</f>
        <v>0</v>
      </c>
      <c r="S92">
        <f>SmtRes!AC125</f>
        <v>0</v>
      </c>
      <c r="T92">
        <f>ROUND(ROUND(Q92*Source!I288, 6)*SmtRes!AK125, 2)</f>
        <v>0</v>
      </c>
      <c r="U92">
        <v>3</v>
      </c>
      <c r="Z92">
        <f>SmtRes!X125</f>
        <v>-1400349757</v>
      </c>
      <c r="AA92">
        <v>-2006813742</v>
      </c>
      <c r="AB92">
        <v>-2006813742</v>
      </c>
    </row>
    <row r="93" spans="1:28" x14ac:dyDescent="0.2">
      <c r="A93">
        <v>20</v>
      </c>
      <c r="B93">
        <v>124</v>
      </c>
      <c r="C93">
        <v>3</v>
      </c>
      <c r="D93">
        <v>0</v>
      </c>
      <c r="E93">
        <f>SmtRes!AV124</f>
        <v>0</v>
      </c>
      <c r="F93" t="str">
        <f>SmtRes!I124</f>
        <v>21.1-25-736</v>
      </c>
      <c r="G93" t="str">
        <f>SmtRes!K124</f>
        <v>Линолеум поливинилхлоридный высокой износостойкости, класс 34/43, истираемость 110 (86) мкм (Р), группа горючести Г1, толщина 2 мм</v>
      </c>
      <c r="H93" t="str">
        <f>SmtRes!O124</f>
        <v>м2</v>
      </c>
      <c r="I93">
        <f>SmtRes!Y124*Source!I288</f>
        <v>57.887</v>
      </c>
      <c r="J93">
        <f>SmtRes!AO124</f>
        <v>1</v>
      </c>
      <c r="K93">
        <f>SmtRes!AE124</f>
        <v>1117.3499999999999</v>
      </c>
      <c r="L93">
        <f>SmtRes!DB124</f>
        <v>119556.45</v>
      </c>
      <c r="M93">
        <f>ROUND(ROUND(L93*Source!I288, 6)*1, 2)</f>
        <v>64680.04</v>
      </c>
      <c r="N93">
        <f>SmtRes!AA124</f>
        <v>1117.3499999999999</v>
      </c>
      <c r="O93">
        <f>ROUND(ROUND(L93*Source!I288, 6)*SmtRes!DA124, 2)</f>
        <v>64680.04</v>
      </c>
      <c r="P93">
        <f>SmtRes!AG124</f>
        <v>0</v>
      </c>
      <c r="Q93">
        <f>SmtRes!DC124</f>
        <v>0</v>
      </c>
      <c r="R93">
        <f>ROUND(ROUND(Q93*Source!I288, 6)*1, 2)</f>
        <v>0</v>
      </c>
      <c r="S93">
        <f>SmtRes!AC124</f>
        <v>0</v>
      </c>
      <c r="T93">
        <f>ROUND(ROUND(Q93*Source!I288, 6)*SmtRes!AK124, 2)</f>
        <v>0</v>
      </c>
      <c r="U93">
        <v>3</v>
      </c>
      <c r="Z93">
        <f>SmtRes!X124</f>
        <v>-1901445925</v>
      </c>
      <c r="AA93">
        <v>1879435092</v>
      </c>
      <c r="AB93">
        <v>1879435092</v>
      </c>
    </row>
    <row r="94" spans="1:28" x14ac:dyDescent="0.2">
      <c r="A94">
        <v>20</v>
      </c>
      <c r="B94">
        <v>123</v>
      </c>
      <c r="C94">
        <v>3</v>
      </c>
      <c r="D94">
        <v>0</v>
      </c>
      <c r="E94">
        <f>SmtRes!AV123</f>
        <v>0</v>
      </c>
      <c r="F94" t="str">
        <f>SmtRes!I123</f>
        <v>21.1-25-100</v>
      </c>
      <c r="G94" t="str">
        <f>SmtRes!K123</f>
        <v>Клей водно-дисперсионный акриловый, универсальный для укладки поливинилхлоридных и текстильных покрытий</v>
      </c>
      <c r="H94" t="str">
        <f>SmtRes!O123</f>
        <v>кг</v>
      </c>
      <c r="I94">
        <f>SmtRes!Y123*Source!I288</f>
        <v>19.503049999999998</v>
      </c>
      <c r="J94">
        <f>SmtRes!AO123</f>
        <v>1</v>
      </c>
      <c r="K94">
        <f>SmtRes!AE123</f>
        <v>221.14</v>
      </c>
      <c r="L94">
        <f>SmtRes!DB123</f>
        <v>7972.1</v>
      </c>
      <c r="M94">
        <f>ROUND(ROUND(L94*Source!I288, 6)*1, 2)</f>
        <v>4312.91</v>
      </c>
      <c r="N94">
        <f>SmtRes!AA123</f>
        <v>221.14</v>
      </c>
      <c r="O94">
        <f>ROUND(ROUND(L94*Source!I288, 6)*SmtRes!DA123, 2)</f>
        <v>4312.91</v>
      </c>
      <c r="P94">
        <f>SmtRes!AG123</f>
        <v>0</v>
      </c>
      <c r="Q94">
        <f>SmtRes!DC123</f>
        <v>0</v>
      </c>
      <c r="R94">
        <f>ROUND(ROUND(Q94*Source!I288, 6)*1, 2)</f>
        <v>0</v>
      </c>
      <c r="S94">
        <f>SmtRes!AC123</f>
        <v>0</v>
      </c>
      <c r="T94">
        <f>ROUND(ROUND(Q94*Source!I288, 6)*SmtRes!AK123, 2)</f>
        <v>0</v>
      </c>
      <c r="U94">
        <v>3</v>
      </c>
      <c r="Z94">
        <f>SmtRes!X123</f>
        <v>713614851</v>
      </c>
      <c r="AA94">
        <v>-1833135714</v>
      </c>
      <c r="AB94">
        <v>-1833135714</v>
      </c>
    </row>
    <row r="95" spans="1:28" x14ac:dyDescent="0.2">
      <c r="A95">
        <v>20</v>
      </c>
      <c r="B95">
        <v>122</v>
      </c>
      <c r="C95">
        <v>2</v>
      </c>
      <c r="D95">
        <v>0</v>
      </c>
      <c r="E95">
        <f>SmtRes!AV122</f>
        <v>0</v>
      </c>
      <c r="F95" t="str">
        <f>SmtRes!I122</f>
        <v>22.1-30-23</v>
      </c>
      <c r="G95" t="str">
        <f>SmtRes!K122</f>
        <v>Приспособления для снятия фасок</v>
      </c>
      <c r="H95" t="str">
        <f>SmtRes!O122</f>
        <v>маш.-ч</v>
      </c>
      <c r="I95">
        <f>SmtRes!Y122*Source!I288</f>
        <v>0.81150000000000011</v>
      </c>
      <c r="J95">
        <f>SmtRes!AO122</f>
        <v>1</v>
      </c>
      <c r="K95">
        <f>SmtRes!AF122</f>
        <v>3.57</v>
      </c>
      <c r="L95">
        <f>SmtRes!DB122</f>
        <v>5.36</v>
      </c>
      <c r="M95">
        <f>ROUND(ROUND(L95*Source!I288, 6)*1, 2)</f>
        <v>2.9</v>
      </c>
      <c r="N95">
        <f>SmtRes!AB122</f>
        <v>3.57</v>
      </c>
      <c r="O95">
        <f>ROUND(ROUND(L95*Source!I288, 6)*SmtRes!DA122, 2)</f>
        <v>2.9</v>
      </c>
      <c r="P95">
        <f>SmtRes!AG122</f>
        <v>0.01</v>
      </c>
      <c r="Q95">
        <f>SmtRes!DC122</f>
        <v>0.02</v>
      </c>
      <c r="R95">
        <f>ROUND(ROUND(Q95*Source!I288, 6)*1, 2)</f>
        <v>0.01</v>
      </c>
      <c r="S95">
        <f>SmtRes!AC122</f>
        <v>0.01</v>
      </c>
      <c r="T95">
        <f>ROUND(ROUND(Q95*Source!I288, 6)*SmtRes!AK122, 2)</f>
        <v>0.01</v>
      </c>
      <c r="U95">
        <v>2</v>
      </c>
      <c r="Z95">
        <f>SmtRes!X122</f>
        <v>-1279016800</v>
      </c>
      <c r="AA95">
        <v>1804376768</v>
      </c>
      <c r="AB95">
        <v>1804376768</v>
      </c>
    </row>
    <row r="96" spans="1:28" x14ac:dyDescent="0.2">
      <c r="A96">
        <v>20</v>
      </c>
      <c r="B96">
        <v>121</v>
      </c>
      <c r="C96">
        <v>2</v>
      </c>
      <c r="D96">
        <v>0</v>
      </c>
      <c r="E96">
        <f>SmtRes!AV121</f>
        <v>0</v>
      </c>
      <c r="F96" t="str">
        <f>SmtRes!I121</f>
        <v>22.1-17-156</v>
      </c>
      <c r="G96" t="str">
        <f>SmtRes!K121</f>
        <v>Фены строительные, мощность 2 кВт</v>
      </c>
      <c r="H96" t="str">
        <f>SmtRes!O121</f>
        <v>маш.-ч</v>
      </c>
      <c r="I96">
        <f>SmtRes!Y121*Source!I288</f>
        <v>2.5427000000000004</v>
      </c>
      <c r="J96">
        <f>SmtRes!AO121</f>
        <v>1</v>
      </c>
      <c r="K96">
        <f>SmtRes!AF121</f>
        <v>10.02</v>
      </c>
      <c r="L96">
        <f>SmtRes!DB121</f>
        <v>47.09</v>
      </c>
      <c r="M96">
        <f>ROUND(ROUND(L96*Source!I288, 6)*1, 2)</f>
        <v>25.48</v>
      </c>
      <c r="N96">
        <f>SmtRes!AB121</f>
        <v>10.02</v>
      </c>
      <c r="O96">
        <f>ROUND(ROUND(L96*Source!I288, 6)*SmtRes!DA121, 2)</f>
        <v>25.48</v>
      </c>
      <c r="P96">
        <f>SmtRes!AG121</f>
        <v>0</v>
      </c>
      <c r="Q96">
        <f>SmtRes!DC121</f>
        <v>0</v>
      </c>
      <c r="R96">
        <f>ROUND(ROUND(Q96*Source!I288, 6)*1, 2)</f>
        <v>0</v>
      </c>
      <c r="S96">
        <f>SmtRes!AC121</f>
        <v>0</v>
      </c>
      <c r="T96">
        <f>ROUND(ROUND(Q96*Source!I288, 6)*SmtRes!AK121, 2)</f>
        <v>0</v>
      </c>
      <c r="U96">
        <v>2</v>
      </c>
      <c r="Z96">
        <f>SmtRes!X121</f>
        <v>-476797040</v>
      </c>
      <c r="AA96">
        <v>222818004</v>
      </c>
      <c r="AB96">
        <v>222818004</v>
      </c>
    </row>
    <row r="97" spans="1:28" x14ac:dyDescent="0.2">
      <c r="A97">
        <v>20</v>
      </c>
      <c r="B97">
        <v>120</v>
      </c>
      <c r="C97">
        <v>2</v>
      </c>
      <c r="D97">
        <v>0</v>
      </c>
      <c r="E97">
        <f>SmtRes!AV120</f>
        <v>0</v>
      </c>
      <c r="F97" t="str">
        <f>SmtRes!I120</f>
        <v>22.1-14-13</v>
      </c>
      <c r="G97" t="str">
        <f>SmtRes!K120</f>
        <v>Пылесосы, потребляемая мощность 350-1200 Вт</v>
      </c>
      <c r="H97" t="str">
        <f>SmtRes!O120</f>
        <v>маш.-ч</v>
      </c>
      <c r="I97">
        <f>SmtRes!Y120*Source!I288</f>
        <v>3.5922399999999999</v>
      </c>
      <c r="J97">
        <f>SmtRes!AO120</f>
        <v>1</v>
      </c>
      <c r="K97">
        <f>SmtRes!AF120</f>
        <v>56.19</v>
      </c>
      <c r="L97">
        <f>SmtRes!DB120</f>
        <v>373.1</v>
      </c>
      <c r="M97">
        <f>ROUND(ROUND(L97*Source!I288, 6)*1, 2)</f>
        <v>201.85</v>
      </c>
      <c r="N97">
        <f>SmtRes!AB120</f>
        <v>56.19</v>
      </c>
      <c r="O97">
        <f>ROUND(ROUND(L97*Source!I288, 6)*SmtRes!DA120, 2)</f>
        <v>201.85</v>
      </c>
      <c r="P97">
        <f>SmtRes!AG120</f>
        <v>0.31</v>
      </c>
      <c r="Q97">
        <f>SmtRes!DC120</f>
        <v>2.06</v>
      </c>
      <c r="R97">
        <f>ROUND(ROUND(Q97*Source!I288, 6)*1, 2)</f>
        <v>1.1100000000000001</v>
      </c>
      <c r="S97">
        <f>SmtRes!AC120</f>
        <v>0.31</v>
      </c>
      <c r="T97">
        <f>ROUND(ROUND(Q97*Source!I288, 6)*SmtRes!AK120, 2)</f>
        <v>1.1100000000000001</v>
      </c>
      <c r="U97">
        <v>2</v>
      </c>
      <c r="Z97">
        <f>SmtRes!X120</f>
        <v>64700738</v>
      </c>
      <c r="AA97">
        <v>1115396703</v>
      </c>
      <c r="AB97">
        <v>1115396703</v>
      </c>
    </row>
    <row r="98" spans="1:28" x14ac:dyDescent="0.2">
      <c r="A98">
        <f>Source!A320</f>
        <v>5</v>
      </c>
      <c r="B98">
        <v>320</v>
      </c>
      <c r="G98" t="str">
        <f>Source!G320</f>
        <v>Стены</v>
      </c>
    </row>
    <row r="99" spans="1:28" x14ac:dyDescent="0.2">
      <c r="A99">
        <v>20</v>
      </c>
      <c r="B99">
        <v>134</v>
      </c>
      <c r="C99">
        <v>3</v>
      </c>
      <c r="D99">
        <v>0</v>
      </c>
      <c r="E99">
        <f>SmtRes!AV134</f>
        <v>0</v>
      </c>
      <c r="F99" t="str">
        <f>SmtRes!I134</f>
        <v>21.1-6-221</v>
      </c>
      <c r="G99" t="str">
        <f>SmtRes!K134</f>
        <v>Грунтовка водно-дисперсионная акриловая укрепляющая для минеральных поверхностей, типа ВД-АК-0110</v>
      </c>
      <c r="H99" t="str">
        <f>SmtRes!O134</f>
        <v>кг</v>
      </c>
      <c r="I99">
        <f>SmtRes!Y134*Source!I324</f>
        <v>10.891999999999999</v>
      </c>
      <c r="J99">
        <f>SmtRes!AO134</f>
        <v>1</v>
      </c>
      <c r="K99">
        <f>SmtRes!AE134</f>
        <v>80.599999999999994</v>
      </c>
      <c r="L99">
        <f>SmtRes!DB134</f>
        <v>1128.4000000000001</v>
      </c>
      <c r="M99">
        <f>ROUND(ROUND(L99*Source!I324, 6)*1, 2)</f>
        <v>877.9</v>
      </c>
      <c r="N99">
        <f>SmtRes!AA134</f>
        <v>80.599999999999994</v>
      </c>
      <c r="O99">
        <f>ROUND(ROUND(L99*Source!I324, 6)*SmtRes!DA134, 2)</f>
        <v>877.9</v>
      </c>
      <c r="P99">
        <f>SmtRes!AG134</f>
        <v>0</v>
      </c>
      <c r="Q99">
        <f>SmtRes!DC134</f>
        <v>0</v>
      </c>
      <c r="R99">
        <f>ROUND(ROUND(Q99*Source!I324, 6)*1, 2)</f>
        <v>0</v>
      </c>
      <c r="S99">
        <f>SmtRes!AC134</f>
        <v>0</v>
      </c>
      <c r="T99">
        <f>ROUND(ROUND(Q99*Source!I324, 6)*SmtRes!AK134, 2)</f>
        <v>0</v>
      </c>
      <c r="U99">
        <v>3</v>
      </c>
      <c r="Z99">
        <f>SmtRes!X134</f>
        <v>2089374929</v>
      </c>
      <c r="AA99">
        <v>-172959861</v>
      </c>
      <c r="AB99">
        <v>-172959861</v>
      </c>
    </row>
    <row r="100" spans="1:28" x14ac:dyDescent="0.2">
      <c r="A100">
        <v>20</v>
      </c>
      <c r="B100">
        <v>133</v>
      </c>
      <c r="C100">
        <v>3</v>
      </c>
      <c r="D100">
        <v>0</v>
      </c>
      <c r="E100">
        <f>SmtRes!AV133</f>
        <v>0</v>
      </c>
      <c r="F100" t="str">
        <f>SmtRes!I133</f>
        <v>21.1-6-219</v>
      </c>
      <c r="G100" t="str">
        <f>SmtRes!K133</f>
        <v>Краски водно-дисперсионные акриловые износостойкие, интерьерные, моющиеся, типа ВД-АК-210, белые</v>
      </c>
      <c r="H100" t="str">
        <f>SmtRes!O133</f>
        <v>кг</v>
      </c>
      <c r="I100">
        <f>SmtRes!Y133*Source!I324</f>
        <v>19.2944</v>
      </c>
      <c r="J100">
        <f>SmtRes!AO133</f>
        <v>1</v>
      </c>
      <c r="K100">
        <f>SmtRes!AE133</f>
        <v>215.72</v>
      </c>
      <c r="L100">
        <f>SmtRes!DB133</f>
        <v>5349.86</v>
      </c>
      <c r="M100">
        <f>ROUND(ROUND(L100*Source!I324, 6)*1, 2)</f>
        <v>4162.1899999999996</v>
      </c>
      <c r="N100">
        <f>SmtRes!AA133</f>
        <v>215.72</v>
      </c>
      <c r="O100">
        <f>ROUND(ROUND(L100*Source!I324, 6)*SmtRes!DA133, 2)</f>
        <v>4162.1899999999996</v>
      </c>
      <c r="P100">
        <f>SmtRes!AG133</f>
        <v>0</v>
      </c>
      <c r="Q100">
        <f>SmtRes!DC133</f>
        <v>0</v>
      </c>
      <c r="R100">
        <f>ROUND(ROUND(Q100*Source!I324, 6)*1, 2)</f>
        <v>0</v>
      </c>
      <c r="S100">
        <f>SmtRes!AC133</f>
        <v>0</v>
      </c>
      <c r="T100">
        <f>ROUND(ROUND(Q100*Source!I324, 6)*SmtRes!AK133, 2)</f>
        <v>0</v>
      </c>
      <c r="U100">
        <v>3</v>
      </c>
      <c r="Z100">
        <f>SmtRes!X133</f>
        <v>-1799487693</v>
      </c>
      <c r="AA100">
        <v>1845104999</v>
      </c>
      <c r="AB100">
        <v>1845104999</v>
      </c>
    </row>
    <row r="101" spans="1:28" x14ac:dyDescent="0.2">
      <c r="A101">
        <v>20</v>
      </c>
      <c r="B101">
        <v>131</v>
      </c>
      <c r="C101">
        <v>3</v>
      </c>
      <c r="D101">
        <v>0</v>
      </c>
      <c r="E101">
        <f>SmtRes!AV131</f>
        <v>0</v>
      </c>
      <c r="F101" t="str">
        <f>SmtRes!I131</f>
        <v>21.1-25-404</v>
      </c>
      <c r="G101" t="str">
        <f>SmtRes!K131</f>
        <v>Шпатлевка водно-дисперсионная акриловая</v>
      </c>
      <c r="H101" t="str">
        <f>SmtRes!O131</f>
        <v>т</v>
      </c>
      <c r="I101">
        <f>SmtRes!Y131*Source!I324</f>
        <v>4.9792000000000005E-3</v>
      </c>
      <c r="J101">
        <f>SmtRes!AO131</f>
        <v>1</v>
      </c>
      <c r="K101">
        <f>SmtRes!AE131</f>
        <v>76204.789999999994</v>
      </c>
      <c r="L101">
        <f>SmtRes!DB131</f>
        <v>487.71</v>
      </c>
      <c r="M101">
        <f>ROUND(ROUND(L101*Source!I324, 6)*1, 2)</f>
        <v>379.44</v>
      </c>
      <c r="N101">
        <f>SmtRes!AA131</f>
        <v>76204.789999999994</v>
      </c>
      <c r="O101">
        <f>ROUND(ROUND(L101*Source!I324, 6)*SmtRes!DA131, 2)</f>
        <v>379.44</v>
      </c>
      <c r="P101">
        <f>SmtRes!AG131</f>
        <v>0</v>
      </c>
      <c r="Q101">
        <f>SmtRes!DC131</f>
        <v>0</v>
      </c>
      <c r="R101">
        <f>ROUND(ROUND(Q101*Source!I324, 6)*1, 2)</f>
        <v>0</v>
      </c>
      <c r="S101">
        <f>SmtRes!AC131</f>
        <v>0</v>
      </c>
      <c r="T101">
        <f>ROUND(ROUND(Q101*Source!I324, 6)*SmtRes!AK131, 2)</f>
        <v>0</v>
      </c>
      <c r="U101">
        <v>3</v>
      </c>
      <c r="Z101">
        <f>SmtRes!X131</f>
        <v>1133369200</v>
      </c>
      <c r="AA101">
        <v>358603207</v>
      </c>
      <c r="AB101">
        <v>358603207</v>
      </c>
    </row>
    <row r="102" spans="1:28" x14ac:dyDescent="0.2">
      <c r="A102">
        <v>20</v>
      </c>
      <c r="B102">
        <v>130</v>
      </c>
      <c r="C102">
        <v>3</v>
      </c>
      <c r="D102">
        <v>0</v>
      </c>
      <c r="E102">
        <f>SmtRes!AV130</f>
        <v>0</v>
      </c>
      <c r="F102" t="str">
        <f>SmtRes!I130</f>
        <v>21.1-25-388</v>
      </c>
      <c r="G102" t="str">
        <f>SmtRes!K130</f>
        <v>Шкурка шлифовальная на бумажной основе</v>
      </c>
      <c r="H102" t="str">
        <f>SmtRes!O130</f>
        <v>м2</v>
      </c>
      <c r="I102">
        <f>SmtRes!Y130*Source!I324</f>
        <v>0.62240000000000006</v>
      </c>
      <c r="J102">
        <f>SmtRes!AO130</f>
        <v>1</v>
      </c>
      <c r="K102">
        <f>SmtRes!AE130</f>
        <v>338.51</v>
      </c>
      <c r="L102">
        <f>SmtRes!DB130</f>
        <v>270.81</v>
      </c>
      <c r="M102">
        <f>ROUND(ROUND(L102*Source!I324, 6)*1, 2)</f>
        <v>210.69</v>
      </c>
      <c r="N102">
        <f>SmtRes!AA130</f>
        <v>338.51</v>
      </c>
      <c r="O102">
        <f>ROUND(ROUND(L102*Source!I324, 6)*SmtRes!DA130, 2)</f>
        <v>210.69</v>
      </c>
      <c r="P102">
        <f>SmtRes!AG130</f>
        <v>0</v>
      </c>
      <c r="Q102">
        <f>SmtRes!DC130</f>
        <v>0</v>
      </c>
      <c r="R102">
        <f>ROUND(ROUND(Q102*Source!I324, 6)*1, 2)</f>
        <v>0</v>
      </c>
      <c r="S102">
        <f>SmtRes!AC130</f>
        <v>0</v>
      </c>
      <c r="T102">
        <f>ROUND(ROUND(Q102*Source!I324, 6)*SmtRes!AK130, 2)</f>
        <v>0</v>
      </c>
      <c r="U102">
        <v>3</v>
      </c>
      <c r="Z102">
        <f>SmtRes!X130</f>
        <v>-668698448</v>
      </c>
      <c r="AA102">
        <v>1781192509</v>
      </c>
      <c r="AB102">
        <v>1781192509</v>
      </c>
    </row>
    <row r="103" spans="1:28" x14ac:dyDescent="0.2">
      <c r="A103">
        <v>20</v>
      </c>
      <c r="B103">
        <v>129</v>
      </c>
      <c r="C103">
        <v>3</v>
      </c>
      <c r="D103">
        <v>0</v>
      </c>
      <c r="E103">
        <f>SmtRes!AV129</f>
        <v>0</v>
      </c>
      <c r="F103" t="str">
        <f>SmtRes!I129</f>
        <v>21.1-25-13</v>
      </c>
      <c r="G103" t="str">
        <f>SmtRes!K129</f>
        <v>Вода</v>
      </c>
      <c r="H103" t="str">
        <f>SmtRes!O129</f>
        <v>м3</v>
      </c>
      <c r="I103">
        <f>SmtRes!Y129*Source!I324</f>
        <v>0.18672</v>
      </c>
      <c r="J103">
        <f>SmtRes!AO129</f>
        <v>1</v>
      </c>
      <c r="K103">
        <f>SmtRes!AE129</f>
        <v>49.83</v>
      </c>
      <c r="L103">
        <f>SmtRes!DB129</f>
        <v>11.96</v>
      </c>
      <c r="M103">
        <f>ROUND(ROUND(L103*Source!I324, 6)*1, 2)</f>
        <v>9.3000000000000007</v>
      </c>
      <c r="N103">
        <f>SmtRes!AA129</f>
        <v>49.83</v>
      </c>
      <c r="O103">
        <f>ROUND(ROUND(L103*Source!I324, 6)*SmtRes!DA129, 2)</f>
        <v>9.3000000000000007</v>
      </c>
      <c r="P103">
        <f>SmtRes!AG129</f>
        <v>0</v>
      </c>
      <c r="Q103">
        <f>SmtRes!DC129</f>
        <v>0</v>
      </c>
      <c r="R103">
        <f>ROUND(ROUND(Q103*Source!I324, 6)*1, 2)</f>
        <v>0</v>
      </c>
      <c r="S103">
        <f>SmtRes!AC129</f>
        <v>0</v>
      </c>
      <c r="T103">
        <f>ROUND(ROUND(Q103*Source!I324, 6)*SmtRes!AK129, 2)</f>
        <v>0</v>
      </c>
      <c r="U103">
        <v>3</v>
      </c>
      <c r="Z103">
        <f>SmtRes!X129</f>
        <v>973433911</v>
      </c>
      <c r="AA103">
        <v>1405492101</v>
      </c>
      <c r="AB103">
        <v>1405492101</v>
      </c>
    </row>
    <row r="104" spans="1:28" x14ac:dyDescent="0.2">
      <c r="A104">
        <v>20</v>
      </c>
      <c r="B104">
        <v>128</v>
      </c>
      <c r="C104">
        <v>3</v>
      </c>
      <c r="D104">
        <v>0</v>
      </c>
      <c r="E104">
        <f>SmtRes!AV128</f>
        <v>0</v>
      </c>
      <c r="F104" t="str">
        <f>SmtRes!I128</f>
        <v>21.1-20-7</v>
      </c>
      <c r="G104" t="str">
        <f>SmtRes!K128</f>
        <v>Ветошь</v>
      </c>
      <c r="H104" t="str">
        <f>SmtRes!O128</f>
        <v>кг</v>
      </c>
      <c r="I104">
        <f>SmtRes!Y128*Source!I324</f>
        <v>0.28008</v>
      </c>
      <c r="J104">
        <f>SmtRes!AO128</f>
        <v>1</v>
      </c>
      <c r="K104">
        <f>SmtRes!AE128</f>
        <v>26.09</v>
      </c>
      <c r="L104">
        <f>SmtRes!DB128</f>
        <v>9.39</v>
      </c>
      <c r="M104">
        <f>ROUND(ROUND(L104*Source!I324, 6)*1, 2)</f>
        <v>7.31</v>
      </c>
      <c r="N104">
        <f>SmtRes!AA128</f>
        <v>26.09</v>
      </c>
      <c r="O104">
        <f>ROUND(ROUND(L104*Source!I324, 6)*SmtRes!DA128, 2)</f>
        <v>7.31</v>
      </c>
      <c r="P104">
        <f>SmtRes!AG128</f>
        <v>0</v>
      </c>
      <c r="Q104">
        <f>SmtRes!DC128</f>
        <v>0</v>
      </c>
      <c r="R104">
        <f>ROUND(ROUND(Q104*Source!I324, 6)*1, 2)</f>
        <v>0</v>
      </c>
      <c r="S104">
        <f>SmtRes!AC128</f>
        <v>0</v>
      </c>
      <c r="T104">
        <f>ROUND(ROUND(Q104*Source!I324, 6)*SmtRes!AK128, 2)</f>
        <v>0</v>
      </c>
      <c r="U104">
        <v>3</v>
      </c>
      <c r="Z104">
        <f>SmtRes!X128</f>
        <v>1118017035</v>
      </c>
      <c r="AA104">
        <v>777677002</v>
      </c>
      <c r="AB104">
        <v>777677002</v>
      </c>
    </row>
    <row r="105" spans="1:28" x14ac:dyDescent="0.2">
      <c r="A105">
        <f>Source!A325</f>
        <v>18</v>
      </c>
      <c r="B105">
        <v>325</v>
      </c>
      <c r="C105">
        <v>3</v>
      </c>
      <c r="D105">
        <f>Source!BI325</f>
        <v>4</v>
      </c>
      <c r="E105">
        <f>Source!FS325</f>
        <v>0</v>
      </c>
      <c r="F105" t="str">
        <f>Source!F325</f>
        <v>21.1-6-103</v>
      </c>
      <c r="G105" t="str">
        <f>Source!G325</f>
        <v>Пигменты сухие для красок, охра золотистая (цвет по согласованию)</v>
      </c>
      <c r="H105" t="str">
        <f>Source!H325</f>
        <v>т</v>
      </c>
      <c r="I105">
        <f>Source!I325</f>
        <v>1.323E-3</v>
      </c>
      <c r="J105">
        <v>1</v>
      </c>
      <c r="K105">
        <f>Source!AC325</f>
        <v>198992.34</v>
      </c>
      <c r="M105">
        <f>ROUND(K105*I105, 2)</f>
        <v>263.27</v>
      </c>
      <c r="N105">
        <f>Source!AC325*IF(Source!BC325&lt;&gt; 0, Source!BC325, 1)</f>
        <v>198992.34</v>
      </c>
      <c r="O105">
        <f>ROUND(N105*I105, 2)</f>
        <v>263.27</v>
      </c>
      <c r="P105">
        <f>Source!AE325</f>
        <v>0</v>
      </c>
      <c r="R105">
        <f>ROUND(P105*I105, 2)</f>
        <v>0</v>
      </c>
      <c r="S105">
        <f>Source!AE325*IF(Source!BS325&lt;&gt; 0, Source!BS325, 1)</f>
        <v>0</v>
      </c>
      <c r="T105">
        <f>ROUND(S105*I105, 2)</f>
        <v>0</v>
      </c>
      <c r="U105">
        <v>3</v>
      </c>
      <c r="Z105">
        <f>Source!GF325</f>
        <v>812432982</v>
      </c>
      <c r="AA105">
        <v>1057484904</v>
      </c>
      <c r="AB105">
        <v>1057484904</v>
      </c>
    </row>
    <row r="106" spans="1:28" x14ac:dyDescent="0.2">
      <c r="A106">
        <f>Source!A357</f>
        <v>5</v>
      </c>
      <c r="B106">
        <v>357</v>
      </c>
      <c r="G106" t="str">
        <f>Source!G357</f>
        <v>Потолок</v>
      </c>
    </row>
    <row r="107" spans="1:28" x14ac:dyDescent="0.2">
      <c r="A107">
        <v>20</v>
      </c>
      <c r="B107">
        <v>141</v>
      </c>
      <c r="C107">
        <v>3</v>
      </c>
      <c r="D107">
        <v>0</v>
      </c>
      <c r="E107">
        <f>SmtRes!AV141</f>
        <v>0</v>
      </c>
      <c r="F107" t="str">
        <f>SmtRes!I141</f>
        <v>21.1-6-221</v>
      </c>
      <c r="G107" t="str">
        <f>SmtRes!K141</f>
        <v>Грунтовка водно-дисперсионная акриловая укрепляющая для минеральных поверхностей, типа ВД-АК-0110</v>
      </c>
      <c r="H107" t="str">
        <f>SmtRes!O141</f>
        <v>кг</v>
      </c>
      <c r="I107">
        <f>SmtRes!Y141*Source!I361</f>
        <v>7.6580000000000004</v>
      </c>
      <c r="J107">
        <f>SmtRes!AO141</f>
        <v>1</v>
      </c>
      <c r="K107">
        <f>SmtRes!AE141</f>
        <v>80.599999999999994</v>
      </c>
      <c r="L107">
        <f>SmtRes!DB141</f>
        <v>1128.4000000000001</v>
      </c>
      <c r="M107">
        <f>ROUND(ROUND(L107*Source!I361, 6)*1, 2)</f>
        <v>617.23</v>
      </c>
      <c r="N107">
        <f>SmtRes!AA141</f>
        <v>80.599999999999994</v>
      </c>
      <c r="O107">
        <f>ROUND(ROUND(L107*Source!I361, 6)*SmtRes!DA141, 2)</f>
        <v>617.23</v>
      </c>
      <c r="P107">
        <f>SmtRes!AG141</f>
        <v>0</v>
      </c>
      <c r="Q107">
        <f>SmtRes!DC141</f>
        <v>0</v>
      </c>
      <c r="R107">
        <f>ROUND(ROUND(Q107*Source!I361, 6)*1, 2)</f>
        <v>0</v>
      </c>
      <c r="S107">
        <f>SmtRes!AC141</f>
        <v>0</v>
      </c>
      <c r="T107">
        <f>ROUND(ROUND(Q107*Source!I361, 6)*SmtRes!AK141, 2)</f>
        <v>0</v>
      </c>
      <c r="U107">
        <v>3</v>
      </c>
      <c r="Z107">
        <f>SmtRes!X141</f>
        <v>2089374929</v>
      </c>
      <c r="AA107">
        <v>-172959861</v>
      </c>
      <c r="AB107">
        <v>-172959861</v>
      </c>
    </row>
    <row r="108" spans="1:28" x14ac:dyDescent="0.2">
      <c r="A108">
        <v>20</v>
      </c>
      <c r="B108">
        <v>140</v>
      </c>
      <c r="C108">
        <v>3</v>
      </c>
      <c r="D108">
        <v>0</v>
      </c>
      <c r="E108">
        <f>SmtRes!AV140</f>
        <v>0</v>
      </c>
      <c r="F108" t="str">
        <f>SmtRes!I140</f>
        <v>21.1-6-218</v>
      </c>
      <c r="G108" t="str">
        <f>SmtRes!K140</f>
        <v>Краски водно-дисперсионные акриловые износостойкие, интерьерные и фасадные, влагостойкие, типа ВД-АК-120, белые</v>
      </c>
      <c r="H108" t="str">
        <f>SmtRes!O140</f>
        <v>кг</v>
      </c>
      <c r="I108">
        <f>SmtRes!Y140*Source!I361</f>
        <v>13.565600000000002</v>
      </c>
      <c r="J108">
        <f>SmtRes!AO140</f>
        <v>1</v>
      </c>
      <c r="K108">
        <f>SmtRes!AE140</f>
        <v>157.52000000000001</v>
      </c>
      <c r="L108">
        <f>SmtRes!DB140</f>
        <v>3906.5</v>
      </c>
      <c r="M108">
        <f>ROUND(ROUND(L108*Source!I361, 6)*1, 2)</f>
        <v>2136.86</v>
      </c>
      <c r="N108">
        <f>SmtRes!AA140</f>
        <v>157.52000000000001</v>
      </c>
      <c r="O108">
        <f>ROUND(ROUND(L108*Source!I361, 6)*SmtRes!DA140, 2)</f>
        <v>2136.86</v>
      </c>
      <c r="P108">
        <f>SmtRes!AG140</f>
        <v>0</v>
      </c>
      <c r="Q108">
        <f>SmtRes!DC140</f>
        <v>0</v>
      </c>
      <c r="R108">
        <f>ROUND(ROUND(Q108*Source!I361, 6)*1, 2)</f>
        <v>0</v>
      </c>
      <c r="S108">
        <f>SmtRes!AC140</f>
        <v>0</v>
      </c>
      <c r="T108">
        <f>ROUND(ROUND(Q108*Source!I361, 6)*SmtRes!AK140, 2)</f>
        <v>0</v>
      </c>
      <c r="U108">
        <v>3</v>
      </c>
      <c r="Z108">
        <f>SmtRes!X140</f>
        <v>-959966110</v>
      </c>
      <c r="AA108">
        <v>265603619</v>
      </c>
      <c r="AB108">
        <v>265603619</v>
      </c>
    </row>
    <row r="109" spans="1:28" x14ac:dyDescent="0.2">
      <c r="A109">
        <v>20</v>
      </c>
      <c r="B109">
        <v>139</v>
      </c>
      <c r="C109">
        <v>3</v>
      </c>
      <c r="D109">
        <v>0</v>
      </c>
      <c r="E109">
        <f>SmtRes!AV139</f>
        <v>0</v>
      </c>
      <c r="F109" t="str">
        <f>SmtRes!I139</f>
        <v>21.1-25-404</v>
      </c>
      <c r="G109" t="str">
        <f>SmtRes!K139</f>
        <v>Шпатлевка водно-дисперсионная акриловая</v>
      </c>
      <c r="H109" t="str">
        <f>SmtRes!O139</f>
        <v>т</v>
      </c>
      <c r="I109">
        <f>SmtRes!Y139*Source!I361</f>
        <v>3.7196E-3</v>
      </c>
      <c r="J109">
        <f>SmtRes!AO139</f>
        <v>1</v>
      </c>
      <c r="K109">
        <f>SmtRes!AE139</f>
        <v>76204.789999999994</v>
      </c>
      <c r="L109">
        <f>SmtRes!DB139</f>
        <v>518.19000000000005</v>
      </c>
      <c r="M109">
        <f>ROUND(ROUND(L109*Source!I361, 6)*1, 2)</f>
        <v>283.45</v>
      </c>
      <c r="N109">
        <f>SmtRes!AA139</f>
        <v>76204.789999999994</v>
      </c>
      <c r="O109">
        <f>ROUND(ROUND(L109*Source!I361, 6)*SmtRes!DA139, 2)</f>
        <v>283.45</v>
      </c>
      <c r="P109">
        <f>SmtRes!AG139</f>
        <v>0</v>
      </c>
      <c r="Q109">
        <f>SmtRes!DC139</f>
        <v>0</v>
      </c>
      <c r="R109">
        <f>ROUND(ROUND(Q109*Source!I361, 6)*1, 2)</f>
        <v>0</v>
      </c>
      <c r="S109">
        <f>SmtRes!AC139</f>
        <v>0</v>
      </c>
      <c r="T109">
        <f>ROUND(ROUND(Q109*Source!I361, 6)*SmtRes!AK139, 2)</f>
        <v>0</v>
      </c>
      <c r="U109">
        <v>3</v>
      </c>
      <c r="Z109">
        <f>SmtRes!X139</f>
        <v>1133369200</v>
      </c>
      <c r="AA109">
        <v>358603207</v>
      </c>
      <c r="AB109">
        <v>358603207</v>
      </c>
    </row>
    <row r="110" spans="1:28" x14ac:dyDescent="0.2">
      <c r="A110">
        <v>20</v>
      </c>
      <c r="B110">
        <v>138</v>
      </c>
      <c r="C110">
        <v>3</v>
      </c>
      <c r="D110">
        <v>0</v>
      </c>
      <c r="E110">
        <f>SmtRes!AV138</f>
        <v>0</v>
      </c>
      <c r="F110" t="str">
        <f>SmtRes!I138</f>
        <v>21.1-25-388</v>
      </c>
      <c r="G110" t="str">
        <f>SmtRes!K138</f>
        <v>Шкурка шлифовальная на бумажной основе</v>
      </c>
      <c r="H110" t="str">
        <f>SmtRes!O138</f>
        <v>м2</v>
      </c>
      <c r="I110">
        <f>SmtRes!Y138*Source!I361</f>
        <v>0.87520000000000009</v>
      </c>
      <c r="J110">
        <f>SmtRes!AO138</f>
        <v>1</v>
      </c>
      <c r="K110">
        <f>SmtRes!AE138</f>
        <v>338.51</v>
      </c>
      <c r="L110">
        <f>SmtRes!DB138</f>
        <v>541.62</v>
      </c>
      <c r="M110">
        <f>ROUND(ROUND(L110*Source!I361, 6)*1, 2)</f>
        <v>296.27</v>
      </c>
      <c r="N110">
        <f>SmtRes!AA138</f>
        <v>338.51</v>
      </c>
      <c r="O110">
        <f>ROUND(ROUND(L110*Source!I361, 6)*SmtRes!DA138, 2)</f>
        <v>296.27</v>
      </c>
      <c r="P110">
        <f>SmtRes!AG138</f>
        <v>0</v>
      </c>
      <c r="Q110">
        <f>SmtRes!DC138</f>
        <v>0</v>
      </c>
      <c r="R110">
        <f>ROUND(ROUND(Q110*Source!I361, 6)*1, 2)</f>
        <v>0</v>
      </c>
      <c r="S110">
        <f>SmtRes!AC138</f>
        <v>0</v>
      </c>
      <c r="T110">
        <f>ROUND(ROUND(Q110*Source!I361, 6)*SmtRes!AK138, 2)</f>
        <v>0</v>
      </c>
      <c r="U110">
        <v>3</v>
      </c>
      <c r="Z110">
        <f>SmtRes!X138</f>
        <v>-668698448</v>
      </c>
      <c r="AA110">
        <v>1781192509</v>
      </c>
      <c r="AB110">
        <v>1781192509</v>
      </c>
    </row>
    <row r="111" spans="1:28" x14ac:dyDescent="0.2">
      <c r="A111">
        <v>20</v>
      </c>
      <c r="B111">
        <v>137</v>
      </c>
      <c r="C111">
        <v>3</v>
      </c>
      <c r="D111">
        <v>0</v>
      </c>
      <c r="E111">
        <f>SmtRes!AV137</f>
        <v>0</v>
      </c>
      <c r="F111" t="str">
        <f>SmtRes!I137</f>
        <v>21.1-25-13</v>
      </c>
      <c r="G111" t="str">
        <f>SmtRes!K137</f>
        <v>Вода</v>
      </c>
      <c r="H111" t="str">
        <f>SmtRes!O137</f>
        <v>м3</v>
      </c>
      <c r="I111">
        <f>SmtRes!Y137*Source!I361</f>
        <v>0.13128000000000001</v>
      </c>
      <c r="J111">
        <f>SmtRes!AO137</f>
        <v>1</v>
      </c>
      <c r="K111">
        <f>SmtRes!AE137</f>
        <v>49.83</v>
      </c>
      <c r="L111">
        <f>SmtRes!DB137</f>
        <v>11.96</v>
      </c>
      <c r="M111">
        <f>ROUND(ROUND(L111*Source!I361, 6)*1, 2)</f>
        <v>6.54</v>
      </c>
      <c r="N111">
        <f>SmtRes!AA137</f>
        <v>49.83</v>
      </c>
      <c r="O111">
        <f>ROUND(ROUND(L111*Source!I361, 6)*SmtRes!DA137, 2)</f>
        <v>6.54</v>
      </c>
      <c r="P111">
        <f>SmtRes!AG137</f>
        <v>0</v>
      </c>
      <c r="Q111">
        <f>SmtRes!DC137</f>
        <v>0</v>
      </c>
      <c r="R111">
        <f>ROUND(ROUND(Q111*Source!I361, 6)*1, 2)</f>
        <v>0</v>
      </c>
      <c r="S111">
        <f>SmtRes!AC137</f>
        <v>0</v>
      </c>
      <c r="T111">
        <f>ROUND(ROUND(Q111*Source!I361, 6)*SmtRes!AK137, 2)</f>
        <v>0</v>
      </c>
      <c r="U111">
        <v>3</v>
      </c>
      <c r="Z111">
        <f>SmtRes!X137</f>
        <v>973433911</v>
      </c>
      <c r="AA111">
        <v>1405492101</v>
      </c>
      <c r="AB111">
        <v>1405492101</v>
      </c>
    </row>
    <row r="112" spans="1:28" x14ac:dyDescent="0.2">
      <c r="A112">
        <v>20</v>
      </c>
      <c r="B112">
        <v>136</v>
      </c>
      <c r="C112">
        <v>3</v>
      </c>
      <c r="D112">
        <v>0</v>
      </c>
      <c r="E112">
        <f>SmtRes!AV136</f>
        <v>0</v>
      </c>
      <c r="F112" t="str">
        <f>SmtRes!I136</f>
        <v>21.1-20-7</v>
      </c>
      <c r="G112" t="str">
        <f>SmtRes!K136</f>
        <v>Ветошь</v>
      </c>
      <c r="H112" t="str">
        <f>SmtRes!O136</f>
        <v>кг</v>
      </c>
      <c r="I112">
        <f>SmtRes!Y136*Source!I361</f>
        <v>0.19692000000000001</v>
      </c>
      <c r="J112">
        <f>SmtRes!AO136</f>
        <v>1</v>
      </c>
      <c r="K112">
        <f>SmtRes!AE136</f>
        <v>26.09</v>
      </c>
      <c r="L112">
        <f>SmtRes!DB136</f>
        <v>9.39</v>
      </c>
      <c r="M112">
        <f>ROUND(ROUND(L112*Source!I361, 6)*1, 2)</f>
        <v>5.14</v>
      </c>
      <c r="N112">
        <f>SmtRes!AA136</f>
        <v>26.09</v>
      </c>
      <c r="O112">
        <f>ROUND(ROUND(L112*Source!I361, 6)*SmtRes!DA136, 2)</f>
        <v>5.14</v>
      </c>
      <c r="P112">
        <f>SmtRes!AG136</f>
        <v>0</v>
      </c>
      <c r="Q112">
        <f>SmtRes!DC136</f>
        <v>0</v>
      </c>
      <c r="R112">
        <f>ROUND(ROUND(Q112*Source!I361, 6)*1, 2)</f>
        <v>0</v>
      </c>
      <c r="S112">
        <f>SmtRes!AC136</f>
        <v>0</v>
      </c>
      <c r="T112">
        <f>ROUND(ROUND(Q112*Source!I361, 6)*SmtRes!AK136, 2)</f>
        <v>0</v>
      </c>
      <c r="U112">
        <v>3</v>
      </c>
      <c r="Z112">
        <f>SmtRes!X136</f>
        <v>1118017035</v>
      </c>
      <c r="AA112">
        <v>777677002</v>
      </c>
      <c r="AB112">
        <v>777677002</v>
      </c>
    </row>
    <row r="113" spans="1:28" x14ac:dyDescent="0.2">
      <c r="A113">
        <f>Source!A393</f>
        <v>5</v>
      </c>
      <c r="B113">
        <v>393</v>
      </c>
      <c r="G113" t="str">
        <f>Source!G393</f>
        <v>Окна</v>
      </c>
    </row>
    <row r="114" spans="1:28" x14ac:dyDescent="0.2">
      <c r="A114">
        <v>20</v>
      </c>
      <c r="B114">
        <v>151</v>
      </c>
      <c r="C114">
        <v>3</v>
      </c>
      <c r="D114">
        <v>0</v>
      </c>
      <c r="E114">
        <f>SmtRes!AV151</f>
        <v>0</v>
      </c>
      <c r="F114" t="str">
        <f>SmtRes!I151</f>
        <v>21.1-25-85</v>
      </c>
      <c r="G114" t="str">
        <f>SmtRes!K151</f>
        <v>Клей акриловый универсальный, водостойкий</v>
      </c>
      <c r="H114" t="str">
        <f>SmtRes!O151</f>
        <v>л</v>
      </c>
      <c r="I114">
        <f>SmtRes!Y151*Source!I399</f>
        <v>7.0109999999999992E-2</v>
      </c>
      <c r="J114">
        <f>SmtRes!AO151</f>
        <v>1</v>
      </c>
      <c r="K114">
        <f>SmtRes!AE151</f>
        <v>594.64</v>
      </c>
      <c r="L114">
        <f>SmtRes!DB151</f>
        <v>338.94</v>
      </c>
      <c r="M114">
        <f>ROUND(ROUND(L114*Source!I399, 6)*1, 2)</f>
        <v>41.69</v>
      </c>
      <c r="N114">
        <f>SmtRes!AA151</f>
        <v>594.64</v>
      </c>
      <c r="O114">
        <f>ROUND(ROUND(L114*Source!I399, 6)*SmtRes!DA151, 2)</f>
        <v>41.69</v>
      </c>
      <c r="P114">
        <f>SmtRes!AG151</f>
        <v>0</v>
      </c>
      <c r="Q114">
        <f>SmtRes!DC151</f>
        <v>0</v>
      </c>
      <c r="R114">
        <f>ROUND(ROUND(Q114*Source!I399, 6)*1, 2)</f>
        <v>0</v>
      </c>
      <c r="S114">
        <f>SmtRes!AC151</f>
        <v>0</v>
      </c>
      <c r="T114">
        <f>ROUND(ROUND(Q114*Source!I399, 6)*SmtRes!AK151, 2)</f>
        <v>0</v>
      </c>
      <c r="U114">
        <v>3</v>
      </c>
      <c r="Z114">
        <f>SmtRes!X151</f>
        <v>2116147259</v>
      </c>
      <c r="AA114">
        <v>809103601</v>
      </c>
      <c r="AB114">
        <v>809103601</v>
      </c>
    </row>
    <row r="115" spans="1:28" x14ac:dyDescent="0.2">
      <c r="A115">
        <v>20</v>
      </c>
      <c r="B115">
        <v>150</v>
      </c>
      <c r="C115">
        <v>3</v>
      </c>
      <c r="D115">
        <v>0</v>
      </c>
      <c r="E115">
        <f>SmtRes!AV150</f>
        <v>0</v>
      </c>
      <c r="F115" t="str">
        <f>SmtRes!I150</f>
        <v>21.1-25-152</v>
      </c>
      <c r="G115" t="str">
        <f>SmtRes!K150</f>
        <v>Лента-скотч малярный, ширина 50 мм</v>
      </c>
      <c r="H115" t="str">
        <f>SmtRes!O150</f>
        <v>м</v>
      </c>
      <c r="I115">
        <f>SmtRes!Y150*Source!I399</f>
        <v>1.599</v>
      </c>
      <c r="J115">
        <f>SmtRes!AO150</f>
        <v>1</v>
      </c>
      <c r="K115">
        <f>SmtRes!AE150</f>
        <v>2.2400000000000002</v>
      </c>
      <c r="L115">
        <f>SmtRes!DB150</f>
        <v>29.12</v>
      </c>
      <c r="M115">
        <f>ROUND(ROUND(L115*Source!I399, 6)*1, 2)</f>
        <v>3.58</v>
      </c>
      <c r="N115">
        <f>SmtRes!AA150</f>
        <v>2.2400000000000002</v>
      </c>
      <c r="O115">
        <f>ROUND(ROUND(L115*Source!I399, 6)*SmtRes!DA150, 2)</f>
        <v>3.58</v>
      </c>
      <c r="P115">
        <f>SmtRes!AG150</f>
        <v>0</v>
      </c>
      <c r="Q115">
        <f>SmtRes!DC150</f>
        <v>0</v>
      </c>
      <c r="R115">
        <f>ROUND(ROUND(Q115*Source!I399, 6)*1, 2)</f>
        <v>0</v>
      </c>
      <c r="S115">
        <f>SmtRes!AC150</f>
        <v>0</v>
      </c>
      <c r="T115">
        <f>ROUND(ROUND(Q115*Source!I399, 6)*SmtRes!AK150, 2)</f>
        <v>0</v>
      </c>
      <c r="U115">
        <v>3</v>
      </c>
      <c r="Z115">
        <f>SmtRes!X150</f>
        <v>1792308677</v>
      </c>
      <c r="AA115">
        <v>-2134427384</v>
      </c>
      <c r="AB115">
        <v>-2134427384</v>
      </c>
    </row>
    <row r="116" spans="1:28" x14ac:dyDescent="0.2">
      <c r="A116">
        <f>Source!A400</f>
        <v>18</v>
      </c>
      <c r="B116">
        <v>400</v>
      </c>
      <c r="C116">
        <v>3</v>
      </c>
      <c r="D116">
        <f>Source!BI400</f>
        <v>4</v>
      </c>
      <c r="E116">
        <f>Source!FS400</f>
        <v>0</v>
      </c>
      <c r="F116" t="str">
        <f>Source!F400</f>
        <v>21.1-25-1068</v>
      </c>
      <c r="G116" t="str">
        <f>Source!G400</f>
        <v>Уголки поливинилхлоридные декоративные для внутренней облицовки, внешние, размеры 40х40 мм, белые</v>
      </c>
      <c r="H116" t="str">
        <f>Source!H400</f>
        <v>м</v>
      </c>
      <c r="I116">
        <f>Source!I400</f>
        <v>12.423</v>
      </c>
      <c r="J116">
        <v>1</v>
      </c>
      <c r="K116">
        <f>Source!AC400</f>
        <v>28.54</v>
      </c>
      <c r="M116">
        <f>ROUND(K116*I116, 2)</f>
        <v>354.55</v>
      </c>
      <c r="N116">
        <f>Source!AC400*IF(Source!BC400&lt;&gt; 0, Source!BC400, 1)</f>
        <v>28.54</v>
      </c>
      <c r="O116">
        <f>ROUND(N116*I116, 2)</f>
        <v>354.55</v>
      </c>
      <c r="P116">
        <f>Source!AE400</f>
        <v>0</v>
      </c>
      <c r="R116">
        <f>ROUND(P116*I116, 2)</f>
        <v>0</v>
      </c>
      <c r="S116">
        <f>Source!AE400*IF(Source!BS400&lt;&gt; 0, Source!BS400, 1)</f>
        <v>0</v>
      </c>
      <c r="T116">
        <f>ROUND(S116*I116, 2)</f>
        <v>0</v>
      </c>
      <c r="U116">
        <v>3</v>
      </c>
      <c r="Z116">
        <f>Source!GF400</f>
        <v>170470939</v>
      </c>
      <c r="AA116">
        <v>53392314</v>
      </c>
      <c r="AB116">
        <v>53392314</v>
      </c>
    </row>
    <row r="117" spans="1:28" x14ac:dyDescent="0.2">
      <c r="A117">
        <v>20</v>
      </c>
      <c r="B117">
        <v>155</v>
      </c>
      <c r="C117">
        <v>3</v>
      </c>
      <c r="D117">
        <v>0</v>
      </c>
      <c r="E117">
        <f>SmtRes!AV155</f>
        <v>0</v>
      </c>
      <c r="F117" t="str">
        <f>SmtRes!I155</f>
        <v>21.1-25-85</v>
      </c>
      <c r="G117" t="str">
        <f>SmtRes!K155</f>
        <v>Клей акриловый универсальный, водостойкий</v>
      </c>
      <c r="H117" t="str">
        <f>SmtRes!O155</f>
        <v>л</v>
      </c>
      <c r="I117">
        <f>SmtRes!Y155*Source!I401</f>
        <v>4.1039999999999993E-2</v>
      </c>
      <c r="J117">
        <f>SmtRes!AO155</f>
        <v>1</v>
      </c>
      <c r="K117">
        <f>SmtRes!AE155</f>
        <v>594.64</v>
      </c>
      <c r="L117">
        <f>SmtRes!DB155</f>
        <v>338.94</v>
      </c>
      <c r="M117">
        <f>ROUND(ROUND(L117*Source!I401, 6)*1, 2)</f>
        <v>24.4</v>
      </c>
      <c r="N117">
        <f>SmtRes!AA155</f>
        <v>594.64</v>
      </c>
      <c r="O117">
        <f>ROUND(ROUND(L117*Source!I401, 6)*SmtRes!DA155, 2)</f>
        <v>24.4</v>
      </c>
      <c r="P117">
        <f>SmtRes!AG155</f>
        <v>0</v>
      </c>
      <c r="Q117">
        <f>SmtRes!DC155</f>
        <v>0</v>
      </c>
      <c r="R117">
        <f>ROUND(ROUND(Q117*Source!I401, 6)*1, 2)</f>
        <v>0</v>
      </c>
      <c r="S117">
        <f>SmtRes!AC155</f>
        <v>0</v>
      </c>
      <c r="T117">
        <f>ROUND(ROUND(Q117*Source!I401, 6)*SmtRes!AK155, 2)</f>
        <v>0</v>
      </c>
      <c r="U117">
        <v>3</v>
      </c>
      <c r="Z117">
        <f>SmtRes!X155</f>
        <v>2116147259</v>
      </c>
      <c r="AA117">
        <v>809103601</v>
      </c>
      <c r="AB117">
        <v>809103601</v>
      </c>
    </row>
    <row r="118" spans="1:28" x14ac:dyDescent="0.2">
      <c r="A118">
        <v>20</v>
      </c>
      <c r="B118">
        <v>154</v>
      </c>
      <c r="C118">
        <v>3</v>
      </c>
      <c r="D118">
        <v>0</v>
      </c>
      <c r="E118">
        <f>SmtRes!AV154</f>
        <v>0</v>
      </c>
      <c r="F118" t="str">
        <f>SmtRes!I154</f>
        <v>21.1-25-152</v>
      </c>
      <c r="G118" t="str">
        <f>SmtRes!K154</f>
        <v>Лента-скотч малярный, ширина 50 мм</v>
      </c>
      <c r="H118" t="str">
        <f>SmtRes!O154</f>
        <v>м</v>
      </c>
      <c r="I118">
        <f>SmtRes!Y154*Source!I401</f>
        <v>0.93599999999999994</v>
      </c>
      <c r="J118">
        <f>SmtRes!AO154</f>
        <v>1</v>
      </c>
      <c r="K118">
        <f>SmtRes!AE154</f>
        <v>2.2400000000000002</v>
      </c>
      <c r="L118">
        <f>SmtRes!DB154</f>
        <v>29.12</v>
      </c>
      <c r="M118">
        <f>ROUND(ROUND(L118*Source!I401, 6)*1, 2)</f>
        <v>2.1</v>
      </c>
      <c r="N118">
        <f>SmtRes!AA154</f>
        <v>2.2400000000000002</v>
      </c>
      <c r="O118">
        <f>ROUND(ROUND(L118*Source!I401, 6)*SmtRes!DA154, 2)</f>
        <v>2.1</v>
      </c>
      <c r="P118">
        <f>SmtRes!AG154</f>
        <v>0</v>
      </c>
      <c r="Q118">
        <f>SmtRes!DC154</f>
        <v>0</v>
      </c>
      <c r="R118">
        <f>ROUND(ROUND(Q118*Source!I401, 6)*1, 2)</f>
        <v>0</v>
      </c>
      <c r="S118">
        <f>SmtRes!AC154</f>
        <v>0</v>
      </c>
      <c r="T118">
        <f>ROUND(ROUND(Q118*Source!I401, 6)*SmtRes!AK154, 2)</f>
        <v>0</v>
      </c>
      <c r="U118">
        <v>3</v>
      </c>
      <c r="Z118">
        <f>SmtRes!X154</f>
        <v>1792308677</v>
      </c>
      <c r="AA118">
        <v>-2134427384</v>
      </c>
      <c r="AB118">
        <v>-2134427384</v>
      </c>
    </row>
    <row r="119" spans="1:28" x14ac:dyDescent="0.2">
      <c r="A119">
        <f>Source!A402</f>
        <v>18</v>
      </c>
      <c r="B119">
        <v>402</v>
      </c>
      <c r="C119">
        <v>3</v>
      </c>
      <c r="D119">
        <f>Source!BI402</f>
        <v>4</v>
      </c>
      <c r="E119">
        <f>Source!FS402</f>
        <v>0</v>
      </c>
      <c r="F119" t="str">
        <f>Source!F402</f>
        <v>21.1-25-1068</v>
      </c>
      <c r="G119" t="str">
        <f>Source!G402</f>
        <v>Уголки поливинилхлоридные декоративные для внутренней облицовки, внешние, размеры 40х40 мм, белые</v>
      </c>
      <c r="H119" t="str">
        <f>Source!H402</f>
        <v>м</v>
      </c>
      <c r="I119">
        <f>Source!I402</f>
        <v>7.2720000000000002</v>
      </c>
      <c r="J119">
        <v>1</v>
      </c>
      <c r="K119">
        <f>Source!AC402</f>
        <v>28.54</v>
      </c>
      <c r="M119">
        <f>ROUND(K119*I119, 2)</f>
        <v>207.54</v>
      </c>
      <c r="N119">
        <f>Source!AC402*IF(Source!BC402&lt;&gt; 0, Source!BC402, 1)</f>
        <v>28.54</v>
      </c>
      <c r="O119">
        <f>ROUND(N119*I119, 2)</f>
        <v>207.54</v>
      </c>
      <c r="P119">
        <f>Source!AE402</f>
        <v>0</v>
      </c>
      <c r="R119">
        <f>ROUND(P119*I119, 2)</f>
        <v>0</v>
      </c>
      <c r="S119">
        <f>Source!AE402*IF(Source!BS402&lt;&gt; 0, Source!BS402, 1)</f>
        <v>0</v>
      </c>
      <c r="T119">
        <f>ROUND(S119*I119, 2)</f>
        <v>0</v>
      </c>
      <c r="U119">
        <v>3</v>
      </c>
      <c r="Z119">
        <f>Source!GF402</f>
        <v>170470939</v>
      </c>
      <c r="AA119">
        <v>53392314</v>
      </c>
      <c r="AB119">
        <v>53392314</v>
      </c>
    </row>
    <row r="120" spans="1:28" x14ac:dyDescent="0.2">
      <c r="A120">
        <f>Source!A434</f>
        <v>5</v>
      </c>
      <c r="B120">
        <v>434</v>
      </c>
      <c r="G120" t="str">
        <f>Source!G434</f>
        <v>Инженерные сети</v>
      </c>
    </row>
    <row r="121" spans="1:28" x14ac:dyDescent="0.2">
      <c r="A121">
        <v>20</v>
      </c>
      <c r="B121">
        <v>161</v>
      </c>
      <c r="C121">
        <v>3</v>
      </c>
      <c r="D121">
        <v>0</v>
      </c>
      <c r="E121">
        <f>SmtRes!AV161</f>
        <v>0</v>
      </c>
      <c r="F121" t="str">
        <f>SmtRes!I161</f>
        <v>21.9-12-46</v>
      </c>
      <c r="G121" t="str">
        <f>SmtRes!K161</f>
        <v>Раскладки хвойных пород, окрашенные, сечение 19х13(24) мм</v>
      </c>
      <c r="H121" t="str">
        <f>SmtRes!O161</f>
        <v>м</v>
      </c>
      <c r="I121">
        <f>SmtRes!Y161*Source!I439</f>
        <v>4</v>
      </c>
      <c r="J121">
        <f>SmtRes!AO161</f>
        <v>1</v>
      </c>
      <c r="K121">
        <f>SmtRes!AE161</f>
        <v>27.14</v>
      </c>
      <c r="L121">
        <f>SmtRes!DB161</f>
        <v>10856</v>
      </c>
      <c r="M121">
        <f>ROUND(ROUND(L121*Source!I439, 6)*1, 2)</f>
        <v>108.56</v>
      </c>
      <c r="N121">
        <f>SmtRes!AA161</f>
        <v>27.14</v>
      </c>
      <c r="O121">
        <f>ROUND(ROUND(L121*Source!I439, 6)*SmtRes!DA161, 2)</f>
        <v>108.56</v>
      </c>
      <c r="P121">
        <f>SmtRes!AG161</f>
        <v>0</v>
      </c>
      <c r="Q121">
        <f>SmtRes!DC161</f>
        <v>0</v>
      </c>
      <c r="R121">
        <f>ROUND(ROUND(Q121*Source!I439, 6)*1, 2)</f>
        <v>0</v>
      </c>
      <c r="S121">
        <f>SmtRes!AC161</f>
        <v>0</v>
      </c>
      <c r="T121">
        <f>ROUND(ROUND(Q121*Source!I439, 6)*SmtRes!AK161, 2)</f>
        <v>0</v>
      </c>
      <c r="U121">
        <v>3</v>
      </c>
      <c r="Z121">
        <f>SmtRes!X161</f>
        <v>-1908336614</v>
      </c>
      <c r="AA121">
        <v>895668758</v>
      </c>
      <c r="AB121">
        <v>895668758</v>
      </c>
    </row>
    <row r="122" spans="1:28" x14ac:dyDescent="0.2">
      <c r="A122">
        <v>20</v>
      </c>
      <c r="B122">
        <v>160</v>
      </c>
      <c r="C122">
        <v>3</v>
      </c>
      <c r="D122">
        <v>0</v>
      </c>
      <c r="E122">
        <f>SmtRes!AV160</f>
        <v>0</v>
      </c>
      <c r="F122" t="str">
        <f>SmtRes!I160</f>
        <v>21.1-11-84</v>
      </c>
      <c r="G122" t="str">
        <f>SmtRes!K160</f>
        <v>Поковки строительные (скобы, закрепы, хомуты) простые, масса 1,8 кг</v>
      </c>
      <c r="H122" t="str">
        <f>SmtRes!O160</f>
        <v>т</v>
      </c>
      <c r="I122">
        <f>SmtRes!Y160*Source!I439</f>
        <v>3.5000000000000005E-4</v>
      </c>
      <c r="J122">
        <f>SmtRes!AO160</f>
        <v>1</v>
      </c>
      <c r="K122">
        <f>SmtRes!AE160</f>
        <v>87313.75</v>
      </c>
      <c r="L122">
        <f>SmtRes!DB160</f>
        <v>3055.98</v>
      </c>
      <c r="M122">
        <f>ROUND(ROUND(L122*Source!I439, 6)*1, 2)</f>
        <v>30.56</v>
      </c>
      <c r="N122">
        <f>SmtRes!AA160</f>
        <v>87313.75</v>
      </c>
      <c r="O122">
        <f>ROUND(ROUND(L122*Source!I439, 6)*SmtRes!DA160, 2)</f>
        <v>30.56</v>
      </c>
      <c r="P122">
        <f>SmtRes!AG160</f>
        <v>0</v>
      </c>
      <c r="Q122">
        <f>SmtRes!DC160</f>
        <v>0</v>
      </c>
      <c r="R122">
        <f>ROUND(ROUND(Q122*Source!I439, 6)*1, 2)</f>
        <v>0</v>
      </c>
      <c r="S122">
        <f>SmtRes!AC160</f>
        <v>0</v>
      </c>
      <c r="T122">
        <f>ROUND(ROUND(Q122*Source!I439, 6)*SmtRes!AK160, 2)</f>
        <v>0</v>
      </c>
      <c r="U122">
        <v>3</v>
      </c>
      <c r="Z122">
        <f>SmtRes!X160</f>
        <v>-1980536396</v>
      </c>
      <c r="AA122">
        <v>1251560671</v>
      </c>
      <c r="AB122">
        <v>1251560671</v>
      </c>
    </row>
    <row r="123" spans="1:28" x14ac:dyDescent="0.2">
      <c r="A123">
        <v>20</v>
      </c>
      <c r="B123">
        <v>159</v>
      </c>
      <c r="C123">
        <v>3</v>
      </c>
      <c r="D123">
        <v>0</v>
      </c>
      <c r="E123">
        <f>SmtRes!AV159</f>
        <v>0</v>
      </c>
      <c r="F123" t="str">
        <f>SmtRes!I159</f>
        <v>21.1-11-46</v>
      </c>
      <c r="G123" t="str">
        <f>SmtRes!K159</f>
        <v>Гвозди строительные</v>
      </c>
      <c r="H123" t="str">
        <f>SmtRes!O159</f>
        <v>т</v>
      </c>
      <c r="I123">
        <f>SmtRes!Y159*Source!I439</f>
        <v>1.2E-4</v>
      </c>
      <c r="J123">
        <f>SmtRes!AO159</f>
        <v>1</v>
      </c>
      <c r="K123">
        <f>SmtRes!AE159</f>
        <v>95976.83</v>
      </c>
      <c r="L123">
        <f>SmtRes!DB159</f>
        <v>1151.72</v>
      </c>
      <c r="M123">
        <f>ROUND(ROUND(L123*Source!I439, 6)*1, 2)</f>
        <v>11.52</v>
      </c>
      <c r="N123">
        <f>SmtRes!AA159</f>
        <v>95976.83</v>
      </c>
      <c r="O123">
        <f>ROUND(ROUND(L123*Source!I439, 6)*SmtRes!DA159, 2)</f>
        <v>11.52</v>
      </c>
      <c r="P123">
        <f>SmtRes!AG159</f>
        <v>0</v>
      </c>
      <c r="Q123">
        <f>SmtRes!DC159</f>
        <v>0</v>
      </c>
      <c r="R123">
        <f>ROUND(ROUND(Q123*Source!I439, 6)*1, 2)</f>
        <v>0</v>
      </c>
      <c r="S123">
        <f>SmtRes!AC159</f>
        <v>0</v>
      </c>
      <c r="T123">
        <f>ROUND(ROUND(Q123*Source!I439, 6)*SmtRes!AK159, 2)</f>
        <v>0</v>
      </c>
      <c r="U123">
        <v>3</v>
      </c>
      <c r="Z123">
        <f>SmtRes!X159</f>
        <v>-799169102</v>
      </c>
      <c r="AA123">
        <v>1916598461</v>
      </c>
      <c r="AB123">
        <v>1916598461</v>
      </c>
    </row>
    <row r="124" spans="1:28" x14ac:dyDescent="0.2">
      <c r="A124">
        <v>20</v>
      </c>
      <c r="B124">
        <v>173</v>
      </c>
      <c r="C124">
        <v>3</v>
      </c>
      <c r="D124">
        <v>0</v>
      </c>
      <c r="E124">
        <f>SmtRes!AV173</f>
        <v>0</v>
      </c>
      <c r="F124" t="str">
        <f>SmtRes!I173</f>
        <v>21.17-2-15</v>
      </c>
      <c r="G124" t="str">
        <f>SmtRes!K173</f>
        <v>Сифоны бутылочные из цветных металлов, латунные</v>
      </c>
      <c r="H124" t="str">
        <f>SmtRes!O173</f>
        <v>шт.</v>
      </c>
      <c r="I124">
        <f>SmtRes!Y173*Source!I440</f>
        <v>1</v>
      </c>
      <c r="J124">
        <f>SmtRes!AO173</f>
        <v>1</v>
      </c>
      <c r="K124">
        <f>SmtRes!AE173</f>
        <v>603.87</v>
      </c>
      <c r="L124">
        <f>SmtRes!DB173</f>
        <v>603.87</v>
      </c>
      <c r="M124">
        <f>ROUND(ROUND(L124*Source!I440, 6)*1, 2)</f>
        <v>603.87</v>
      </c>
      <c r="N124">
        <f>SmtRes!AA173</f>
        <v>603.87</v>
      </c>
      <c r="O124">
        <f>ROUND(ROUND(L124*Source!I440, 6)*SmtRes!DA173, 2)</f>
        <v>603.87</v>
      </c>
      <c r="P124">
        <f>SmtRes!AG173</f>
        <v>0</v>
      </c>
      <c r="Q124">
        <f>SmtRes!DC173</f>
        <v>0</v>
      </c>
      <c r="R124">
        <f>ROUND(ROUND(Q124*Source!I440, 6)*1, 2)</f>
        <v>0</v>
      </c>
      <c r="S124">
        <f>SmtRes!AC173</f>
        <v>0</v>
      </c>
      <c r="T124">
        <f>ROUND(ROUND(Q124*Source!I440, 6)*SmtRes!AK173, 2)</f>
        <v>0</v>
      </c>
      <c r="U124">
        <v>3</v>
      </c>
      <c r="Z124">
        <f>SmtRes!X173</f>
        <v>530957503</v>
      </c>
      <c r="AA124">
        <v>794469052</v>
      </c>
      <c r="AB124">
        <v>794469052</v>
      </c>
    </row>
    <row r="125" spans="1:28" x14ac:dyDescent="0.2">
      <c r="A125">
        <v>20</v>
      </c>
      <c r="B125">
        <v>172</v>
      </c>
      <c r="C125">
        <v>3</v>
      </c>
      <c r="D125">
        <v>0</v>
      </c>
      <c r="E125">
        <f>SmtRes!AV172</f>
        <v>0</v>
      </c>
      <c r="F125" t="str">
        <f>SmtRes!I172</f>
        <v>21.17-2-12</v>
      </c>
      <c r="G125" t="str">
        <f>SmtRes!K172</f>
        <v>Кронштейны чугунные для умывальников и моек скрытый большой КСБ, длина 320 мм</v>
      </c>
      <c r="H125" t="str">
        <f>SmtRes!O172</f>
        <v>шт.</v>
      </c>
      <c r="I125">
        <f>SmtRes!Y172*Source!I440</f>
        <v>2</v>
      </c>
      <c r="J125">
        <f>SmtRes!AO172</f>
        <v>1</v>
      </c>
      <c r="K125">
        <f>SmtRes!AE172</f>
        <v>271.39999999999998</v>
      </c>
      <c r="L125">
        <f>SmtRes!DB172</f>
        <v>542.79999999999995</v>
      </c>
      <c r="M125">
        <f>ROUND(ROUND(L125*Source!I440, 6)*1, 2)</f>
        <v>542.79999999999995</v>
      </c>
      <c r="N125">
        <f>SmtRes!AA172</f>
        <v>271.39999999999998</v>
      </c>
      <c r="O125">
        <f>ROUND(ROUND(L125*Source!I440, 6)*SmtRes!DA172, 2)</f>
        <v>542.79999999999995</v>
      </c>
      <c r="P125">
        <f>SmtRes!AG172</f>
        <v>0</v>
      </c>
      <c r="Q125">
        <f>SmtRes!DC172</f>
        <v>0</v>
      </c>
      <c r="R125">
        <f>ROUND(ROUND(Q125*Source!I440, 6)*1, 2)</f>
        <v>0</v>
      </c>
      <c r="S125">
        <f>SmtRes!AC172</f>
        <v>0</v>
      </c>
      <c r="T125">
        <f>ROUND(ROUND(Q125*Source!I440, 6)*SmtRes!AK172, 2)</f>
        <v>0</v>
      </c>
      <c r="U125">
        <v>3</v>
      </c>
      <c r="Z125">
        <f>SmtRes!X172</f>
        <v>911396742</v>
      </c>
      <c r="AA125">
        <v>496642280</v>
      </c>
      <c r="AB125">
        <v>496642280</v>
      </c>
    </row>
    <row r="126" spans="1:28" x14ac:dyDescent="0.2">
      <c r="A126">
        <v>20</v>
      </c>
      <c r="B126">
        <v>170</v>
      </c>
      <c r="C126">
        <v>3</v>
      </c>
      <c r="D126">
        <v>0</v>
      </c>
      <c r="E126">
        <f>SmtRes!AV170</f>
        <v>0</v>
      </c>
      <c r="F126" t="str">
        <f>SmtRes!I170</f>
        <v>21.1-6-90</v>
      </c>
      <c r="G126" t="str">
        <f>SmtRes!K170</f>
        <v>Олифа для окраски комбинированная оксоль</v>
      </c>
      <c r="H126" t="str">
        <f>SmtRes!O170</f>
        <v>кг</v>
      </c>
      <c r="I126">
        <f>SmtRes!Y170*Source!I440</f>
        <v>0.04</v>
      </c>
      <c r="J126">
        <f>SmtRes!AO170</f>
        <v>1</v>
      </c>
      <c r="K126">
        <f>SmtRes!AE170</f>
        <v>99.65</v>
      </c>
      <c r="L126">
        <f>SmtRes!DB170</f>
        <v>3.99</v>
      </c>
      <c r="M126">
        <f>ROUND(ROUND(L126*Source!I440, 6)*1, 2)</f>
        <v>3.99</v>
      </c>
      <c r="N126">
        <f>SmtRes!AA170</f>
        <v>99.65</v>
      </c>
      <c r="O126">
        <f>ROUND(ROUND(L126*Source!I440, 6)*SmtRes!DA170, 2)</f>
        <v>3.99</v>
      </c>
      <c r="P126">
        <f>SmtRes!AG170</f>
        <v>0</v>
      </c>
      <c r="Q126">
        <f>SmtRes!DC170</f>
        <v>0</v>
      </c>
      <c r="R126">
        <f>ROUND(ROUND(Q126*Source!I440, 6)*1, 2)</f>
        <v>0</v>
      </c>
      <c r="S126">
        <f>SmtRes!AC170</f>
        <v>0</v>
      </c>
      <c r="T126">
        <f>ROUND(ROUND(Q126*Source!I440, 6)*SmtRes!AK170, 2)</f>
        <v>0</v>
      </c>
      <c r="U126">
        <v>3</v>
      </c>
      <c r="Z126">
        <f>SmtRes!X170</f>
        <v>720467407</v>
      </c>
      <c r="AA126">
        <v>541381503</v>
      </c>
      <c r="AB126">
        <v>541381503</v>
      </c>
    </row>
    <row r="127" spans="1:28" x14ac:dyDescent="0.2">
      <c r="A127">
        <v>20</v>
      </c>
      <c r="B127">
        <v>169</v>
      </c>
      <c r="C127">
        <v>3</v>
      </c>
      <c r="D127">
        <v>0</v>
      </c>
      <c r="E127">
        <f>SmtRes!AV169</f>
        <v>0</v>
      </c>
      <c r="F127" t="str">
        <f>SmtRes!I169</f>
        <v>21.1-6-46</v>
      </c>
      <c r="G127" t="str">
        <f>SmtRes!K169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127" t="str">
        <f>SmtRes!O169</f>
        <v>т</v>
      </c>
      <c r="I127">
        <f>SmtRes!Y169*Source!I440</f>
        <v>3.8000000000000002E-4</v>
      </c>
      <c r="J127">
        <f>SmtRes!AO169</f>
        <v>1</v>
      </c>
      <c r="K127">
        <f>SmtRes!AE169</f>
        <v>91558.65</v>
      </c>
      <c r="L127">
        <f>SmtRes!DB169</f>
        <v>34.79</v>
      </c>
      <c r="M127">
        <f>ROUND(ROUND(L127*Source!I440, 6)*1, 2)</f>
        <v>34.79</v>
      </c>
      <c r="N127">
        <f>SmtRes!AA169</f>
        <v>91558.65</v>
      </c>
      <c r="O127">
        <f>ROUND(ROUND(L127*Source!I440, 6)*SmtRes!DA169, 2)</f>
        <v>34.79</v>
      </c>
      <c r="P127">
        <f>SmtRes!AG169</f>
        <v>0</v>
      </c>
      <c r="Q127">
        <f>SmtRes!DC169</f>
        <v>0</v>
      </c>
      <c r="R127">
        <f>ROUND(ROUND(Q127*Source!I440, 6)*1, 2)</f>
        <v>0</v>
      </c>
      <c r="S127">
        <f>SmtRes!AC169</f>
        <v>0</v>
      </c>
      <c r="T127">
        <f>ROUND(ROUND(Q127*Source!I440, 6)*SmtRes!AK169, 2)</f>
        <v>0</v>
      </c>
      <c r="U127">
        <v>3</v>
      </c>
      <c r="Z127">
        <f>SmtRes!X169</f>
        <v>169962723</v>
      </c>
      <c r="AA127">
        <v>913770738</v>
      </c>
      <c r="AB127">
        <v>913770738</v>
      </c>
    </row>
    <row r="128" spans="1:28" x14ac:dyDescent="0.2">
      <c r="A128">
        <v>20</v>
      </c>
      <c r="B128">
        <v>168</v>
      </c>
      <c r="C128">
        <v>3</v>
      </c>
      <c r="D128">
        <v>0</v>
      </c>
      <c r="E128">
        <f>SmtRes!AV168</f>
        <v>0</v>
      </c>
      <c r="F128" t="str">
        <f>SmtRes!I168</f>
        <v>21.1-25-56</v>
      </c>
      <c r="G128" t="str">
        <f>SmtRes!K168</f>
        <v>Замазка суриковая</v>
      </c>
      <c r="H128" t="str">
        <f>SmtRes!O168</f>
        <v>т</v>
      </c>
      <c r="I128">
        <f>SmtRes!Y168*Source!I440</f>
        <v>2.0000000000000001E-4</v>
      </c>
      <c r="J128">
        <f>SmtRes!AO168</f>
        <v>1</v>
      </c>
      <c r="K128">
        <f>SmtRes!AE168</f>
        <v>58866.75</v>
      </c>
      <c r="L128">
        <f>SmtRes!DB168</f>
        <v>11.77</v>
      </c>
      <c r="M128">
        <f>ROUND(ROUND(L128*Source!I440, 6)*1, 2)</f>
        <v>11.77</v>
      </c>
      <c r="N128">
        <f>SmtRes!AA168</f>
        <v>58866.75</v>
      </c>
      <c r="O128">
        <f>ROUND(ROUND(L128*Source!I440, 6)*SmtRes!DA168, 2)</f>
        <v>11.77</v>
      </c>
      <c r="P128">
        <f>SmtRes!AG168</f>
        <v>0</v>
      </c>
      <c r="Q128">
        <f>SmtRes!DC168</f>
        <v>0</v>
      </c>
      <c r="R128">
        <f>ROUND(ROUND(Q128*Source!I440, 6)*1, 2)</f>
        <v>0</v>
      </c>
      <c r="S128">
        <f>SmtRes!AC168</f>
        <v>0</v>
      </c>
      <c r="T128">
        <f>ROUND(ROUND(Q128*Source!I440, 6)*SmtRes!AK168, 2)</f>
        <v>0</v>
      </c>
      <c r="U128">
        <v>3</v>
      </c>
      <c r="Z128">
        <f>SmtRes!X168</f>
        <v>-1019129760</v>
      </c>
      <c r="AA128">
        <v>109297667</v>
      </c>
      <c r="AB128">
        <v>109297667</v>
      </c>
    </row>
    <row r="129" spans="1:28" x14ac:dyDescent="0.2">
      <c r="A129">
        <v>20</v>
      </c>
      <c r="B129">
        <v>167</v>
      </c>
      <c r="C129">
        <v>3</v>
      </c>
      <c r="D129">
        <v>0</v>
      </c>
      <c r="E129">
        <f>SmtRes!AV167</f>
        <v>0</v>
      </c>
      <c r="F129" t="str">
        <f>SmtRes!I167</f>
        <v>21.1-25-16</v>
      </c>
      <c r="G129" t="str">
        <f>SmtRes!K167</f>
        <v>Волокно льняное №11 для уплотнения резьбовых соединений при монтаже систем водоснабжения и отопления</v>
      </c>
      <c r="H129" t="str">
        <f>SmtRes!O167</f>
        <v>кг</v>
      </c>
      <c r="I129">
        <f>SmtRes!Y167*Source!I440</f>
        <v>0.03</v>
      </c>
      <c r="J129">
        <f>SmtRes!AO167</f>
        <v>1</v>
      </c>
      <c r="K129">
        <f>SmtRes!AE167</f>
        <v>656.56</v>
      </c>
      <c r="L129">
        <f>SmtRes!DB167</f>
        <v>19.7</v>
      </c>
      <c r="M129">
        <f>ROUND(ROUND(L129*Source!I440, 6)*1, 2)</f>
        <v>19.7</v>
      </c>
      <c r="N129">
        <f>SmtRes!AA167</f>
        <v>656.56</v>
      </c>
      <c r="O129">
        <f>ROUND(ROUND(L129*Source!I440, 6)*SmtRes!DA167, 2)</f>
        <v>19.7</v>
      </c>
      <c r="P129">
        <f>SmtRes!AG167</f>
        <v>0</v>
      </c>
      <c r="Q129">
        <f>SmtRes!DC167</f>
        <v>0</v>
      </c>
      <c r="R129">
        <f>ROUND(ROUND(Q129*Source!I440, 6)*1, 2)</f>
        <v>0</v>
      </c>
      <c r="S129">
        <f>SmtRes!AC167</f>
        <v>0</v>
      </c>
      <c r="T129">
        <f>ROUND(ROUND(Q129*Source!I440, 6)*SmtRes!AK167, 2)</f>
        <v>0</v>
      </c>
      <c r="U129">
        <v>3</v>
      </c>
      <c r="Z129">
        <f>SmtRes!X167</f>
        <v>-901272518</v>
      </c>
      <c r="AA129">
        <v>-507751513</v>
      </c>
      <c r="AB129">
        <v>-507751513</v>
      </c>
    </row>
    <row r="130" spans="1:28" x14ac:dyDescent="0.2">
      <c r="A130">
        <v>20</v>
      </c>
      <c r="B130">
        <v>166</v>
      </c>
      <c r="C130">
        <v>3</v>
      </c>
      <c r="D130">
        <v>0</v>
      </c>
      <c r="E130">
        <f>SmtRes!AV166</f>
        <v>0</v>
      </c>
      <c r="F130" t="str">
        <f>SmtRes!I166</f>
        <v>21.1-11-84</v>
      </c>
      <c r="G130" t="str">
        <f>SmtRes!K166</f>
        <v>Поковки строительные (скобы, закрепы, хомуты) простые, масса 1,8 кг</v>
      </c>
      <c r="H130" t="str">
        <f>SmtRes!O166</f>
        <v>т</v>
      </c>
      <c r="I130">
        <f>SmtRes!Y166*Source!I440</f>
        <v>3.6000000000000002E-4</v>
      </c>
      <c r="J130">
        <f>SmtRes!AO166</f>
        <v>1</v>
      </c>
      <c r="K130">
        <f>SmtRes!AE166</f>
        <v>87313.75</v>
      </c>
      <c r="L130">
        <f>SmtRes!DB166</f>
        <v>31.43</v>
      </c>
      <c r="M130">
        <f>ROUND(ROUND(L130*Source!I440, 6)*1, 2)</f>
        <v>31.43</v>
      </c>
      <c r="N130">
        <f>SmtRes!AA166</f>
        <v>87313.75</v>
      </c>
      <c r="O130">
        <f>ROUND(ROUND(L130*Source!I440, 6)*SmtRes!DA166, 2)</f>
        <v>31.43</v>
      </c>
      <c r="P130">
        <f>SmtRes!AG166</f>
        <v>0</v>
      </c>
      <c r="Q130">
        <f>SmtRes!DC166</f>
        <v>0</v>
      </c>
      <c r="R130">
        <f>ROUND(ROUND(Q130*Source!I440, 6)*1, 2)</f>
        <v>0</v>
      </c>
      <c r="S130">
        <f>SmtRes!AC166</f>
        <v>0</v>
      </c>
      <c r="T130">
        <f>ROUND(ROUND(Q130*Source!I440, 6)*SmtRes!AK166, 2)</f>
        <v>0</v>
      </c>
      <c r="U130">
        <v>3</v>
      </c>
      <c r="Z130">
        <f>SmtRes!X166</f>
        <v>-1980536396</v>
      </c>
      <c r="AA130">
        <v>1251560671</v>
      </c>
      <c r="AB130">
        <v>1251560671</v>
      </c>
    </row>
    <row r="131" spans="1:28" x14ac:dyDescent="0.2">
      <c r="A131">
        <v>20</v>
      </c>
      <c r="B131">
        <v>165</v>
      </c>
      <c r="C131">
        <v>3</v>
      </c>
      <c r="D131">
        <v>0</v>
      </c>
      <c r="E131">
        <f>SmtRes!AV165</f>
        <v>0</v>
      </c>
      <c r="F131" t="str">
        <f>SmtRes!I165</f>
        <v>21.1-11-198</v>
      </c>
      <c r="G131" t="str">
        <f>SmtRes!K165</f>
        <v>Дюбели пластмассовые</v>
      </c>
      <c r="H131" t="str">
        <f>SmtRes!O165</f>
        <v>шт.</v>
      </c>
      <c r="I131">
        <f>SmtRes!Y165*Source!I440</f>
        <v>0.04</v>
      </c>
      <c r="J131">
        <f>SmtRes!AO165</f>
        <v>1</v>
      </c>
      <c r="K131">
        <f>SmtRes!AE165</f>
        <v>2.31</v>
      </c>
      <c r="L131">
        <f>SmtRes!DB165</f>
        <v>0.09</v>
      </c>
      <c r="M131">
        <f>ROUND(ROUND(L131*Source!I440, 6)*1, 2)</f>
        <v>0.09</v>
      </c>
      <c r="N131">
        <f>SmtRes!AA165</f>
        <v>2.31</v>
      </c>
      <c r="O131">
        <f>ROUND(ROUND(L131*Source!I440, 6)*SmtRes!DA165, 2)</f>
        <v>0.09</v>
      </c>
      <c r="P131">
        <f>SmtRes!AG165</f>
        <v>0</v>
      </c>
      <c r="Q131">
        <f>SmtRes!DC165</f>
        <v>0</v>
      </c>
      <c r="R131">
        <f>ROUND(ROUND(Q131*Source!I440, 6)*1, 2)</f>
        <v>0</v>
      </c>
      <c r="S131">
        <f>SmtRes!AC165</f>
        <v>0</v>
      </c>
      <c r="T131">
        <f>ROUND(ROUND(Q131*Source!I440, 6)*SmtRes!AK165, 2)</f>
        <v>0</v>
      </c>
      <c r="U131">
        <v>3</v>
      </c>
      <c r="Z131">
        <f>SmtRes!X165</f>
        <v>1799219779</v>
      </c>
      <c r="AA131">
        <v>-223804902</v>
      </c>
      <c r="AB131">
        <v>-223804902</v>
      </c>
    </row>
    <row r="132" spans="1:28" x14ac:dyDescent="0.2">
      <c r="A132">
        <v>20</v>
      </c>
      <c r="B132">
        <v>164</v>
      </c>
      <c r="C132">
        <v>3</v>
      </c>
      <c r="D132">
        <v>0</v>
      </c>
      <c r="E132">
        <f>SmtRes!AV164</f>
        <v>0</v>
      </c>
      <c r="F132" t="str">
        <f>SmtRes!I164</f>
        <v>21.1-11-125</v>
      </c>
      <c r="G132" t="str">
        <f>SmtRes!K164</f>
        <v>Шурупы с потайной головкой, черные, размер 8,0х100 мм</v>
      </c>
      <c r="H132" t="str">
        <f>SmtRes!O164</f>
        <v>т</v>
      </c>
      <c r="I132">
        <f>SmtRes!Y164*Source!I440</f>
        <v>6.9999999999999994E-5</v>
      </c>
      <c r="J132">
        <f>SmtRes!AO164</f>
        <v>1</v>
      </c>
      <c r="K132">
        <f>SmtRes!AE164</f>
        <v>239140.75</v>
      </c>
      <c r="L132">
        <f>SmtRes!DB164</f>
        <v>16.739999999999998</v>
      </c>
      <c r="M132">
        <f>ROUND(ROUND(L132*Source!I440, 6)*1, 2)</f>
        <v>16.739999999999998</v>
      </c>
      <c r="N132">
        <f>SmtRes!AA164</f>
        <v>239140.75</v>
      </c>
      <c r="O132">
        <f>ROUND(ROUND(L132*Source!I440, 6)*SmtRes!DA164, 2)</f>
        <v>16.739999999999998</v>
      </c>
      <c r="P132">
        <f>SmtRes!AG164</f>
        <v>0</v>
      </c>
      <c r="Q132">
        <f>SmtRes!DC164</f>
        <v>0</v>
      </c>
      <c r="R132">
        <f>ROUND(ROUND(Q132*Source!I440, 6)*1, 2)</f>
        <v>0</v>
      </c>
      <c r="S132">
        <f>SmtRes!AC164</f>
        <v>0</v>
      </c>
      <c r="T132">
        <f>ROUND(ROUND(Q132*Source!I440, 6)*SmtRes!AK164, 2)</f>
        <v>0</v>
      </c>
      <c r="U132">
        <v>3</v>
      </c>
      <c r="Z132">
        <f>SmtRes!X164</f>
        <v>-1788654527</v>
      </c>
      <c r="AA132">
        <v>-451808164</v>
      </c>
      <c r="AB132">
        <v>-451808164</v>
      </c>
    </row>
    <row r="133" spans="1:28" x14ac:dyDescent="0.2">
      <c r="A133">
        <v>20</v>
      </c>
      <c r="B133">
        <v>163</v>
      </c>
      <c r="C133">
        <v>2</v>
      </c>
      <c r="D133">
        <v>0</v>
      </c>
      <c r="E133">
        <f>SmtRes!AV163</f>
        <v>0</v>
      </c>
      <c r="F133" t="str">
        <f>SmtRes!I163</f>
        <v>22.1-30-102</v>
      </c>
      <c r="G133" t="str">
        <f>SmtRes!K163</f>
        <v>Дрели электрические, двухскоростные, мощностью 600 Вт</v>
      </c>
      <c r="H133" t="str">
        <f>SmtRes!O163</f>
        <v>маш.-ч</v>
      </c>
      <c r="I133">
        <f>SmtRes!Y163*Source!I440</f>
        <v>0.02</v>
      </c>
      <c r="J133">
        <f>SmtRes!AO163</f>
        <v>1</v>
      </c>
      <c r="K133">
        <f>SmtRes!AF163</f>
        <v>6.13</v>
      </c>
      <c r="L133">
        <f>SmtRes!DB163</f>
        <v>0.12</v>
      </c>
      <c r="M133">
        <f>ROUND(ROUND(L133*Source!I440, 6)*1, 2)</f>
        <v>0.12</v>
      </c>
      <c r="N133">
        <f>SmtRes!AB163</f>
        <v>6.13</v>
      </c>
      <c r="O133">
        <f>ROUND(ROUND(L133*Source!I440, 6)*SmtRes!DA163, 2)</f>
        <v>0.12</v>
      </c>
      <c r="P133">
        <f>SmtRes!AG163</f>
        <v>1.91</v>
      </c>
      <c r="Q133">
        <f>SmtRes!DC163</f>
        <v>0.04</v>
      </c>
      <c r="R133">
        <f>ROUND(ROUND(Q133*Source!I440, 6)*1, 2)</f>
        <v>0.04</v>
      </c>
      <c r="S133">
        <f>SmtRes!AC163</f>
        <v>1.91</v>
      </c>
      <c r="T133">
        <f>ROUND(ROUND(Q133*Source!I440, 6)*SmtRes!AK163, 2)</f>
        <v>0.04</v>
      </c>
      <c r="U133">
        <v>2</v>
      </c>
      <c r="Z133">
        <f>SmtRes!X163</f>
        <v>1989376342</v>
      </c>
      <c r="AA133">
        <v>1891803891</v>
      </c>
      <c r="AB133">
        <v>1891803891</v>
      </c>
    </row>
    <row r="134" spans="1:28" x14ac:dyDescent="0.2">
      <c r="A134">
        <f>Source!A441</f>
        <v>18</v>
      </c>
      <c r="B134">
        <v>441</v>
      </c>
      <c r="C134">
        <v>3</v>
      </c>
      <c r="D134">
        <f>Source!BI441</f>
        <v>4</v>
      </c>
      <c r="E134">
        <f>Source!FS441</f>
        <v>0</v>
      </c>
      <c r="F134" t="str">
        <f>Source!F441</f>
        <v>21.17-2-19</v>
      </c>
      <c r="G134" t="str">
        <f>Source!G441</f>
        <v>Смесители для умывальников и моек двухрукояточные центральные набортные, излив с аэратором тип См-УмДЦБА</v>
      </c>
      <c r="H134" t="str">
        <f>Source!H441</f>
        <v>шт.</v>
      </c>
      <c r="I134">
        <f>Source!I441</f>
        <v>1</v>
      </c>
      <c r="J134">
        <v>1</v>
      </c>
      <c r="K134">
        <f>Source!AC441</f>
        <v>5025.26</v>
      </c>
      <c r="M134">
        <f>ROUND(K134*I134, 2)</f>
        <v>5025.26</v>
      </c>
      <c r="N134">
        <f>Source!AC441*IF(Source!BC441&lt;&gt; 0, Source!BC441, 1)</f>
        <v>5025.26</v>
      </c>
      <c r="O134">
        <f>ROUND(N134*I134, 2)</f>
        <v>5025.26</v>
      </c>
      <c r="P134">
        <f>Source!AE441</f>
        <v>0</v>
      </c>
      <c r="R134">
        <f>ROUND(P134*I134, 2)</f>
        <v>0</v>
      </c>
      <c r="S134">
        <f>Source!AE441*IF(Source!BS441&lt;&gt; 0, Source!BS441, 1)</f>
        <v>0</v>
      </c>
      <c r="T134">
        <f>ROUND(S134*I134, 2)</f>
        <v>0</v>
      </c>
      <c r="U134">
        <v>3</v>
      </c>
      <c r="Z134">
        <f>Source!GF441</f>
        <v>-125063506</v>
      </c>
      <c r="AA134">
        <v>1323547038</v>
      </c>
      <c r="AB134">
        <v>1323547038</v>
      </c>
    </row>
    <row r="135" spans="1:28" x14ac:dyDescent="0.2">
      <c r="A135">
        <f>Source!A442</f>
        <v>18</v>
      </c>
      <c r="B135">
        <v>442</v>
      </c>
      <c r="C135">
        <v>3</v>
      </c>
      <c r="D135">
        <f>Source!BI442</f>
        <v>4</v>
      </c>
      <c r="E135">
        <f>Source!FS442</f>
        <v>0</v>
      </c>
      <c r="F135" t="str">
        <f>Source!F442</f>
        <v>Цена пост.</v>
      </c>
      <c r="G135" t="str">
        <f>Source!G442</f>
        <v>Сантехническая манжета для канализации MPF 50x25 (или эквивалент)</v>
      </c>
      <c r="H135" t="str">
        <f>Source!H442</f>
        <v>шт.</v>
      </c>
      <c r="I135">
        <f>Source!I442</f>
        <v>1</v>
      </c>
      <c r="J135">
        <v>1</v>
      </c>
      <c r="K135">
        <f>Source!AC442</f>
        <v>37.5</v>
      </c>
      <c r="M135">
        <f>ROUND(K135*I135, 2)</f>
        <v>37.5</v>
      </c>
      <c r="N135">
        <f>Source!AC442*IF(Source!BC442&lt;&gt; 0, Source!BC442, 1)</f>
        <v>37.5</v>
      </c>
      <c r="O135">
        <f>ROUND(N135*I135, 2)</f>
        <v>37.5</v>
      </c>
      <c r="P135">
        <f>Source!AE442</f>
        <v>0</v>
      </c>
      <c r="R135">
        <f>ROUND(P135*I135, 2)</f>
        <v>0</v>
      </c>
      <c r="S135">
        <f>Source!AE442*IF(Source!BS442&lt;&gt; 0, Source!BS442, 1)</f>
        <v>0</v>
      </c>
      <c r="T135">
        <f>ROUND(S135*I135, 2)</f>
        <v>0</v>
      </c>
      <c r="U135">
        <v>3</v>
      </c>
      <c r="Z135">
        <f>Source!GF442</f>
        <v>1407851726</v>
      </c>
      <c r="AA135">
        <v>1662594525</v>
      </c>
      <c r="AB135">
        <v>1662594525</v>
      </c>
    </row>
    <row r="136" spans="1:28" x14ac:dyDescent="0.2">
      <c r="A136">
        <v>20</v>
      </c>
      <c r="B136">
        <v>180</v>
      </c>
      <c r="C136">
        <v>3</v>
      </c>
      <c r="D136">
        <v>0</v>
      </c>
      <c r="E136">
        <f>SmtRes!AV180</f>
        <v>0</v>
      </c>
      <c r="F136" t="str">
        <f>SmtRes!I180</f>
        <v>21.9-12-46</v>
      </c>
      <c r="G136" t="str">
        <f>SmtRes!K180</f>
        <v>Раскладки хвойных пород, окрашенные, сечение 19х13(24) мм</v>
      </c>
      <c r="H136" t="str">
        <f>SmtRes!O180</f>
        <v>м</v>
      </c>
      <c r="I136">
        <f>SmtRes!Y180*Source!I445</f>
        <v>4</v>
      </c>
      <c r="J136">
        <f>SmtRes!AO180</f>
        <v>1</v>
      </c>
      <c r="K136">
        <f>SmtRes!AE180</f>
        <v>27.14</v>
      </c>
      <c r="L136">
        <f>SmtRes!DB180</f>
        <v>10856</v>
      </c>
      <c r="M136">
        <f>ROUND(ROUND(L136*Source!I445, 6)*1, 2)</f>
        <v>108.56</v>
      </c>
      <c r="N136">
        <f>SmtRes!AA180</f>
        <v>27.14</v>
      </c>
      <c r="O136">
        <f>ROUND(ROUND(L136*Source!I445, 6)*SmtRes!DA180, 2)</f>
        <v>108.56</v>
      </c>
      <c r="P136">
        <f>SmtRes!AG180</f>
        <v>0</v>
      </c>
      <c r="Q136">
        <f>SmtRes!DC180</f>
        <v>0</v>
      </c>
      <c r="R136">
        <f>ROUND(ROUND(Q136*Source!I445, 6)*1, 2)</f>
        <v>0</v>
      </c>
      <c r="S136">
        <f>SmtRes!AC180</f>
        <v>0</v>
      </c>
      <c r="T136">
        <f>ROUND(ROUND(Q136*Source!I445, 6)*SmtRes!AK180, 2)</f>
        <v>0</v>
      </c>
      <c r="U136">
        <v>3</v>
      </c>
      <c r="Z136">
        <f>SmtRes!X180</f>
        <v>-1908336614</v>
      </c>
      <c r="AA136">
        <v>895668758</v>
      </c>
      <c r="AB136">
        <v>895668758</v>
      </c>
    </row>
    <row r="137" spans="1:28" x14ac:dyDescent="0.2">
      <c r="A137">
        <v>20</v>
      </c>
      <c r="B137">
        <v>179</v>
      </c>
      <c r="C137">
        <v>3</v>
      </c>
      <c r="D137">
        <v>0</v>
      </c>
      <c r="E137">
        <f>SmtRes!AV179</f>
        <v>0</v>
      </c>
      <c r="F137" t="str">
        <f>SmtRes!I179</f>
        <v>21.1-11-84</v>
      </c>
      <c r="G137" t="str">
        <f>SmtRes!K179</f>
        <v>Поковки строительные (скобы, закрепы, хомуты) простые, масса 1,8 кг</v>
      </c>
      <c r="H137" t="str">
        <f>SmtRes!O179</f>
        <v>т</v>
      </c>
      <c r="I137">
        <f>SmtRes!Y179*Source!I445</f>
        <v>3.5000000000000005E-4</v>
      </c>
      <c r="J137">
        <f>SmtRes!AO179</f>
        <v>1</v>
      </c>
      <c r="K137">
        <f>SmtRes!AE179</f>
        <v>87313.75</v>
      </c>
      <c r="L137">
        <f>SmtRes!DB179</f>
        <v>3055.98</v>
      </c>
      <c r="M137">
        <f>ROUND(ROUND(L137*Source!I445, 6)*1, 2)</f>
        <v>30.56</v>
      </c>
      <c r="N137">
        <f>SmtRes!AA179</f>
        <v>87313.75</v>
      </c>
      <c r="O137">
        <f>ROUND(ROUND(L137*Source!I445, 6)*SmtRes!DA179, 2)</f>
        <v>30.56</v>
      </c>
      <c r="P137">
        <f>SmtRes!AG179</f>
        <v>0</v>
      </c>
      <c r="Q137">
        <f>SmtRes!DC179</f>
        <v>0</v>
      </c>
      <c r="R137">
        <f>ROUND(ROUND(Q137*Source!I445, 6)*1, 2)</f>
        <v>0</v>
      </c>
      <c r="S137">
        <f>SmtRes!AC179</f>
        <v>0</v>
      </c>
      <c r="T137">
        <f>ROUND(ROUND(Q137*Source!I445, 6)*SmtRes!AK179, 2)</f>
        <v>0</v>
      </c>
      <c r="U137">
        <v>3</v>
      </c>
      <c r="Z137">
        <f>SmtRes!X179</f>
        <v>-1980536396</v>
      </c>
      <c r="AA137">
        <v>1251560671</v>
      </c>
      <c r="AB137">
        <v>1251560671</v>
      </c>
    </row>
    <row r="138" spans="1:28" x14ac:dyDescent="0.2">
      <c r="A138">
        <v>20</v>
      </c>
      <c r="B138">
        <v>178</v>
      </c>
      <c r="C138">
        <v>3</v>
      </c>
      <c r="D138">
        <v>0</v>
      </c>
      <c r="E138">
        <f>SmtRes!AV178</f>
        <v>0</v>
      </c>
      <c r="F138" t="str">
        <f>SmtRes!I178</f>
        <v>21.1-11-46</v>
      </c>
      <c r="G138" t="str">
        <f>SmtRes!K178</f>
        <v>Гвозди строительные</v>
      </c>
      <c r="H138" t="str">
        <f>SmtRes!O178</f>
        <v>т</v>
      </c>
      <c r="I138">
        <f>SmtRes!Y178*Source!I445</f>
        <v>1.2E-4</v>
      </c>
      <c r="J138">
        <f>SmtRes!AO178</f>
        <v>1</v>
      </c>
      <c r="K138">
        <f>SmtRes!AE178</f>
        <v>95976.83</v>
      </c>
      <c r="L138">
        <f>SmtRes!DB178</f>
        <v>1151.72</v>
      </c>
      <c r="M138">
        <f>ROUND(ROUND(L138*Source!I445, 6)*1, 2)</f>
        <v>11.52</v>
      </c>
      <c r="N138">
        <f>SmtRes!AA178</f>
        <v>95976.83</v>
      </c>
      <c r="O138">
        <f>ROUND(ROUND(L138*Source!I445, 6)*SmtRes!DA178, 2)</f>
        <v>11.52</v>
      </c>
      <c r="P138">
        <f>SmtRes!AG178</f>
        <v>0</v>
      </c>
      <c r="Q138">
        <f>SmtRes!DC178</f>
        <v>0</v>
      </c>
      <c r="R138">
        <f>ROUND(ROUND(Q138*Source!I445, 6)*1, 2)</f>
        <v>0</v>
      </c>
      <c r="S138">
        <f>SmtRes!AC178</f>
        <v>0</v>
      </c>
      <c r="T138">
        <f>ROUND(ROUND(Q138*Source!I445, 6)*SmtRes!AK178, 2)</f>
        <v>0</v>
      </c>
      <c r="U138">
        <v>3</v>
      </c>
      <c r="Z138">
        <f>SmtRes!X178</f>
        <v>-799169102</v>
      </c>
      <c r="AA138">
        <v>1916598461</v>
      </c>
      <c r="AB138">
        <v>1916598461</v>
      </c>
    </row>
    <row r="139" spans="1:28" x14ac:dyDescent="0.2">
      <c r="A139">
        <f>Source!A446</f>
        <v>18</v>
      </c>
      <c r="B139">
        <v>446</v>
      </c>
      <c r="C139">
        <v>3</v>
      </c>
      <c r="D139">
        <f>Source!BI446</f>
        <v>4</v>
      </c>
      <c r="E139">
        <f>Source!FS446</f>
        <v>0</v>
      </c>
      <c r="F139" t="str">
        <f>Source!F446</f>
        <v>Цена пост.</v>
      </c>
      <c r="G139" t="str">
        <f>Source!G446</f>
        <v>Тумба под раковину напольная SanStar Квадро 50см с раковиной цвет белый (или эквивалент)</v>
      </c>
      <c r="H139" t="str">
        <f>Source!H446</f>
        <v>шт.</v>
      </c>
      <c r="I139">
        <f>Source!I446</f>
        <v>1</v>
      </c>
      <c r="J139">
        <v>1</v>
      </c>
      <c r="K139">
        <f>Source!AC446</f>
        <v>10050.83</v>
      </c>
      <c r="M139">
        <f>ROUND(K139*I139, 2)</f>
        <v>10050.83</v>
      </c>
      <c r="N139">
        <f>Source!AC446*IF(Source!BC446&lt;&gt; 0, Source!BC446, 1)</f>
        <v>10050.83</v>
      </c>
      <c r="O139">
        <f>ROUND(N139*I139, 2)</f>
        <v>10050.83</v>
      </c>
      <c r="P139">
        <f>Source!AE446</f>
        <v>0</v>
      </c>
      <c r="R139">
        <f>ROUND(P139*I139, 2)</f>
        <v>0</v>
      </c>
      <c r="S139">
        <f>Source!AE446*IF(Source!BS446&lt;&gt; 0, Source!BS446, 1)</f>
        <v>0</v>
      </c>
      <c r="T139">
        <f>ROUND(S139*I139, 2)</f>
        <v>0</v>
      </c>
      <c r="U139">
        <v>3</v>
      </c>
      <c r="Z139">
        <f>Source!GF446</f>
        <v>-541391768</v>
      </c>
      <c r="AA139">
        <v>921625570</v>
      </c>
      <c r="AB139">
        <v>921625570</v>
      </c>
    </row>
    <row r="140" spans="1:28" x14ac:dyDescent="0.2">
      <c r="A140">
        <v>20</v>
      </c>
      <c r="B140">
        <v>183</v>
      </c>
      <c r="C140">
        <v>3</v>
      </c>
      <c r="D140">
        <v>0</v>
      </c>
      <c r="E140">
        <f>SmtRes!AV183</f>
        <v>0</v>
      </c>
      <c r="F140" t="str">
        <f>SmtRes!I183</f>
        <v>21.12-5-61</v>
      </c>
      <c r="G140" t="str">
        <f>SmtRes!K183</f>
        <v>Подводки к водоразборной арматуре, с двумя латунными накидными гайками, длина 500 мм</v>
      </c>
      <c r="H140" t="str">
        <f>SmtRes!O183</f>
        <v>компл.</v>
      </c>
      <c r="I140">
        <f>SmtRes!Y183*Source!I447</f>
        <v>2</v>
      </c>
      <c r="J140">
        <f>SmtRes!AO183</f>
        <v>1</v>
      </c>
      <c r="K140">
        <f>SmtRes!AE183</f>
        <v>132.30000000000001</v>
      </c>
      <c r="L140">
        <f>SmtRes!DB183</f>
        <v>26460</v>
      </c>
      <c r="M140">
        <f>ROUND(ROUND(L140*Source!I447, 6)*1, 2)</f>
        <v>264.60000000000002</v>
      </c>
      <c r="N140">
        <f>SmtRes!AA183</f>
        <v>132.30000000000001</v>
      </c>
      <c r="O140">
        <f>ROUND(ROUND(L140*Source!I447, 6)*SmtRes!DA183, 2)</f>
        <v>264.60000000000002</v>
      </c>
      <c r="P140">
        <f>SmtRes!AG183</f>
        <v>0</v>
      </c>
      <c r="Q140">
        <f>SmtRes!DC183</f>
        <v>0</v>
      </c>
      <c r="R140">
        <f>ROUND(ROUND(Q140*Source!I447, 6)*1, 2)</f>
        <v>0</v>
      </c>
      <c r="S140">
        <f>SmtRes!AC183</f>
        <v>0</v>
      </c>
      <c r="T140">
        <f>ROUND(ROUND(Q140*Source!I447, 6)*SmtRes!AK183, 2)</f>
        <v>0</v>
      </c>
      <c r="U140">
        <v>3</v>
      </c>
      <c r="Z140">
        <f>SmtRes!X183</f>
        <v>1711651658</v>
      </c>
      <c r="AA140">
        <v>-1301456157</v>
      </c>
      <c r="AB140">
        <v>-1301456157</v>
      </c>
    </row>
    <row r="141" spans="1:28" x14ac:dyDescent="0.2">
      <c r="A141">
        <v>20</v>
      </c>
      <c r="B141">
        <v>189</v>
      </c>
      <c r="C141">
        <v>3</v>
      </c>
      <c r="D141">
        <v>0</v>
      </c>
      <c r="E141">
        <f>SmtRes!AV189</f>
        <v>0</v>
      </c>
      <c r="F141" t="str">
        <f>SmtRes!I189</f>
        <v>21.1-6-90</v>
      </c>
      <c r="G141" t="str">
        <f>SmtRes!K189</f>
        <v>Олифа для окраски комбинированная оксоль</v>
      </c>
      <c r="H141" t="str">
        <f>SmtRes!O189</f>
        <v>кг</v>
      </c>
      <c r="I141">
        <f>SmtRes!Y189*Source!I449</f>
        <v>1.26E-2</v>
      </c>
      <c r="J141">
        <f>SmtRes!AO189</f>
        <v>1</v>
      </c>
      <c r="K141">
        <f>SmtRes!AE189</f>
        <v>99.65</v>
      </c>
      <c r="L141">
        <f>SmtRes!DB189</f>
        <v>6.28</v>
      </c>
      <c r="M141">
        <f>ROUND(ROUND(L141*Source!I449, 6)*1, 2)</f>
        <v>1.26</v>
      </c>
      <c r="N141">
        <f>SmtRes!AA189</f>
        <v>99.65</v>
      </c>
      <c r="O141">
        <f>ROUND(ROUND(L141*Source!I449, 6)*SmtRes!DA189, 2)</f>
        <v>1.26</v>
      </c>
      <c r="P141">
        <f>SmtRes!AG189</f>
        <v>0</v>
      </c>
      <c r="Q141">
        <f>SmtRes!DC189</f>
        <v>0</v>
      </c>
      <c r="R141">
        <f>ROUND(ROUND(Q141*Source!I449, 6)*1, 2)</f>
        <v>0</v>
      </c>
      <c r="S141">
        <f>SmtRes!AC189</f>
        <v>0</v>
      </c>
      <c r="T141">
        <f>ROUND(ROUND(Q141*Source!I449, 6)*SmtRes!AK189, 2)</f>
        <v>0</v>
      </c>
      <c r="U141">
        <v>3</v>
      </c>
      <c r="Z141">
        <f>SmtRes!X189</f>
        <v>720467407</v>
      </c>
      <c r="AA141">
        <v>541381503</v>
      </c>
      <c r="AB141">
        <v>541381503</v>
      </c>
    </row>
    <row r="142" spans="1:28" x14ac:dyDescent="0.2">
      <c r="A142">
        <v>20</v>
      </c>
      <c r="B142">
        <v>188</v>
      </c>
      <c r="C142">
        <v>3</v>
      </c>
      <c r="D142">
        <v>0</v>
      </c>
      <c r="E142">
        <f>SmtRes!AV188</f>
        <v>0</v>
      </c>
      <c r="F142" t="str">
        <f>SmtRes!I188</f>
        <v>21.1-6-46</v>
      </c>
      <c r="G142" t="str">
        <f>SmtRes!K188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142" t="str">
        <f>SmtRes!O188</f>
        <v>т</v>
      </c>
      <c r="I142">
        <f>SmtRes!Y188*Source!I449</f>
        <v>2.5999999999999998E-5</v>
      </c>
      <c r="J142">
        <f>SmtRes!AO188</f>
        <v>1</v>
      </c>
      <c r="K142">
        <f>SmtRes!AE188</f>
        <v>91558.65</v>
      </c>
      <c r="L142">
        <f>SmtRes!DB188</f>
        <v>11.9</v>
      </c>
      <c r="M142">
        <f>ROUND(ROUND(L142*Source!I449, 6)*1, 2)</f>
        <v>2.38</v>
      </c>
      <c r="N142">
        <f>SmtRes!AA188</f>
        <v>91558.65</v>
      </c>
      <c r="O142">
        <f>ROUND(ROUND(L142*Source!I449, 6)*SmtRes!DA188, 2)</f>
        <v>2.38</v>
      </c>
      <c r="P142">
        <f>SmtRes!AG188</f>
        <v>0</v>
      </c>
      <c r="Q142">
        <f>SmtRes!DC188</f>
        <v>0</v>
      </c>
      <c r="R142">
        <f>ROUND(ROUND(Q142*Source!I449, 6)*1, 2)</f>
        <v>0</v>
      </c>
      <c r="S142">
        <f>SmtRes!AC188</f>
        <v>0</v>
      </c>
      <c r="T142">
        <f>ROUND(ROUND(Q142*Source!I449, 6)*SmtRes!AK188, 2)</f>
        <v>0</v>
      </c>
      <c r="U142">
        <v>3</v>
      </c>
      <c r="Z142">
        <f>SmtRes!X188</f>
        <v>169962723</v>
      </c>
      <c r="AA142">
        <v>913770738</v>
      </c>
      <c r="AB142">
        <v>913770738</v>
      </c>
    </row>
    <row r="143" spans="1:28" x14ac:dyDescent="0.2">
      <c r="A143">
        <v>20</v>
      </c>
      <c r="B143">
        <v>186</v>
      </c>
      <c r="C143">
        <v>3</v>
      </c>
      <c r="D143">
        <v>0</v>
      </c>
      <c r="E143">
        <f>SmtRes!AV186</f>
        <v>0</v>
      </c>
      <c r="F143" t="str">
        <f>SmtRes!I186</f>
        <v>21.1-25-16</v>
      </c>
      <c r="G143" t="str">
        <f>SmtRes!K186</f>
        <v>Волокно льняное №11 для уплотнения резьбовых соединений при монтаже систем водоснабжения и отопления</v>
      </c>
      <c r="H143" t="str">
        <f>SmtRes!O186</f>
        <v>кг</v>
      </c>
      <c r="I143">
        <f>SmtRes!Y186*Source!I449</f>
        <v>1.26E-2</v>
      </c>
      <c r="J143">
        <f>SmtRes!AO186</f>
        <v>1</v>
      </c>
      <c r="K143">
        <f>SmtRes!AE186</f>
        <v>656.56</v>
      </c>
      <c r="L143">
        <f>SmtRes!DB186</f>
        <v>41.36</v>
      </c>
      <c r="M143">
        <f>ROUND(ROUND(L143*Source!I449, 6)*1, 2)</f>
        <v>8.27</v>
      </c>
      <c r="N143">
        <f>SmtRes!AA186</f>
        <v>656.56</v>
      </c>
      <c r="O143">
        <f>ROUND(ROUND(L143*Source!I449, 6)*SmtRes!DA186, 2)</f>
        <v>8.27</v>
      </c>
      <c r="P143">
        <f>SmtRes!AG186</f>
        <v>0</v>
      </c>
      <c r="Q143">
        <f>SmtRes!DC186</f>
        <v>0</v>
      </c>
      <c r="R143">
        <f>ROUND(ROUND(Q143*Source!I449, 6)*1, 2)</f>
        <v>0</v>
      </c>
      <c r="S143">
        <f>SmtRes!AC186</f>
        <v>0</v>
      </c>
      <c r="T143">
        <f>ROUND(ROUND(Q143*Source!I449, 6)*SmtRes!AK186, 2)</f>
        <v>0</v>
      </c>
      <c r="U143">
        <v>3</v>
      </c>
      <c r="Z143">
        <f>SmtRes!X186</f>
        <v>-901272518</v>
      </c>
      <c r="AA143">
        <v>-507751513</v>
      </c>
      <c r="AB143">
        <v>-507751513</v>
      </c>
    </row>
    <row r="144" spans="1:28" x14ac:dyDescent="0.2">
      <c r="A144">
        <f>Source!A450</f>
        <v>18</v>
      </c>
      <c r="B144">
        <v>450</v>
      </c>
      <c r="C144">
        <v>3</v>
      </c>
      <c r="D144">
        <f>Source!BI450</f>
        <v>4</v>
      </c>
      <c r="E144">
        <f>Source!FS450</f>
        <v>0</v>
      </c>
      <c r="F144" t="str">
        <f>Source!F450</f>
        <v>21.13-4-40</v>
      </c>
      <c r="G144" t="str">
        <f>Source!G450</f>
        <v>Краны латунные шаровые муфтовые проходные, марка 11б27п, диаметр 20 мм</v>
      </c>
      <c r="H144" t="str">
        <f>Source!H450</f>
        <v>шт.</v>
      </c>
      <c r="I144">
        <f>Source!I450</f>
        <v>2</v>
      </c>
      <c r="J144">
        <v>1</v>
      </c>
      <c r="K144">
        <f>Source!AC450</f>
        <v>182.88</v>
      </c>
      <c r="M144">
        <f>ROUND(K144*I144, 2)</f>
        <v>365.76</v>
      </c>
      <c r="N144">
        <f>Source!AC450*IF(Source!BC450&lt;&gt; 0, Source!BC450, 1)</f>
        <v>182.88</v>
      </c>
      <c r="O144">
        <f>ROUND(N144*I144, 2)</f>
        <v>365.76</v>
      </c>
      <c r="P144">
        <f>Source!AE450</f>
        <v>0</v>
      </c>
      <c r="R144">
        <f>ROUND(P144*I144, 2)</f>
        <v>0</v>
      </c>
      <c r="S144">
        <f>Source!AE450*IF(Source!BS450&lt;&gt; 0, Source!BS450, 1)</f>
        <v>0</v>
      </c>
      <c r="T144">
        <f>ROUND(S144*I144, 2)</f>
        <v>0</v>
      </c>
      <c r="U144">
        <v>3</v>
      </c>
      <c r="Z144">
        <f>Source!GF450</f>
        <v>331574299</v>
      </c>
      <c r="AA144">
        <v>1604916054</v>
      </c>
      <c r="AB144">
        <v>1604916054</v>
      </c>
    </row>
    <row r="145" spans="1:28" x14ac:dyDescent="0.2">
      <c r="A145">
        <f>Source!A482</f>
        <v>5</v>
      </c>
      <c r="B145">
        <v>482</v>
      </c>
      <c r="G145" t="str">
        <f>Source!G482</f>
        <v>Электрика</v>
      </c>
    </row>
    <row r="146" spans="1:28" x14ac:dyDescent="0.2">
      <c r="A146">
        <f>Source!A487</f>
        <v>18</v>
      </c>
      <c r="B146">
        <v>487</v>
      </c>
      <c r="C146">
        <v>3</v>
      </c>
      <c r="D146">
        <f>Source!BI487</f>
        <v>4</v>
      </c>
      <c r="E146">
        <f>Source!FS487</f>
        <v>0</v>
      </c>
      <c r="F146" t="str">
        <f>Source!F487</f>
        <v>Цена пост.</v>
      </c>
      <c r="G146" t="str">
        <f>Source!G487</f>
        <v>Розетка 2х2P+E Schuko со шторками, 16A-250В, IP20 (или эквивалент)</v>
      </c>
      <c r="H146" t="str">
        <f>Source!H487</f>
        <v>шт.</v>
      </c>
      <c r="I146">
        <f>Source!I487</f>
        <v>2</v>
      </c>
      <c r="J146">
        <v>1</v>
      </c>
      <c r="K146">
        <f>Source!AC487</f>
        <v>285</v>
      </c>
      <c r="M146">
        <f>ROUND(K146*I146, 2)</f>
        <v>570</v>
      </c>
      <c r="N146">
        <f>Source!AC487*IF(Source!BC487&lt;&gt; 0, Source!BC487, 1)</f>
        <v>285</v>
      </c>
      <c r="O146">
        <f>ROUND(N146*I146, 2)</f>
        <v>570</v>
      </c>
      <c r="P146">
        <f>Source!AE487</f>
        <v>0</v>
      </c>
      <c r="R146">
        <f>ROUND(P146*I146, 2)</f>
        <v>0</v>
      </c>
      <c r="S146">
        <f>Source!AE487*IF(Source!BS487&lt;&gt; 0, Source!BS487, 1)</f>
        <v>0</v>
      </c>
      <c r="T146">
        <f>ROUND(S146*I146, 2)</f>
        <v>0</v>
      </c>
      <c r="U146">
        <v>3</v>
      </c>
      <c r="Z146">
        <f>Source!GF487</f>
        <v>-303536335</v>
      </c>
      <c r="AA146">
        <v>-1902312805</v>
      </c>
      <c r="AB146">
        <v>-1902312805</v>
      </c>
    </row>
    <row r="147" spans="1:28" x14ac:dyDescent="0.2">
      <c r="A147">
        <f>Source!A488</f>
        <v>18</v>
      </c>
      <c r="B147">
        <v>488</v>
      </c>
      <c r="C147">
        <v>3</v>
      </c>
      <c r="D147">
        <f>Source!BI488</f>
        <v>4</v>
      </c>
      <c r="E147">
        <f>Source!FS488</f>
        <v>0</v>
      </c>
      <c r="F147" t="str">
        <f>Source!F488</f>
        <v>21.21-5-24</v>
      </c>
      <c r="G147" t="str">
        <f>Source!G488</f>
        <v>Выключатели, серия "Прима", напряжение 250 В, сила тока 6 А, тип: А16-051, одноклавишный, открытой установки</v>
      </c>
      <c r="H147" t="str">
        <f>Source!H488</f>
        <v>шт.</v>
      </c>
      <c r="I147">
        <f>Source!I488</f>
        <v>1</v>
      </c>
      <c r="J147">
        <v>1</v>
      </c>
      <c r="K147">
        <f>Source!AC488</f>
        <v>90.55</v>
      </c>
      <c r="M147">
        <f>ROUND(K147*I147, 2)</f>
        <v>90.55</v>
      </c>
      <c r="N147">
        <f>Source!AC488*IF(Source!BC488&lt;&gt; 0, Source!BC488, 1)</f>
        <v>90.55</v>
      </c>
      <c r="O147">
        <f>ROUND(N147*I147, 2)</f>
        <v>90.55</v>
      </c>
      <c r="P147">
        <f>Source!AE488</f>
        <v>0</v>
      </c>
      <c r="R147">
        <f>ROUND(P147*I147, 2)</f>
        <v>0</v>
      </c>
      <c r="S147">
        <f>Source!AE488*IF(Source!BS488&lt;&gt; 0, Source!BS488, 1)</f>
        <v>0</v>
      </c>
      <c r="T147">
        <f>ROUND(S147*I147, 2)</f>
        <v>0</v>
      </c>
      <c r="U147">
        <v>3</v>
      </c>
      <c r="Z147">
        <f>Source!GF488</f>
        <v>-314732257</v>
      </c>
      <c r="AA147">
        <v>710553705</v>
      </c>
      <c r="AB147">
        <v>710553705</v>
      </c>
    </row>
    <row r="148" spans="1:28" x14ac:dyDescent="0.2">
      <c r="A148">
        <f>Source!A520</f>
        <v>5</v>
      </c>
      <c r="B148">
        <v>520</v>
      </c>
      <c r="G148" t="str">
        <f>Source!G520</f>
        <v>Прочее</v>
      </c>
    </row>
    <row r="149" spans="1:28" x14ac:dyDescent="0.2">
      <c r="A149">
        <v>20</v>
      </c>
      <c r="B149">
        <v>194</v>
      </c>
      <c r="C149">
        <v>3</v>
      </c>
      <c r="D149">
        <v>0</v>
      </c>
      <c r="E149">
        <f>SmtRes!AV194</f>
        <v>0</v>
      </c>
      <c r="F149" t="str">
        <f>SmtRes!I194</f>
        <v>21.1-2-2</v>
      </c>
      <c r="G149" t="str">
        <f>SmtRes!K194</f>
        <v>Гипсовые вяжущие (гипс) для штукатурных работ</v>
      </c>
      <c r="H149" t="str">
        <f>SmtRes!O194</f>
        <v>т</v>
      </c>
      <c r="I149">
        <f>SmtRes!Y194*Source!I524</f>
        <v>1E-3</v>
      </c>
      <c r="J149">
        <f>SmtRes!AO194</f>
        <v>1</v>
      </c>
      <c r="K149">
        <f>SmtRes!AE194</f>
        <v>8017.57</v>
      </c>
      <c r="L149">
        <f>SmtRes!DB194</f>
        <v>400.88</v>
      </c>
      <c r="M149">
        <f>ROUND(ROUND(L149*Source!I524, 6)*1, 2)</f>
        <v>8.02</v>
      </c>
      <c r="N149">
        <f>SmtRes!AA194</f>
        <v>8017.57</v>
      </c>
      <c r="O149">
        <f>ROUND(ROUND(L149*Source!I524, 6)*SmtRes!DA194, 2)</f>
        <v>8.02</v>
      </c>
      <c r="P149">
        <f>SmtRes!AG194</f>
        <v>0</v>
      </c>
      <c r="Q149">
        <f>SmtRes!DC194</f>
        <v>0</v>
      </c>
      <c r="R149">
        <f>ROUND(ROUND(Q149*Source!I524, 6)*1, 2)</f>
        <v>0</v>
      </c>
      <c r="S149">
        <f>SmtRes!AC194</f>
        <v>0</v>
      </c>
      <c r="T149">
        <f>ROUND(ROUND(Q149*Source!I524, 6)*SmtRes!AK194, 2)</f>
        <v>0</v>
      </c>
      <c r="U149">
        <v>3</v>
      </c>
      <c r="Z149">
        <f>SmtRes!X194</f>
        <v>-2049845446</v>
      </c>
      <c r="AA149">
        <v>-453821089</v>
      </c>
      <c r="AB149">
        <v>-453821089</v>
      </c>
    </row>
    <row r="150" spans="1:28" x14ac:dyDescent="0.2">
      <c r="A150">
        <f>Source!A525</f>
        <v>18</v>
      </c>
      <c r="B150">
        <v>525</v>
      </c>
      <c r="C150">
        <v>3</v>
      </c>
      <c r="D150">
        <f>Source!BI525</f>
        <v>4</v>
      </c>
      <c r="E150">
        <f>Source!FS525</f>
        <v>0</v>
      </c>
      <c r="F150" t="str">
        <f>Source!F525</f>
        <v>21.19-11-52</v>
      </c>
      <c r="G150" t="str">
        <f>Source!G525</f>
        <v>Решетки вентиляционные, жалюзийные, регулируемые, стальные, марка РС-Г, размер 625х225 мм (600х300 мм)</v>
      </c>
      <c r="H150" t="str">
        <f>Source!H525</f>
        <v>шт.</v>
      </c>
      <c r="I150">
        <f>Source!I525</f>
        <v>2</v>
      </c>
      <c r="J150">
        <v>1</v>
      </c>
      <c r="K150">
        <f>Source!AC525</f>
        <v>981.41</v>
      </c>
      <c r="M150">
        <f>ROUND(K150*I150, 2)</f>
        <v>1962.82</v>
      </c>
      <c r="N150">
        <f>Source!AC525*IF(Source!BC525&lt;&gt; 0, Source!BC525, 1)</f>
        <v>981.41</v>
      </c>
      <c r="O150">
        <f>ROUND(N150*I150, 2)</f>
        <v>1962.82</v>
      </c>
      <c r="P150">
        <f>Source!AE525</f>
        <v>0</v>
      </c>
      <c r="R150">
        <f>ROUND(P150*I150, 2)</f>
        <v>0</v>
      </c>
      <c r="S150">
        <f>Source!AE525*IF(Source!BS525&lt;&gt; 0, Source!BS525, 1)</f>
        <v>0</v>
      </c>
      <c r="T150">
        <f>ROUND(S150*I150, 2)</f>
        <v>0</v>
      </c>
      <c r="U150">
        <v>3</v>
      </c>
      <c r="Z150">
        <f>Source!GF525</f>
        <v>-2129737567</v>
      </c>
      <c r="AA150">
        <v>885410941</v>
      </c>
      <c r="AB150">
        <v>885410941</v>
      </c>
    </row>
    <row r="151" spans="1:28" x14ac:dyDescent="0.2">
      <c r="A151">
        <f>Source!A588</f>
        <v>4</v>
      </c>
      <c r="B151">
        <v>588</v>
      </c>
      <c r="G151" t="str">
        <f>Source!G588</f>
        <v>Кровля</v>
      </c>
    </row>
    <row r="152" spans="1:28" x14ac:dyDescent="0.2">
      <c r="A152">
        <v>20</v>
      </c>
      <c r="B152">
        <v>205</v>
      </c>
      <c r="C152">
        <v>3</v>
      </c>
      <c r="D152">
        <v>0</v>
      </c>
      <c r="E152">
        <f>SmtRes!AV205</f>
        <v>0</v>
      </c>
      <c r="F152" t="str">
        <f>SmtRes!I205</f>
        <v>21.1-4-32</v>
      </c>
      <c r="G152" t="str">
        <f>SmtRes!K205</f>
        <v>Пропан-бутан, сжиженный газ</v>
      </c>
      <c r="H152" t="str">
        <f>SmtRes!O205</f>
        <v>кг</v>
      </c>
      <c r="I152">
        <f>SmtRes!Y205*Source!I592</f>
        <v>10.199999999999999</v>
      </c>
      <c r="J152">
        <f>SmtRes!AO205</f>
        <v>1</v>
      </c>
      <c r="K152">
        <f>SmtRes!AE205</f>
        <v>68.540000000000006</v>
      </c>
      <c r="L152">
        <f>SmtRes!DB205</f>
        <v>233.04</v>
      </c>
      <c r="M152">
        <f>ROUND(ROUND(L152*Source!I592, 6)*1, 2)</f>
        <v>699.12</v>
      </c>
      <c r="N152">
        <f>SmtRes!AA205</f>
        <v>68.540000000000006</v>
      </c>
      <c r="O152">
        <f>ROUND(ROUND(L152*Source!I592, 6)*SmtRes!DA205, 2)</f>
        <v>699.12</v>
      </c>
      <c r="P152">
        <f>SmtRes!AG205</f>
        <v>0</v>
      </c>
      <c r="Q152">
        <f>SmtRes!DC205</f>
        <v>0</v>
      </c>
      <c r="R152">
        <f>ROUND(ROUND(Q152*Source!I592, 6)*1, 2)</f>
        <v>0</v>
      </c>
      <c r="S152">
        <f>SmtRes!AC205</f>
        <v>0</v>
      </c>
      <c r="T152">
        <f>ROUND(ROUND(Q152*Source!I592, 6)*SmtRes!AK205, 2)</f>
        <v>0</v>
      </c>
      <c r="U152">
        <v>3</v>
      </c>
      <c r="Z152">
        <f>SmtRes!X205</f>
        <v>-1105174393</v>
      </c>
      <c r="AA152">
        <v>-1642556842</v>
      </c>
      <c r="AB152">
        <v>-1642556842</v>
      </c>
    </row>
    <row r="153" spans="1:28" x14ac:dyDescent="0.2">
      <c r="A153">
        <v>20</v>
      </c>
      <c r="B153">
        <v>202</v>
      </c>
      <c r="C153">
        <v>3</v>
      </c>
      <c r="D153">
        <v>0</v>
      </c>
      <c r="E153">
        <f>SmtRes!AV202</f>
        <v>0</v>
      </c>
      <c r="F153" t="str">
        <f>SmtRes!I202</f>
        <v>21.1-1-18</v>
      </c>
      <c r="G153" t="str">
        <f>SmtRes!K202</f>
        <v>Мастика герметизирующая нетвердеющая, строительная, битумно-атактическая, антикоррозийная</v>
      </c>
      <c r="H153" t="str">
        <f>SmtRes!O202</f>
        <v>т</v>
      </c>
      <c r="I153">
        <f>SmtRes!Y202*Source!I592</f>
        <v>0.10500000000000001</v>
      </c>
      <c r="J153">
        <f>SmtRes!AO202</f>
        <v>1</v>
      </c>
      <c r="K153">
        <f>SmtRes!AE202</f>
        <v>129600.01</v>
      </c>
      <c r="L153">
        <f>SmtRes!DB202</f>
        <v>4536</v>
      </c>
      <c r="M153">
        <f>ROUND(ROUND(L153*Source!I592, 6)*1, 2)</f>
        <v>13608</v>
      </c>
      <c r="N153">
        <f>SmtRes!AA202</f>
        <v>129600.01</v>
      </c>
      <c r="O153">
        <f>ROUND(ROUND(L153*Source!I592, 6)*SmtRes!DA202, 2)</f>
        <v>13608</v>
      </c>
      <c r="P153">
        <f>SmtRes!AG202</f>
        <v>0</v>
      </c>
      <c r="Q153">
        <f>SmtRes!DC202</f>
        <v>0</v>
      </c>
      <c r="R153">
        <f>ROUND(ROUND(Q153*Source!I592, 6)*1, 2)</f>
        <v>0</v>
      </c>
      <c r="S153">
        <f>SmtRes!AC202</f>
        <v>0</v>
      </c>
      <c r="T153">
        <f>ROUND(ROUND(Q153*Source!I592, 6)*SmtRes!AK202, 2)</f>
        <v>0</v>
      </c>
      <c r="U153">
        <v>3</v>
      </c>
      <c r="Z153">
        <f>SmtRes!X202</f>
        <v>445982593</v>
      </c>
      <c r="AA153">
        <v>1562852853</v>
      </c>
      <c r="AB153">
        <v>1562852853</v>
      </c>
    </row>
    <row r="154" spans="1:28" x14ac:dyDescent="0.2">
      <c r="A154">
        <v>20</v>
      </c>
      <c r="B154">
        <v>201</v>
      </c>
      <c r="C154">
        <v>2</v>
      </c>
      <c r="D154">
        <v>0</v>
      </c>
      <c r="E154">
        <f>SmtRes!AV201</f>
        <v>0</v>
      </c>
      <c r="F154" t="str">
        <f>SmtRes!I201</f>
        <v>22.1-17-23</v>
      </c>
      <c r="G154" t="str">
        <f>SmtRes!K201</f>
        <v>Газовые горелки</v>
      </c>
      <c r="H154" t="str">
        <f>SmtRes!O201</f>
        <v>маш.-ч</v>
      </c>
      <c r="I154">
        <f>SmtRes!Y201*Source!I592</f>
        <v>23.700000000000003</v>
      </c>
      <c r="J154">
        <f>SmtRes!AO201</f>
        <v>1</v>
      </c>
      <c r="K154">
        <f>SmtRes!AF201</f>
        <v>9.56</v>
      </c>
      <c r="L154">
        <f>SmtRes!DB201</f>
        <v>75.52</v>
      </c>
      <c r="M154">
        <f>ROUND(ROUND(L154*Source!I592, 6)*1, 2)</f>
        <v>226.56</v>
      </c>
      <c r="N154">
        <f>SmtRes!AB201</f>
        <v>9.56</v>
      </c>
      <c r="O154">
        <f>ROUND(ROUND(L154*Source!I592, 6)*SmtRes!DA201, 2)</f>
        <v>226.56</v>
      </c>
      <c r="P154">
        <f>SmtRes!AG201</f>
        <v>5.82</v>
      </c>
      <c r="Q154">
        <f>SmtRes!DC201</f>
        <v>45.98</v>
      </c>
      <c r="R154">
        <f>ROUND(ROUND(Q154*Source!I592, 6)*1, 2)</f>
        <v>137.94</v>
      </c>
      <c r="S154">
        <f>SmtRes!AC201</f>
        <v>5.82</v>
      </c>
      <c r="T154">
        <f>ROUND(ROUND(Q154*Source!I592, 6)*SmtRes!AK201, 2)</f>
        <v>137.94</v>
      </c>
      <c r="U154">
        <v>2</v>
      </c>
      <c r="Z154">
        <f>SmtRes!X201</f>
        <v>-983302307</v>
      </c>
      <c r="AA154">
        <v>932182157</v>
      </c>
      <c r="AB154">
        <v>932182157</v>
      </c>
    </row>
    <row r="155" spans="1:28" x14ac:dyDescent="0.2">
      <c r="A155">
        <v>20</v>
      </c>
      <c r="B155">
        <v>200</v>
      </c>
      <c r="C155">
        <v>2</v>
      </c>
      <c r="D155">
        <v>0</v>
      </c>
      <c r="E155">
        <f>SmtRes!AV200</f>
        <v>0</v>
      </c>
      <c r="F155" t="str">
        <f>SmtRes!I200</f>
        <v>22.1-17-22</v>
      </c>
      <c r="G155" t="str">
        <f>SmtRes!K200</f>
        <v>Агрегаты "Пламя"</v>
      </c>
      <c r="H155" t="str">
        <f>SmtRes!O200</f>
        <v>маш.-ч</v>
      </c>
      <c r="I155">
        <f>SmtRes!Y200*Source!I592</f>
        <v>10.86</v>
      </c>
      <c r="J155">
        <f>SmtRes!AO200</f>
        <v>1</v>
      </c>
      <c r="K155">
        <f>SmtRes!AF200</f>
        <v>76.53</v>
      </c>
      <c r="L155">
        <f>SmtRes!DB200</f>
        <v>277.04000000000002</v>
      </c>
      <c r="M155">
        <f>ROUND(ROUND(L155*Source!I592, 6)*1, 2)</f>
        <v>831.12</v>
      </c>
      <c r="N155">
        <f>SmtRes!AB200</f>
        <v>76.53</v>
      </c>
      <c r="O155">
        <f>ROUND(ROUND(L155*Source!I592, 6)*SmtRes!DA200, 2)</f>
        <v>831.12</v>
      </c>
      <c r="P155">
        <f>SmtRes!AG200</f>
        <v>0.12</v>
      </c>
      <c r="Q155">
        <f>SmtRes!DC200</f>
        <v>0.43</v>
      </c>
      <c r="R155">
        <f>ROUND(ROUND(Q155*Source!I592, 6)*1, 2)</f>
        <v>1.29</v>
      </c>
      <c r="S155">
        <f>SmtRes!AC200</f>
        <v>0.12</v>
      </c>
      <c r="T155">
        <f>ROUND(ROUND(Q155*Source!I592, 6)*SmtRes!AK200, 2)</f>
        <v>1.29</v>
      </c>
      <c r="U155">
        <v>2</v>
      </c>
      <c r="Z155">
        <f>SmtRes!X200</f>
        <v>1548580198</v>
      </c>
      <c r="AA155">
        <v>-299720598</v>
      </c>
      <c r="AB155">
        <v>-299720598</v>
      </c>
    </row>
    <row r="156" spans="1:28" x14ac:dyDescent="0.2">
      <c r="A156">
        <v>20</v>
      </c>
      <c r="B156">
        <v>199</v>
      </c>
      <c r="C156">
        <v>2</v>
      </c>
      <c r="D156">
        <v>0</v>
      </c>
      <c r="E156">
        <f>SmtRes!AV199</f>
        <v>0</v>
      </c>
      <c r="F156" t="str">
        <f>SmtRes!I199</f>
        <v>22.1-14-13</v>
      </c>
      <c r="G156" t="str">
        <f>SmtRes!K199</f>
        <v>Пылесосы, потребляемая мощность 350-1200 Вт</v>
      </c>
      <c r="H156" t="str">
        <f>SmtRes!O199</f>
        <v>маш.-ч</v>
      </c>
      <c r="I156">
        <f>SmtRes!Y199*Source!I592</f>
        <v>13.559999999999999</v>
      </c>
      <c r="J156">
        <f>SmtRes!AO199</f>
        <v>1</v>
      </c>
      <c r="K156">
        <f>SmtRes!AF199</f>
        <v>56.19</v>
      </c>
      <c r="L156">
        <f>SmtRes!DB199</f>
        <v>253.98</v>
      </c>
      <c r="M156">
        <f>ROUND(ROUND(L156*Source!I592, 6)*1, 2)</f>
        <v>761.94</v>
      </c>
      <c r="N156">
        <f>SmtRes!AB199</f>
        <v>56.19</v>
      </c>
      <c r="O156">
        <f>ROUND(ROUND(L156*Source!I592, 6)*SmtRes!DA199, 2)</f>
        <v>761.94</v>
      </c>
      <c r="P156">
        <f>SmtRes!AG199</f>
        <v>0.31</v>
      </c>
      <c r="Q156">
        <f>SmtRes!DC199</f>
        <v>1.4</v>
      </c>
      <c r="R156">
        <f>ROUND(ROUND(Q156*Source!I592, 6)*1, 2)</f>
        <v>4.2</v>
      </c>
      <c r="S156">
        <f>SmtRes!AC199</f>
        <v>0.31</v>
      </c>
      <c r="T156">
        <f>ROUND(ROUND(Q156*Source!I592, 6)*SmtRes!AK199, 2)</f>
        <v>4.2</v>
      </c>
      <c r="U156">
        <v>2</v>
      </c>
      <c r="Z156">
        <f>SmtRes!X199</f>
        <v>64700738</v>
      </c>
      <c r="AA156">
        <v>1115396703</v>
      </c>
      <c r="AB156">
        <v>1115396703</v>
      </c>
    </row>
    <row r="157" spans="1:28" x14ac:dyDescent="0.2">
      <c r="A157">
        <v>20</v>
      </c>
      <c r="B157">
        <v>198</v>
      </c>
      <c r="C157">
        <v>2</v>
      </c>
      <c r="D157">
        <v>0</v>
      </c>
      <c r="E157">
        <f>SmtRes!AV198</f>
        <v>0</v>
      </c>
      <c r="F157" t="str">
        <f>SmtRes!I198</f>
        <v>22.1-10-5</v>
      </c>
      <c r="G157" t="str">
        <f>SmtRes!K198</f>
        <v>Компрессоры с дизельным двигателем прицепные до 5 м3/мин</v>
      </c>
      <c r="H157" t="str">
        <f>SmtRes!O198</f>
        <v>маш.-ч</v>
      </c>
      <c r="I157">
        <f>SmtRes!Y198*Source!I592</f>
        <v>13.559999999999999</v>
      </c>
      <c r="J157">
        <f>SmtRes!AO198</f>
        <v>1</v>
      </c>
      <c r="K157">
        <f>SmtRes!AF198</f>
        <v>1465.49</v>
      </c>
      <c r="L157">
        <f>SmtRes!DB198</f>
        <v>6624.01</v>
      </c>
      <c r="M157">
        <f>ROUND(ROUND(L157*Source!I592, 6)*1, 2)</f>
        <v>19872.03</v>
      </c>
      <c r="N157">
        <f>SmtRes!AB198</f>
        <v>1465.49</v>
      </c>
      <c r="O157">
        <f>ROUND(ROUND(L157*Source!I592, 6)*SmtRes!DA198, 2)</f>
        <v>19872.03</v>
      </c>
      <c r="P157">
        <f>SmtRes!AG198</f>
        <v>827.04</v>
      </c>
      <c r="Q157">
        <f>SmtRes!DC198</f>
        <v>3738.22</v>
      </c>
      <c r="R157">
        <f>ROUND(ROUND(Q157*Source!I592, 6)*1, 2)</f>
        <v>11214.66</v>
      </c>
      <c r="S157">
        <f>SmtRes!AC198</f>
        <v>827.04</v>
      </c>
      <c r="T157">
        <f>ROUND(ROUND(Q157*Source!I592, 6)*SmtRes!AK198, 2)</f>
        <v>11214.66</v>
      </c>
      <c r="U157">
        <v>2</v>
      </c>
      <c r="Z157">
        <f>SmtRes!X198</f>
        <v>-829216341</v>
      </c>
      <c r="AA157">
        <v>1126194205</v>
      </c>
      <c r="AB157">
        <v>1126194205</v>
      </c>
    </row>
    <row r="158" spans="1:28" x14ac:dyDescent="0.2">
      <c r="A158">
        <f>Source!A593</f>
        <v>18</v>
      </c>
      <c r="B158">
        <v>593</v>
      </c>
      <c r="C158">
        <v>3</v>
      </c>
      <c r="D158">
        <f>Source!BI593</f>
        <v>4</v>
      </c>
      <c r="E158">
        <f>Source!FS593</f>
        <v>0</v>
      </c>
      <c r="F158" t="str">
        <f>Source!F593</f>
        <v>21.1-3-49</v>
      </c>
      <c r="G158" t="str">
        <f>Source!G593</f>
        <v>Материал рулонный кровельный, Филизол, марка "В"</v>
      </c>
      <c r="H158" t="str">
        <f>Source!H593</f>
        <v>м2</v>
      </c>
      <c r="I158">
        <f>Source!I593</f>
        <v>405</v>
      </c>
      <c r="J158">
        <v>1</v>
      </c>
      <c r="K158">
        <f>Source!AC593</f>
        <v>315.89</v>
      </c>
      <c r="M158">
        <f>ROUND(K158*I158, 2)</f>
        <v>127935.45</v>
      </c>
      <c r="N158">
        <f>Source!AC593*IF(Source!BC593&lt;&gt; 0, Source!BC593, 1)</f>
        <v>315.89</v>
      </c>
      <c r="O158">
        <f>ROUND(N158*I158, 2)</f>
        <v>127935.45</v>
      </c>
      <c r="P158">
        <f>Source!AE593</f>
        <v>0</v>
      </c>
      <c r="R158">
        <f>ROUND(P158*I158, 2)</f>
        <v>0</v>
      </c>
      <c r="S158">
        <f>Source!AE593*IF(Source!BS593&lt;&gt; 0, Source!BS593, 1)</f>
        <v>0</v>
      </c>
      <c r="T158">
        <f>ROUND(S158*I158, 2)</f>
        <v>0</v>
      </c>
      <c r="U158">
        <v>3</v>
      </c>
      <c r="Z158">
        <f>Source!GF593</f>
        <v>1660649221</v>
      </c>
      <c r="AA158">
        <v>-2028944508</v>
      </c>
      <c r="AB158">
        <v>-2028944508</v>
      </c>
    </row>
    <row r="159" spans="1:28" x14ac:dyDescent="0.2">
      <c r="A159">
        <f>Source!A626</f>
        <v>4</v>
      </c>
      <c r="B159">
        <v>626</v>
      </c>
      <c r="G159" t="str">
        <f>Source!G626</f>
        <v>Мусор</v>
      </c>
    </row>
    <row r="160" spans="1:28" x14ac:dyDescent="0.2">
      <c r="A160">
        <v>20</v>
      </c>
      <c r="B160">
        <v>206</v>
      </c>
      <c r="C160">
        <v>2</v>
      </c>
      <c r="D160">
        <v>0</v>
      </c>
      <c r="E160">
        <f>SmtRes!AV206</f>
        <v>0</v>
      </c>
      <c r="F160" t="str">
        <f>SmtRes!I206</f>
        <v>22.1-1-5</v>
      </c>
      <c r="G160" t="str">
        <f>SmtRes!K206</f>
        <v>Экскаваторы на гусеничном ходу гидравлические, объем ковша до 0,65 м3</v>
      </c>
      <c r="H160" t="str">
        <f>SmtRes!O206</f>
        <v>маш.-ч</v>
      </c>
      <c r="I160">
        <f>SmtRes!Y206*Source!I630</f>
        <v>3.4636500000000001E-2</v>
      </c>
      <c r="J160">
        <f>SmtRes!AO206</f>
        <v>1</v>
      </c>
      <c r="K160">
        <f>SmtRes!AF206</f>
        <v>2195.02</v>
      </c>
      <c r="L160">
        <f>SmtRes!DB206</f>
        <v>117.87</v>
      </c>
      <c r="M160">
        <f>ROUND(ROUND(L160*Source!I630, 6)*1, 2)</f>
        <v>76.03</v>
      </c>
      <c r="N160">
        <f>SmtRes!AB206</f>
        <v>2195.02</v>
      </c>
      <c r="O160">
        <f>ROUND(ROUND(L160*Source!I630, 6)*SmtRes!DA206, 2)</f>
        <v>76.03</v>
      </c>
      <c r="P160">
        <f>SmtRes!AG206</f>
        <v>940.44</v>
      </c>
      <c r="Q160">
        <f>SmtRes!DC206</f>
        <v>50.5</v>
      </c>
      <c r="R160">
        <f>ROUND(ROUND(Q160*Source!I630, 6)*1, 2)</f>
        <v>32.57</v>
      </c>
      <c r="S160">
        <f>SmtRes!AC206</f>
        <v>940.44</v>
      </c>
      <c r="T160">
        <f>ROUND(ROUND(Q160*Source!I630, 6)*SmtRes!AK206, 2)</f>
        <v>32.57</v>
      </c>
      <c r="U160">
        <v>2</v>
      </c>
      <c r="Z160">
        <f>SmtRes!X206</f>
        <v>-1415669716</v>
      </c>
      <c r="AA160">
        <v>-355280745</v>
      </c>
      <c r="AB160">
        <v>-355280745</v>
      </c>
    </row>
    <row r="161" spans="1:28" x14ac:dyDescent="0.2">
      <c r="A161">
        <v>20</v>
      </c>
      <c r="B161">
        <v>208</v>
      </c>
      <c r="C161">
        <v>2</v>
      </c>
      <c r="D161">
        <v>0</v>
      </c>
      <c r="E161">
        <f>SmtRes!AV208</f>
        <v>0</v>
      </c>
      <c r="F161" t="str">
        <f>SmtRes!I208</f>
        <v>22.1-18-13</v>
      </c>
      <c r="G161" t="str">
        <f>SmtRes!K208</f>
        <v>Автомобили-самосвалы, грузоподъемность до 10 т</v>
      </c>
      <c r="H161" t="str">
        <f>SmtRes!O208</f>
        <v>маш.-ч</v>
      </c>
      <c r="I161">
        <f>SmtRes!Y208*Source!I631</f>
        <v>1.1609999999999999E-2</v>
      </c>
      <c r="J161">
        <f>SmtRes!AO208</f>
        <v>1</v>
      </c>
      <c r="K161">
        <f>SmtRes!AF208</f>
        <v>1566.41</v>
      </c>
      <c r="L161">
        <f>SmtRes!DB208</f>
        <v>28.2</v>
      </c>
      <c r="M161">
        <f>ROUND(ROUND(L161*Source!I631, 6)*1, 2)</f>
        <v>18.190000000000001</v>
      </c>
      <c r="N161">
        <f>SmtRes!AB208</f>
        <v>1566.41</v>
      </c>
      <c r="O161">
        <f>ROUND(ROUND(L161*Source!I631, 6)*SmtRes!DA208, 2)</f>
        <v>18.190000000000001</v>
      </c>
      <c r="P161">
        <f>SmtRes!AG208</f>
        <v>619.79</v>
      </c>
      <c r="Q161">
        <f>SmtRes!DC208</f>
        <v>11.16</v>
      </c>
      <c r="R161">
        <f>ROUND(ROUND(Q161*Source!I631, 6)*1, 2)</f>
        <v>7.2</v>
      </c>
      <c r="S161">
        <f>SmtRes!AC208</f>
        <v>619.79</v>
      </c>
      <c r="T161">
        <f>ROUND(ROUND(Q161*Source!I631, 6)*SmtRes!AK208, 2)</f>
        <v>7.2</v>
      </c>
      <c r="U161">
        <v>2</v>
      </c>
      <c r="Z161">
        <f>SmtRes!X208</f>
        <v>822486257</v>
      </c>
      <c r="AA161">
        <v>1779266029</v>
      </c>
      <c r="AB161">
        <v>1779266029</v>
      </c>
    </row>
    <row r="162" spans="1:28" x14ac:dyDescent="0.2">
      <c r="A162">
        <v>20</v>
      </c>
      <c r="B162">
        <v>207</v>
      </c>
      <c r="C162">
        <v>2</v>
      </c>
      <c r="D162">
        <v>0</v>
      </c>
      <c r="E162">
        <f>SmtRes!AV207</f>
        <v>0</v>
      </c>
      <c r="F162" t="str">
        <f>SmtRes!I207</f>
        <v>22.1-18-12</v>
      </c>
      <c r="G162" t="str">
        <f>SmtRes!K207</f>
        <v>Автомобили-самосвалы, грузоподъемность до 7 т</v>
      </c>
      <c r="H162" t="str">
        <f>SmtRes!O207</f>
        <v>маш.-ч</v>
      </c>
      <c r="I162">
        <f>SmtRes!Y207*Source!I631</f>
        <v>1.29E-2</v>
      </c>
      <c r="J162">
        <f>SmtRes!AO207</f>
        <v>1</v>
      </c>
      <c r="K162">
        <f>SmtRes!AF207</f>
        <v>1552.57</v>
      </c>
      <c r="L162">
        <f>SmtRes!DB207</f>
        <v>31.05</v>
      </c>
      <c r="M162">
        <f>ROUND(ROUND(L162*Source!I631, 6)*1, 2)</f>
        <v>20.03</v>
      </c>
      <c r="N162">
        <f>SmtRes!AB207</f>
        <v>1552.57</v>
      </c>
      <c r="O162">
        <f>ROUND(ROUND(L162*Source!I631, 6)*SmtRes!DA207, 2)</f>
        <v>20.03</v>
      </c>
      <c r="P162">
        <f>SmtRes!AG207</f>
        <v>619.16</v>
      </c>
      <c r="Q162">
        <f>SmtRes!DC207</f>
        <v>12.38</v>
      </c>
      <c r="R162">
        <f>ROUND(ROUND(Q162*Source!I631, 6)*1, 2)</f>
        <v>7.99</v>
      </c>
      <c r="S162">
        <f>SmtRes!AC207</f>
        <v>619.16</v>
      </c>
      <c r="T162">
        <f>ROUND(ROUND(Q162*Source!I631, 6)*SmtRes!AK207, 2)</f>
        <v>7.99</v>
      </c>
      <c r="U162">
        <v>2</v>
      </c>
      <c r="Z162">
        <f>SmtRes!X207</f>
        <v>9060937</v>
      </c>
      <c r="AA162">
        <v>406812087</v>
      </c>
      <c r="AB162">
        <v>406812087</v>
      </c>
    </row>
    <row r="163" spans="1:28" x14ac:dyDescent="0.2">
      <c r="A163">
        <v>20</v>
      </c>
      <c r="B163">
        <v>210</v>
      </c>
      <c r="C163">
        <v>2</v>
      </c>
      <c r="D163">
        <v>0</v>
      </c>
      <c r="E163">
        <f>SmtRes!AV210</f>
        <v>0</v>
      </c>
      <c r="F163" t="str">
        <f>SmtRes!I210</f>
        <v>22.1-18-13</v>
      </c>
      <c r="G163" t="str">
        <f>SmtRes!K210</f>
        <v>Автомобили-самосвалы, грузоподъемность до 10 т</v>
      </c>
      <c r="H163" t="str">
        <f>SmtRes!O210</f>
        <v>маш.-ч</v>
      </c>
      <c r="I163">
        <f>SmtRes!Y210*Source!I632</f>
        <v>0.24768000000000001</v>
      </c>
      <c r="J163">
        <f>SmtRes!AO210</f>
        <v>1</v>
      </c>
      <c r="K163">
        <f>SmtRes!AF210</f>
        <v>1566.41</v>
      </c>
      <c r="L163">
        <f>SmtRes!DB210</f>
        <v>601.44000000000005</v>
      </c>
      <c r="M163">
        <f>ROUND(ROUND(L163*Source!I632, 6)*1, 2)</f>
        <v>387.93</v>
      </c>
      <c r="N163">
        <f>SmtRes!AB210</f>
        <v>1566.41</v>
      </c>
      <c r="O163">
        <f>ROUND(ROUND(L163*Source!I632, 6)*SmtRes!DA210, 2)</f>
        <v>387.93</v>
      </c>
      <c r="P163">
        <f>SmtRes!AG210</f>
        <v>619.79</v>
      </c>
      <c r="Q163">
        <f>SmtRes!DC210</f>
        <v>238.08</v>
      </c>
      <c r="R163">
        <f>ROUND(ROUND(Q163*Source!I632, 6)*1, 2)</f>
        <v>153.56</v>
      </c>
      <c r="S163">
        <f>SmtRes!AC210</f>
        <v>619.79</v>
      </c>
      <c r="T163">
        <f>ROUND(ROUND(Q163*Source!I632, 6)*SmtRes!AK210, 2)</f>
        <v>153.56</v>
      </c>
      <c r="U163">
        <v>2</v>
      </c>
      <c r="Z163">
        <f>SmtRes!X210</f>
        <v>822486257</v>
      </c>
      <c r="AA163">
        <v>1779266029</v>
      </c>
      <c r="AB163">
        <v>1779266029</v>
      </c>
    </row>
    <row r="164" spans="1:28" x14ac:dyDescent="0.2">
      <c r="A164">
        <v>20</v>
      </c>
      <c r="B164">
        <v>209</v>
      </c>
      <c r="C164">
        <v>2</v>
      </c>
      <c r="D164">
        <v>0</v>
      </c>
      <c r="E164">
        <f>SmtRes!AV209</f>
        <v>0</v>
      </c>
      <c r="F164" t="str">
        <f>SmtRes!I209</f>
        <v>22.1-18-12</v>
      </c>
      <c r="G164" t="str">
        <f>SmtRes!K209</f>
        <v>Автомобили-самосвалы, грузоподъемность до 7 т</v>
      </c>
      <c r="H164" t="str">
        <f>SmtRes!O209</f>
        <v>маш.-ч</v>
      </c>
      <c r="I164">
        <f>SmtRes!Y209*Source!I632</f>
        <v>0.30959999999999999</v>
      </c>
      <c r="J164">
        <f>SmtRes!AO209</f>
        <v>1</v>
      </c>
      <c r="K164">
        <f>SmtRes!AF209</f>
        <v>1552.57</v>
      </c>
      <c r="L164">
        <f>SmtRes!DB209</f>
        <v>745.44</v>
      </c>
      <c r="M164">
        <f>ROUND(ROUND(L164*Source!I632, 6)*1, 2)</f>
        <v>480.81</v>
      </c>
      <c r="N164">
        <f>SmtRes!AB209</f>
        <v>1552.57</v>
      </c>
      <c r="O164">
        <f>ROUND(ROUND(L164*Source!I632, 6)*SmtRes!DA209, 2)</f>
        <v>480.81</v>
      </c>
      <c r="P164">
        <f>SmtRes!AG209</f>
        <v>619.16</v>
      </c>
      <c r="Q164">
        <f>SmtRes!DC209</f>
        <v>297.12</v>
      </c>
      <c r="R164">
        <f>ROUND(ROUND(Q164*Source!I632, 6)*1, 2)</f>
        <v>191.64</v>
      </c>
      <c r="S164">
        <f>SmtRes!AC209</f>
        <v>619.16</v>
      </c>
      <c r="T164">
        <f>ROUND(ROUND(Q164*Source!I632, 6)*SmtRes!AK209, 2)</f>
        <v>191.64</v>
      </c>
      <c r="U164">
        <v>2</v>
      </c>
      <c r="Z164">
        <f>SmtRes!X209</f>
        <v>9060937</v>
      </c>
      <c r="AA164">
        <v>406812087</v>
      </c>
      <c r="AB164">
        <v>406812087</v>
      </c>
    </row>
    <row r="165" spans="1:28" x14ac:dyDescent="0.2">
      <c r="A16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82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1" t="s">
        <v>602</v>
      </c>
      <c r="B2" s="72"/>
      <c r="C2" s="72"/>
      <c r="D2" s="72"/>
      <c r="E2" s="72"/>
      <c r="F2" s="72"/>
    </row>
    <row r="3" spans="1:17" ht="33" x14ac:dyDescent="0.2">
      <c r="A3" s="71" t="str">
        <f>CONCATENATE("Объект: ",IF(Source!G694&lt;&gt;"Новый объект", Source!G694, ""))</f>
        <v>Объект: ГБОУ Школа №1440. Крылатские холмы д. 15к1 (в ценах на 01.04.2025 г)</v>
      </c>
      <c r="B3" s="72"/>
      <c r="C3" s="72"/>
      <c r="D3" s="72"/>
      <c r="E3" s="72"/>
      <c r="F3" s="72"/>
      <c r="O3" s="45" t="s">
        <v>603</v>
      </c>
    </row>
    <row r="4" spans="1:17" x14ac:dyDescent="0.2">
      <c r="A4" s="59" t="s">
        <v>604</v>
      </c>
      <c r="B4" s="59" t="s">
        <v>605</v>
      </c>
      <c r="C4" s="59" t="s">
        <v>510</v>
      </c>
      <c r="D4" s="59" t="s">
        <v>606</v>
      </c>
      <c r="E4" s="74" t="s">
        <v>607</v>
      </c>
      <c r="F4" s="75"/>
    </row>
    <row r="5" spans="1:17" x14ac:dyDescent="0.2">
      <c r="A5" s="60"/>
      <c r="B5" s="60"/>
      <c r="C5" s="60"/>
      <c r="D5" s="60"/>
      <c r="E5" s="76"/>
      <c r="F5" s="77"/>
    </row>
    <row r="6" spans="1:17" ht="14.25" x14ac:dyDescent="0.2">
      <c r="A6" s="73"/>
      <c r="B6" s="73"/>
      <c r="C6" s="73"/>
      <c r="D6" s="73"/>
      <c r="E6" s="18" t="s">
        <v>608</v>
      </c>
      <c r="F6" s="18" t="s">
        <v>609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1" t="str">
        <f>CONCATENATE("Локальная смета: ",IF(Source!G22&lt;&gt;"Новая локальная смета", Source!G22, ""))</f>
        <v xml:space="preserve">Локальная смета: </v>
      </c>
      <c r="B8" s="72"/>
      <c r="C8" s="72"/>
      <c r="D8" s="72"/>
      <c r="E8" s="72"/>
      <c r="F8" s="72"/>
    </row>
    <row r="9" spans="1:17" ht="16.5" x14ac:dyDescent="0.2">
      <c r="A9" s="71" t="str">
        <f>CONCATENATE("Раздел: ",IF(Source!G26&lt;&gt;"Новый раздел", Source!G26, ""))</f>
        <v>Раздел: Второй этаж, кабинет № 216</v>
      </c>
      <c r="B9" s="72"/>
      <c r="C9" s="72"/>
      <c r="D9" s="72"/>
      <c r="E9" s="72"/>
      <c r="F9" s="72"/>
    </row>
    <row r="10" spans="1:17" ht="16.5" x14ac:dyDescent="0.2">
      <c r="A10" s="71" t="str">
        <f>CONCATENATE("Подраздел: ",IF(Source!G30&lt;&gt;"Новый подраздел", Source!G30, ""))</f>
        <v>Подраздел: Полы</v>
      </c>
      <c r="B10" s="72"/>
      <c r="C10" s="72"/>
      <c r="D10" s="72"/>
      <c r="E10" s="72"/>
      <c r="F10" s="72"/>
    </row>
    <row r="11" spans="1:17" ht="14.25" x14ac:dyDescent="0.2">
      <c r="A11" s="78" t="s">
        <v>610</v>
      </c>
      <c r="B11" s="79"/>
      <c r="C11" s="79"/>
      <c r="D11" s="79"/>
      <c r="E11" s="79"/>
      <c r="F11" s="79"/>
    </row>
    <row r="12" spans="1:17" ht="28.5" x14ac:dyDescent="0.2">
      <c r="A12" s="46" t="s">
        <v>341</v>
      </c>
      <c r="B12" s="38" t="s">
        <v>343</v>
      </c>
      <c r="C12" s="38" t="s">
        <v>338</v>
      </c>
      <c r="D12" s="39">
        <f>ROUND(SUMIF(RV_DATA!AA9:AA32, 1115396703, RV_DATA!I9:I32), 6)</f>
        <v>5.4080399999999997</v>
      </c>
      <c r="E12" s="47">
        <f>ROUND(RV_DATA!K17, 6)</f>
        <v>56.19</v>
      </c>
      <c r="F12" s="47">
        <f>ROUND(SUMIF(RV_DATA!AA9:AA32, 1115396703, RV_DATA!M9:M32), 6)</f>
        <v>303.88</v>
      </c>
      <c r="Q12">
        <v>2</v>
      </c>
    </row>
    <row r="13" spans="1:17" ht="14.25" x14ac:dyDescent="0.2">
      <c r="A13" s="46" t="s">
        <v>363</v>
      </c>
      <c r="B13" s="38" t="s">
        <v>365</v>
      </c>
      <c r="C13" s="38" t="s">
        <v>338</v>
      </c>
      <c r="D13" s="39">
        <f>ROUND(SUMIF(RV_DATA!AA9:AA32, 222818004, RV_DATA!I9:I32), 6)</f>
        <v>2.6366999999999998</v>
      </c>
      <c r="E13" s="47">
        <f>ROUND(RV_DATA!K23, 6)</f>
        <v>10.02</v>
      </c>
      <c r="F13" s="47">
        <f>ROUND(SUMIF(RV_DATA!AA9:AA32, 222818004, RV_DATA!M9:M32), 6)</f>
        <v>26.42</v>
      </c>
      <c r="Q13">
        <v>2</v>
      </c>
    </row>
    <row r="14" spans="1:17" ht="28.5" x14ac:dyDescent="0.2">
      <c r="A14" s="46" t="s">
        <v>384</v>
      </c>
      <c r="B14" s="38" t="s">
        <v>386</v>
      </c>
      <c r="C14" s="38" t="s">
        <v>338</v>
      </c>
      <c r="D14" s="39">
        <f>ROUND(SUMIF(RV_DATA!AA9:AA32, 1891803891, RV_DATA!I9:I32), 6)</f>
        <v>4.8239999999999998E-2</v>
      </c>
      <c r="E14" s="47">
        <f>ROUND(RV_DATA!K32, 6)</f>
        <v>6.13</v>
      </c>
      <c r="F14" s="47">
        <f>ROUND(SUMIF(RV_DATA!AA9:AA32, 1891803891, RV_DATA!M9:M32), 6)</f>
        <v>0.3</v>
      </c>
      <c r="Q14">
        <v>2</v>
      </c>
    </row>
    <row r="15" spans="1:17" ht="28.5" x14ac:dyDescent="0.2">
      <c r="A15" s="46" t="s">
        <v>344</v>
      </c>
      <c r="B15" s="38" t="s">
        <v>346</v>
      </c>
      <c r="C15" s="38" t="s">
        <v>338</v>
      </c>
      <c r="D15" s="39">
        <f>ROUND(SUMIF(RV_DATA!AA9:AA32, -1048187902, RV_DATA!I9:I32), 6)</f>
        <v>2.3281499999999999</v>
      </c>
      <c r="E15" s="47">
        <f>ROUND(RV_DATA!K16, 6)</f>
        <v>10.7</v>
      </c>
      <c r="F15" s="47">
        <f>ROUND(SUMIF(RV_DATA!AA9:AA32, -1048187902, RV_DATA!M9:M32), 6)</f>
        <v>24.91</v>
      </c>
      <c r="Q15">
        <v>2</v>
      </c>
    </row>
    <row r="16" spans="1:17" ht="14.25" x14ac:dyDescent="0.2">
      <c r="A16" s="46" t="s">
        <v>366</v>
      </c>
      <c r="B16" s="38" t="s">
        <v>368</v>
      </c>
      <c r="C16" s="38" t="s">
        <v>338</v>
      </c>
      <c r="D16" s="39">
        <f>ROUND(SUMIF(RV_DATA!AA9:AA32, 1804376768, RV_DATA!I9:I32), 6)</f>
        <v>0.84150000000000003</v>
      </c>
      <c r="E16" s="47">
        <f>ROUND(RV_DATA!K22, 6)</f>
        <v>3.57</v>
      </c>
      <c r="F16" s="47">
        <f>ROUND(SUMIF(RV_DATA!AA9:AA32, 1804376768, RV_DATA!M9:M32), 6)</f>
        <v>3.01</v>
      </c>
      <c r="Q16">
        <v>2</v>
      </c>
    </row>
    <row r="17" spans="1:17" ht="28.5" x14ac:dyDescent="0.2">
      <c r="A17" s="46" t="s">
        <v>387</v>
      </c>
      <c r="B17" s="38" t="s">
        <v>389</v>
      </c>
      <c r="C17" s="38" t="s">
        <v>338</v>
      </c>
      <c r="D17" s="39">
        <f>ROUND(SUMIF(RV_DATA!AA9:AA32, 1696645965, RV_DATA!I9:I32), 6)</f>
        <v>4.0499999999999998E-3</v>
      </c>
      <c r="E17" s="47">
        <f>ROUND(RV_DATA!K31, 6)</f>
        <v>6.09</v>
      </c>
      <c r="F17" s="47">
        <f>ROUND(SUMIF(RV_DATA!AA9:AA32, 1696645965, RV_DATA!M9:M32), 6)</f>
        <v>0.02</v>
      </c>
      <c r="Q17">
        <v>2</v>
      </c>
    </row>
    <row r="18" spans="1:17" ht="14.25" x14ac:dyDescent="0.2">
      <c r="A18" s="46" t="s">
        <v>335</v>
      </c>
      <c r="B18" s="38" t="s">
        <v>337</v>
      </c>
      <c r="C18" s="38" t="s">
        <v>338</v>
      </c>
      <c r="D18" s="39">
        <f>ROUND(SUMIF(RV_DATA!AA9:AA32, -1795244417, RV_DATA!I9:I32), 6)</f>
        <v>0.18468999999999999</v>
      </c>
      <c r="E18" s="47">
        <f>ROUND(RV_DATA!K9, 6)</f>
        <v>7.44</v>
      </c>
      <c r="F18" s="47">
        <f>ROUND(SUMIF(RV_DATA!AA9:AA32, -1795244417, RV_DATA!M9:M32), 6)</f>
        <v>1.38</v>
      </c>
      <c r="Q18">
        <v>2</v>
      </c>
    </row>
    <row r="19" spans="1:17" ht="42.75" x14ac:dyDescent="0.2">
      <c r="A19" s="46" t="s">
        <v>347</v>
      </c>
      <c r="B19" s="38" t="s">
        <v>349</v>
      </c>
      <c r="C19" s="38" t="s">
        <v>338</v>
      </c>
      <c r="D19" s="39">
        <f>ROUND(SUMIF(RV_DATA!AA9:AA32, -560972641, RV_DATA!I9:I32), 6)</f>
        <v>1.1220000000000001E-2</v>
      </c>
      <c r="E19" s="47">
        <f>ROUND(RV_DATA!K15, 6)</f>
        <v>1472.88</v>
      </c>
      <c r="F19" s="47">
        <f>ROUND(SUMIF(RV_DATA!AA9:AA32, -560972641, RV_DATA!M9:M32), 6)</f>
        <v>16.53</v>
      </c>
      <c r="Q19">
        <v>2</v>
      </c>
    </row>
    <row r="20" spans="1:17" ht="15" x14ac:dyDescent="0.25">
      <c r="A20" s="80" t="s">
        <v>611</v>
      </c>
      <c r="B20" s="80"/>
      <c r="C20" s="80"/>
      <c r="D20" s="80"/>
      <c r="E20" s="81">
        <f>SUMIF(Q12:Q19, 2, F12:F19)</f>
        <v>376.45000000000005</v>
      </c>
      <c r="F20" s="81"/>
    </row>
    <row r="21" spans="1:17" ht="14.25" x14ac:dyDescent="0.2">
      <c r="A21" s="78" t="s">
        <v>612</v>
      </c>
      <c r="B21" s="79"/>
      <c r="C21" s="79"/>
      <c r="D21" s="79"/>
      <c r="E21" s="79"/>
      <c r="F21" s="79"/>
    </row>
    <row r="22" spans="1:17" ht="28.5" x14ac:dyDescent="0.2">
      <c r="A22" s="46" t="s">
        <v>390</v>
      </c>
      <c r="B22" s="38" t="s">
        <v>392</v>
      </c>
      <c r="C22" s="38" t="s">
        <v>63</v>
      </c>
      <c r="D22" s="39">
        <f>ROUND(SUMIF(RV_DATA!AA9:AA32, -1846749560, RV_DATA!I9:I32), 6)</f>
        <v>8.4600000000000005E-3</v>
      </c>
      <c r="E22" s="47">
        <f>ROUND(RV_DATA!K29, 6)</f>
        <v>263.45</v>
      </c>
      <c r="F22" s="47">
        <f>ROUND(SUMIF(RV_DATA!AA9:AA32, -1846749560, RV_DATA!M9:M32), 6)</f>
        <v>2.23</v>
      </c>
      <c r="Q22">
        <v>3</v>
      </c>
    </row>
    <row r="23" spans="1:17" ht="14.25" x14ac:dyDescent="0.2">
      <c r="A23" s="46" t="s">
        <v>381</v>
      </c>
      <c r="B23" s="38" t="s">
        <v>383</v>
      </c>
      <c r="C23" s="38" t="s">
        <v>68</v>
      </c>
      <c r="D23" s="39">
        <f>ROUND(SUMIF(RV_DATA!AA9:AA32, 1916598461, RV_DATA!I9:I32), 6)</f>
        <v>1.3899999999999999E-4</v>
      </c>
      <c r="E23" s="47">
        <f>ROUND(RV_DATA!K25, 6)</f>
        <v>95976.83</v>
      </c>
      <c r="F23" s="47">
        <f>ROUND(SUMIF(RV_DATA!AA9:AA32, 1916598461, RV_DATA!M9:M32), 6)</f>
        <v>13.3</v>
      </c>
      <c r="Q23">
        <v>3</v>
      </c>
    </row>
    <row r="24" spans="1:17" ht="57" x14ac:dyDescent="0.2">
      <c r="A24" s="46" t="s">
        <v>369</v>
      </c>
      <c r="B24" s="38" t="s">
        <v>371</v>
      </c>
      <c r="C24" s="38" t="s">
        <v>63</v>
      </c>
      <c r="D24" s="39">
        <f>ROUND(SUMIF(RV_DATA!AA9:AA32, -1833135714, RV_DATA!I9:I32), 6)</f>
        <v>20.224049999999998</v>
      </c>
      <c r="E24" s="47">
        <f>ROUND(RV_DATA!K21, 6)</f>
        <v>221.14</v>
      </c>
      <c r="F24" s="47">
        <f>ROUND(SUMIF(RV_DATA!AA9:AA32, -1833135714, RV_DATA!M9:M32), 6)</f>
        <v>4472.3500000000004</v>
      </c>
      <c r="Q24">
        <v>3</v>
      </c>
    </row>
    <row r="25" spans="1:17" ht="14.25" x14ac:dyDescent="0.2">
      <c r="A25" s="46" t="s">
        <v>350</v>
      </c>
      <c r="B25" s="38" t="s">
        <v>352</v>
      </c>
      <c r="C25" s="38" t="s">
        <v>353</v>
      </c>
      <c r="D25" s="39">
        <f>ROUND(SUMIF(RV_DATA!AA9:AA32, 1405492101, RV_DATA!I9:I32), 6)</f>
        <v>0.16942199999999999</v>
      </c>
      <c r="E25" s="47">
        <f>ROUND(RV_DATA!K14, 6)</f>
        <v>49.83</v>
      </c>
      <c r="F25" s="47">
        <f>ROUND(SUMIF(RV_DATA!AA9:AA32, 1405492101, RV_DATA!M9:M32), 6)</f>
        <v>8.44</v>
      </c>
      <c r="Q25">
        <v>3</v>
      </c>
    </row>
    <row r="26" spans="1:17" ht="28.5" x14ac:dyDescent="0.2">
      <c r="A26" s="46" t="s">
        <v>354</v>
      </c>
      <c r="B26" s="38" t="s">
        <v>356</v>
      </c>
      <c r="C26" s="38" t="s">
        <v>132</v>
      </c>
      <c r="D26" s="39">
        <f>ROUND(SUMIF(RV_DATA!AA9:AA32, -745564717, RV_DATA!I9:I32), 6)</f>
        <v>5.61</v>
      </c>
      <c r="E26" s="47">
        <f>ROUND(RV_DATA!K13, 6)</f>
        <v>10.62</v>
      </c>
      <c r="F26" s="47">
        <f>ROUND(SUMIF(RV_DATA!AA9:AA32, -745564717, RV_DATA!M9:M32), 6)</f>
        <v>59.58</v>
      </c>
      <c r="Q26">
        <v>3</v>
      </c>
    </row>
    <row r="27" spans="1:17" ht="57" x14ac:dyDescent="0.2">
      <c r="A27" s="46" t="s">
        <v>372</v>
      </c>
      <c r="B27" s="38" t="s">
        <v>374</v>
      </c>
      <c r="C27" s="38" t="s">
        <v>132</v>
      </c>
      <c r="D27" s="39">
        <f>ROUND(SUMIF(RV_DATA!AA9:AA32, 1879435092, RV_DATA!I9:I32), 6)</f>
        <v>60.027000000000001</v>
      </c>
      <c r="E27" s="47">
        <f>ROUND(RV_DATA!K20, 6)</f>
        <v>1117.3499999999999</v>
      </c>
      <c r="F27" s="47">
        <f>ROUND(SUMIF(RV_DATA!AA9:AA32, 1879435092, RV_DATA!M9:M32), 6)</f>
        <v>67071.17</v>
      </c>
      <c r="Q27">
        <v>3</v>
      </c>
    </row>
    <row r="28" spans="1:17" ht="28.5" x14ac:dyDescent="0.2">
      <c r="A28" s="46" t="s">
        <v>375</v>
      </c>
      <c r="B28" s="38" t="s">
        <v>377</v>
      </c>
      <c r="C28" s="38" t="s">
        <v>49</v>
      </c>
      <c r="D28" s="39">
        <f>ROUND(SUMIF(RV_DATA!AA9:AA32, -2006813742, RV_DATA!I9:I32), 6)</f>
        <v>33.659999999999997</v>
      </c>
      <c r="E28" s="47">
        <f>ROUND(RV_DATA!K19, 6)</f>
        <v>57.6</v>
      </c>
      <c r="F28" s="47">
        <f>ROUND(SUMIF(RV_DATA!AA9:AA32, -2006813742, RV_DATA!M9:M32), 6)</f>
        <v>1938.82</v>
      </c>
      <c r="Q28">
        <v>3</v>
      </c>
    </row>
    <row r="29" spans="1:17" ht="42.75" x14ac:dyDescent="0.2">
      <c r="A29" s="46" t="s">
        <v>378</v>
      </c>
      <c r="B29" s="38" t="s">
        <v>380</v>
      </c>
      <c r="C29" s="38" t="s">
        <v>63</v>
      </c>
      <c r="D29" s="39">
        <f>ROUND(SUMIF(RV_DATA!AA9:AA32, 127690875, RV_DATA!I9:I32), 6)</f>
        <v>5.7782999999999998</v>
      </c>
      <c r="E29" s="47">
        <f>ROUND(RV_DATA!K18, 6)</f>
        <v>138.59</v>
      </c>
      <c r="F29" s="47">
        <f>ROUND(SUMIF(RV_DATA!AA9:AA32, 127690875, RV_DATA!M9:M32), 6)</f>
        <v>800.82</v>
      </c>
      <c r="Q29">
        <v>3</v>
      </c>
    </row>
    <row r="30" spans="1:17" ht="42.75" x14ac:dyDescent="0.2">
      <c r="A30" s="46" t="s">
        <v>357</v>
      </c>
      <c r="B30" s="38" t="s">
        <v>359</v>
      </c>
      <c r="C30" s="38" t="s">
        <v>63</v>
      </c>
      <c r="D30" s="39">
        <f>ROUND(SUMIF(RV_DATA!AA9:AA32, 1664722683, RV_DATA!I9:I32), 6)</f>
        <v>11.22</v>
      </c>
      <c r="E30" s="47">
        <f>ROUND(RV_DATA!K12, 6)</f>
        <v>915.75</v>
      </c>
      <c r="F30" s="47">
        <f>ROUND(SUMIF(RV_DATA!AA9:AA32, 1664722683, RV_DATA!M9:M32), 6)</f>
        <v>10274.719999999999</v>
      </c>
      <c r="Q30">
        <v>3</v>
      </c>
    </row>
    <row r="31" spans="1:17" ht="14.25" x14ac:dyDescent="0.2">
      <c r="A31" s="46" t="s">
        <v>61</v>
      </c>
      <c r="B31" s="38" t="s">
        <v>62</v>
      </c>
      <c r="C31" s="38" t="s">
        <v>63</v>
      </c>
      <c r="D31" s="39">
        <f>ROUND(SUMIF(RV_DATA!AA9:AA32, -1601762150, RV_DATA!I9:I32), 6)</f>
        <v>0.4</v>
      </c>
      <c r="E31" s="47">
        <f>ROUND(RV_DATA!K27, 6)</f>
        <v>309.42</v>
      </c>
      <c r="F31" s="47">
        <f>ROUND(SUMIF(RV_DATA!AA9:AA32, -1601762150, RV_DATA!M9:M32), 6)</f>
        <v>123.77</v>
      </c>
      <c r="Q31">
        <v>3</v>
      </c>
    </row>
    <row r="32" spans="1:17" ht="57" x14ac:dyDescent="0.2">
      <c r="A32" s="46" t="s">
        <v>360</v>
      </c>
      <c r="B32" s="38" t="s">
        <v>362</v>
      </c>
      <c r="C32" s="38" t="s">
        <v>68</v>
      </c>
      <c r="D32" s="39">
        <f>ROUND(SUMIF(RV_DATA!AA9:AA32, -2002525921, RV_DATA!I9:I32), 6)</f>
        <v>0.472362</v>
      </c>
      <c r="E32" s="47">
        <f>ROUND(RV_DATA!K11, 6)</f>
        <v>37996.660000000003</v>
      </c>
      <c r="F32" s="47">
        <f>ROUND(SUMIF(RV_DATA!AA9:AA32, -2002525921, RV_DATA!M9:M32), 6)</f>
        <v>17948.18</v>
      </c>
      <c r="Q32">
        <v>3</v>
      </c>
    </row>
    <row r="33" spans="1:17" ht="28.5" x14ac:dyDescent="0.2">
      <c r="A33" s="46" t="s">
        <v>393</v>
      </c>
      <c r="B33" s="38" t="s">
        <v>395</v>
      </c>
      <c r="C33" s="38" t="s">
        <v>49</v>
      </c>
      <c r="D33" s="39">
        <f>ROUND(SUMIF(RV_DATA!AA9:AA32, 1256870118, RV_DATA!I9:I32), 6)</f>
        <v>0.94499999999999995</v>
      </c>
      <c r="E33" s="47">
        <f>ROUND(RV_DATA!K28, 6)</f>
        <v>154.56</v>
      </c>
      <c r="F33" s="47">
        <f>ROUND(SUMIF(RV_DATA!AA9:AA32, 1256870118, RV_DATA!M9:M32), 6)</f>
        <v>146.06</v>
      </c>
      <c r="Q33">
        <v>3</v>
      </c>
    </row>
    <row r="34" spans="1:17" ht="42.75" x14ac:dyDescent="0.2">
      <c r="A34" s="46" t="s">
        <v>47</v>
      </c>
      <c r="B34" s="38" t="s">
        <v>48</v>
      </c>
      <c r="C34" s="38" t="s">
        <v>49</v>
      </c>
      <c r="D34" s="39">
        <f>ROUND(SUMIF(RV_DATA!AA9:AA32, 816279899, RV_DATA!I9:I32), 6)</f>
        <v>34.65</v>
      </c>
      <c r="E34" s="47">
        <f>ROUND(RV_DATA!K26, 6)</f>
        <v>87.13</v>
      </c>
      <c r="F34" s="47">
        <f>ROUND(SUMIF(RV_DATA!AA9:AA32, 816279899, RV_DATA!M9:M32), 6)</f>
        <v>3019.05</v>
      </c>
      <c r="Q34">
        <v>3</v>
      </c>
    </row>
    <row r="35" spans="1:17" ht="15" x14ac:dyDescent="0.25">
      <c r="A35" s="80" t="s">
        <v>613</v>
      </c>
      <c r="B35" s="80"/>
      <c r="C35" s="80"/>
      <c r="D35" s="80"/>
      <c r="E35" s="81">
        <f>SUMIF(Q22:Q34, 3, F22:F34)</f>
        <v>105878.49</v>
      </c>
      <c r="F35" s="81"/>
    </row>
    <row r="36" spans="1:17" ht="16.5" x14ac:dyDescent="0.2">
      <c r="A36" s="71" t="str">
        <f>CONCATENATE("Подраздел: ",IF(Source!G77&lt;&gt;"Новый подраздел", Source!G77, ""))</f>
        <v>Подраздел: Стены</v>
      </c>
      <c r="B36" s="72"/>
      <c r="C36" s="72"/>
      <c r="D36" s="72"/>
      <c r="E36" s="72"/>
      <c r="F36" s="72"/>
    </row>
    <row r="37" spans="1:17" ht="14.25" x14ac:dyDescent="0.2">
      <c r="A37" s="78" t="s">
        <v>610</v>
      </c>
      <c r="B37" s="79"/>
      <c r="C37" s="79"/>
      <c r="D37" s="79"/>
      <c r="E37" s="79"/>
      <c r="F37" s="79"/>
    </row>
    <row r="38" spans="1:17" ht="14.25" x14ac:dyDescent="0.2">
      <c r="A38" s="46" t="s">
        <v>335</v>
      </c>
      <c r="B38" s="38" t="s">
        <v>337</v>
      </c>
      <c r="C38" s="38" t="s">
        <v>338</v>
      </c>
      <c r="D38" s="39">
        <f>ROUND(SUMIF(RV_DATA!AA34:AA41, -1795244417, RV_DATA!I34:I41), 6)</f>
        <v>0.24</v>
      </c>
      <c r="E38" s="47">
        <f>ROUND(RV_DATA!K34, 6)</f>
        <v>7.44</v>
      </c>
      <c r="F38" s="47">
        <f>ROUND(SUMIF(RV_DATA!AA34:AA41, -1795244417, RV_DATA!M34:M41), 6)</f>
        <v>1.8</v>
      </c>
      <c r="Q38">
        <v>2</v>
      </c>
    </row>
    <row r="39" spans="1:17" ht="15" x14ac:dyDescent="0.25">
      <c r="A39" s="80" t="s">
        <v>611</v>
      </c>
      <c r="B39" s="80"/>
      <c r="C39" s="80"/>
      <c r="D39" s="80"/>
      <c r="E39" s="81">
        <f>SUMIF(Q38:Q38, 2, F38:F38)</f>
        <v>1.8</v>
      </c>
      <c r="F39" s="81"/>
    </row>
    <row r="40" spans="1:17" ht="14.25" x14ac:dyDescent="0.2">
      <c r="A40" s="78" t="s">
        <v>612</v>
      </c>
      <c r="B40" s="79"/>
      <c r="C40" s="79"/>
      <c r="D40" s="79"/>
      <c r="E40" s="79"/>
      <c r="F40" s="79"/>
    </row>
    <row r="41" spans="1:17" ht="14.25" x14ac:dyDescent="0.2">
      <c r="A41" s="46" t="s">
        <v>403</v>
      </c>
      <c r="B41" s="38" t="s">
        <v>405</v>
      </c>
      <c r="C41" s="38" t="s">
        <v>63</v>
      </c>
      <c r="D41" s="39">
        <f>ROUND(SUMIF(RV_DATA!AA34:AA41, 777677002, RV_DATA!I34:I41), 6)</f>
        <v>0.23219000000000001</v>
      </c>
      <c r="E41" s="47">
        <f>ROUND(RV_DATA!K40, 6)</f>
        <v>26.09</v>
      </c>
      <c r="F41" s="47">
        <f>ROUND(SUMIF(RV_DATA!AA34:AA41, 777677002, RV_DATA!M34:M41), 6)</f>
        <v>6.06</v>
      </c>
      <c r="Q41">
        <v>3</v>
      </c>
    </row>
    <row r="42" spans="1:17" ht="14.25" x14ac:dyDescent="0.2">
      <c r="A42" s="46" t="s">
        <v>350</v>
      </c>
      <c r="B42" s="38" t="s">
        <v>352</v>
      </c>
      <c r="C42" s="38" t="s">
        <v>353</v>
      </c>
      <c r="D42" s="39">
        <f>ROUND(SUMIF(RV_DATA!AA34:AA41, 1405492101, RV_DATA!I34:I41), 6)</f>
        <v>4.4939999999999997E-3</v>
      </c>
      <c r="E42" s="47">
        <f>ROUND(RV_DATA!K39, 6)</f>
        <v>49.83</v>
      </c>
      <c r="F42" s="47">
        <f>ROUND(SUMIF(RV_DATA!AA34:AA41, 1405492101, RV_DATA!M34:M41), 6)</f>
        <v>0.22</v>
      </c>
      <c r="Q42">
        <v>3</v>
      </c>
    </row>
    <row r="43" spans="1:17" ht="28.5" x14ac:dyDescent="0.2">
      <c r="A43" s="46" t="s">
        <v>406</v>
      </c>
      <c r="B43" s="38" t="s">
        <v>408</v>
      </c>
      <c r="C43" s="38" t="s">
        <v>132</v>
      </c>
      <c r="D43" s="39">
        <f>ROUND(SUMIF(RV_DATA!AA34:AA41, 1781192509, RV_DATA!I34:I41), 6)</f>
        <v>0.59919999999999995</v>
      </c>
      <c r="E43" s="47">
        <f>ROUND(RV_DATA!K38, 6)</f>
        <v>338.51</v>
      </c>
      <c r="F43" s="47">
        <f>ROUND(SUMIF(RV_DATA!AA34:AA41, 1781192509, RV_DATA!M34:M41), 6)</f>
        <v>202.84</v>
      </c>
      <c r="Q43">
        <v>3</v>
      </c>
    </row>
    <row r="44" spans="1:17" ht="28.5" x14ac:dyDescent="0.2">
      <c r="A44" s="46" t="s">
        <v>409</v>
      </c>
      <c r="B44" s="38" t="s">
        <v>411</v>
      </c>
      <c r="C44" s="38" t="s">
        <v>68</v>
      </c>
      <c r="D44" s="39">
        <f>ROUND(SUMIF(RV_DATA!AA34:AA41, 358603207, RV_DATA!I34:I41), 6)</f>
        <v>3.8198999999999997E-2</v>
      </c>
      <c r="E44" s="47">
        <f>ROUND(RV_DATA!K37, 6)</f>
        <v>76204.789999999994</v>
      </c>
      <c r="F44" s="47">
        <f>ROUND(SUMIF(RV_DATA!AA34:AA41, 358603207, RV_DATA!M34:M41), 6)</f>
        <v>2910.94</v>
      </c>
      <c r="Q44">
        <v>3</v>
      </c>
    </row>
    <row r="45" spans="1:17" ht="28.5" x14ac:dyDescent="0.2">
      <c r="A45" s="46" t="s">
        <v>146</v>
      </c>
      <c r="B45" s="38" t="s">
        <v>147</v>
      </c>
      <c r="C45" s="38" t="s">
        <v>68</v>
      </c>
      <c r="D45" s="39">
        <f>ROUND(SUMIF(RV_DATA!AA34:AA41, 1057484904, RV_DATA!I34:I41), 6)</f>
        <v>1.273E-3</v>
      </c>
      <c r="E45" s="47">
        <f>ROUND(RV_DATA!K41, 6)</f>
        <v>198992.34</v>
      </c>
      <c r="F45" s="47">
        <f>ROUND(SUMIF(RV_DATA!AA34:AA41, 1057484904, RV_DATA!M34:M41), 6)</f>
        <v>253.32</v>
      </c>
      <c r="Q45">
        <v>3</v>
      </c>
    </row>
    <row r="46" spans="1:17" ht="57" x14ac:dyDescent="0.2">
      <c r="A46" s="46" t="s">
        <v>412</v>
      </c>
      <c r="B46" s="38" t="s">
        <v>414</v>
      </c>
      <c r="C46" s="38" t="s">
        <v>63</v>
      </c>
      <c r="D46" s="39">
        <f>ROUND(SUMIF(RV_DATA!AA34:AA41, 1845104999, RV_DATA!I34:I41), 6)</f>
        <v>18.125800000000002</v>
      </c>
      <c r="E46" s="47">
        <f>ROUND(RV_DATA!K36, 6)</f>
        <v>215.72</v>
      </c>
      <c r="F46" s="47">
        <f>ROUND(SUMIF(RV_DATA!AA34:AA41, 1845104999, RV_DATA!M34:M41), 6)</f>
        <v>3910.09</v>
      </c>
      <c r="Q46">
        <v>3</v>
      </c>
    </row>
    <row r="47" spans="1:17" ht="57" x14ac:dyDescent="0.2">
      <c r="A47" s="46" t="s">
        <v>415</v>
      </c>
      <c r="B47" s="38" t="s">
        <v>417</v>
      </c>
      <c r="C47" s="38" t="s">
        <v>63</v>
      </c>
      <c r="D47" s="39">
        <f>ROUND(SUMIF(RV_DATA!AA34:AA41, -172959861, RV_DATA!I34:I41), 6)</f>
        <v>7.7896000000000001</v>
      </c>
      <c r="E47" s="47">
        <f>ROUND(RV_DATA!K35, 6)</f>
        <v>80.599999999999994</v>
      </c>
      <c r="F47" s="47">
        <f>ROUND(SUMIF(RV_DATA!AA34:AA41, -172959861, RV_DATA!M34:M41), 6)</f>
        <v>627.84</v>
      </c>
      <c r="Q47">
        <v>3</v>
      </c>
    </row>
    <row r="48" spans="1:17" ht="15" x14ac:dyDescent="0.25">
      <c r="A48" s="80" t="s">
        <v>613</v>
      </c>
      <c r="B48" s="80"/>
      <c r="C48" s="80"/>
      <c r="D48" s="80"/>
      <c r="E48" s="81">
        <f>SUMIF(Q41:Q47, 3, F41:F47)</f>
        <v>7911.31</v>
      </c>
      <c r="F48" s="81"/>
    </row>
    <row r="49" spans="1:17" ht="16.5" x14ac:dyDescent="0.2">
      <c r="A49" s="71" t="str">
        <f>CONCATENATE("Подраздел: ",IF(Source!G117&lt;&gt;"Новый подраздел", Source!G117, ""))</f>
        <v>Подраздел: Инженерные сети</v>
      </c>
      <c r="B49" s="72"/>
      <c r="C49" s="72"/>
      <c r="D49" s="72"/>
      <c r="E49" s="72"/>
      <c r="F49" s="72"/>
    </row>
    <row r="50" spans="1:17" ht="14.25" x14ac:dyDescent="0.2">
      <c r="A50" s="78" t="s">
        <v>610</v>
      </c>
      <c r="B50" s="79"/>
      <c r="C50" s="79"/>
      <c r="D50" s="79"/>
      <c r="E50" s="79"/>
      <c r="F50" s="79"/>
    </row>
    <row r="51" spans="1:17" ht="28.5" x14ac:dyDescent="0.2">
      <c r="A51" s="46" t="s">
        <v>384</v>
      </c>
      <c r="B51" s="38" t="s">
        <v>386</v>
      </c>
      <c r="C51" s="38" t="s">
        <v>338</v>
      </c>
      <c r="D51" s="39">
        <f>ROUND(SUMIF(RV_DATA!AA43:AA66, 1891803891, RV_DATA!I43:I66), 6)</f>
        <v>0.02</v>
      </c>
      <c r="E51" s="47">
        <f>ROUND(RV_DATA!K55, 6)</f>
        <v>6.13</v>
      </c>
      <c r="F51" s="47">
        <f>ROUND(SUMIF(RV_DATA!AA43:AA66, 1891803891, RV_DATA!M43:M66), 6)</f>
        <v>0.12</v>
      </c>
      <c r="Q51">
        <v>2</v>
      </c>
    </row>
    <row r="52" spans="1:17" ht="15" x14ac:dyDescent="0.25">
      <c r="A52" s="80" t="s">
        <v>611</v>
      </c>
      <c r="B52" s="80"/>
      <c r="C52" s="80"/>
      <c r="D52" s="80"/>
      <c r="E52" s="81">
        <f>SUMIF(Q51:Q51, 2, F51:F51)</f>
        <v>0.12</v>
      </c>
      <c r="F52" s="81"/>
    </row>
    <row r="53" spans="1:17" ht="14.25" x14ac:dyDescent="0.2">
      <c r="A53" s="78" t="s">
        <v>612</v>
      </c>
      <c r="B53" s="79"/>
      <c r="C53" s="79"/>
      <c r="D53" s="79"/>
      <c r="E53" s="79"/>
      <c r="F53" s="79"/>
    </row>
    <row r="54" spans="1:17" ht="28.5" x14ac:dyDescent="0.2">
      <c r="A54" s="46" t="s">
        <v>424</v>
      </c>
      <c r="B54" s="38" t="s">
        <v>426</v>
      </c>
      <c r="C54" s="38" t="s">
        <v>68</v>
      </c>
      <c r="D54" s="39">
        <f>ROUND(SUMIF(RV_DATA!AA43:AA66, -451808164, RV_DATA!I43:I66), 6)</f>
        <v>6.9999999999999994E-5</v>
      </c>
      <c r="E54" s="47">
        <f>ROUND(RV_DATA!K54, 6)</f>
        <v>239140.75</v>
      </c>
      <c r="F54" s="47">
        <f>ROUND(SUMIF(RV_DATA!AA43:AA66, -451808164, RV_DATA!M43:M66), 6)</f>
        <v>16.739999999999998</v>
      </c>
      <c r="Q54">
        <v>3</v>
      </c>
    </row>
    <row r="55" spans="1:17" ht="14.25" x14ac:dyDescent="0.2">
      <c r="A55" s="46" t="s">
        <v>427</v>
      </c>
      <c r="B55" s="38" t="s">
        <v>429</v>
      </c>
      <c r="C55" s="38" t="s">
        <v>171</v>
      </c>
      <c r="D55" s="39">
        <f>ROUND(SUMIF(RV_DATA!AA43:AA66, -223804902, RV_DATA!I43:I66), 6)</f>
        <v>0.04</v>
      </c>
      <c r="E55" s="47">
        <f>ROUND(RV_DATA!K53, 6)</f>
        <v>2.31</v>
      </c>
      <c r="F55" s="47">
        <f>ROUND(SUMIF(RV_DATA!AA43:AA66, -223804902, RV_DATA!M43:M66), 6)</f>
        <v>0.09</v>
      </c>
      <c r="Q55">
        <v>3</v>
      </c>
    </row>
    <row r="56" spans="1:17" ht="14.25" x14ac:dyDescent="0.2">
      <c r="A56" s="46" t="s">
        <v>381</v>
      </c>
      <c r="B56" s="38" t="s">
        <v>383</v>
      </c>
      <c r="C56" s="38" t="s">
        <v>68</v>
      </c>
      <c r="D56" s="39">
        <f>ROUND(SUMIF(RV_DATA!AA43:AA66, 1916598461, RV_DATA!I43:I66), 6)</f>
        <v>2.4000000000000001E-4</v>
      </c>
      <c r="E56" s="47">
        <f>ROUND(RV_DATA!K45, 6)</f>
        <v>95976.83</v>
      </c>
      <c r="F56" s="47">
        <f>ROUND(SUMIF(RV_DATA!AA43:AA66, 1916598461, RV_DATA!M43:M66), 6)</f>
        <v>23.04</v>
      </c>
      <c r="Q56">
        <v>3</v>
      </c>
    </row>
    <row r="57" spans="1:17" ht="42.75" x14ac:dyDescent="0.2">
      <c r="A57" s="46" t="s">
        <v>418</v>
      </c>
      <c r="B57" s="38" t="s">
        <v>420</v>
      </c>
      <c r="C57" s="38" t="s">
        <v>68</v>
      </c>
      <c r="D57" s="39">
        <f>ROUND(SUMIF(RV_DATA!AA43:AA66, 1251560671, RV_DATA!I43:I66), 6)</f>
        <v>1.06E-3</v>
      </c>
      <c r="E57" s="47">
        <f>ROUND(RV_DATA!K44, 6)</f>
        <v>87313.75</v>
      </c>
      <c r="F57" s="47">
        <f>ROUND(SUMIF(RV_DATA!AA43:AA66, 1251560671, RV_DATA!M43:M66), 6)</f>
        <v>92.55</v>
      </c>
      <c r="Q57">
        <v>3</v>
      </c>
    </row>
    <row r="58" spans="1:17" ht="42.75" x14ac:dyDescent="0.2">
      <c r="A58" s="46" t="s">
        <v>430</v>
      </c>
      <c r="B58" s="38" t="s">
        <v>432</v>
      </c>
      <c r="C58" s="38" t="s">
        <v>63</v>
      </c>
      <c r="D58" s="39">
        <f>ROUND(SUMIF(RV_DATA!AA43:AA66, -507751513, RV_DATA!I43:I66), 6)</f>
        <v>4.2599999999999999E-2</v>
      </c>
      <c r="E58" s="47">
        <f>ROUND(RV_DATA!K51, 6)</f>
        <v>656.56</v>
      </c>
      <c r="F58" s="47">
        <f>ROUND(SUMIF(RV_DATA!AA43:AA66, -507751513, RV_DATA!M43:M66), 6)</f>
        <v>27.97</v>
      </c>
      <c r="Q58">
        <v>3</v>
      </c>
    </row>
    <row r="59" spans="1:17" ht="14.25" x14ac:dyDescent="0.2">
      <c r="A59" s="46" t="s">
        <v>433</v>
      </c>
      <c r="B59" s="38" t="s">
        <v>435</v>
      </c>
      <c r="C59" s="38" t="s">
        <v>68</v>
      </c>
      <c r="D59" s="39">
        <f>ROUND(SUMIF(RV_DATA!AA43:AA66, 109297667, RV_DATA!I43:I66), 6)</f>
        <v>2.0000000000000001E-4</v>
      </c>
      <c r="E59" s="47">
        <f>ROUND(RV_DATA!K50, 6)</f>
        <v>58866.75</v>
      </c>
      <c r="F59" s="47">
        <f>ROUND(SUMIF(RV_DATA!AA43:AA66, 109297667, RV_DATA!M43:M66), 6)</f>
        <v>11.77</v>
      </c>
      <c r="Q59">
        <v>3</v>
      </c>
    </row>
    <row r="60" spans="1:17" ht="42.75" x14ac:dyDescent="0.2">
      <c r="A60" s="46" t="s">
        <v>448</v>
      </c>
      <c r="B60" s="38" t="s">
        <v>450</v>
      </c>
      <c r="C60" s="38" t="s">
        <v>166</v>
      </c>
      <c r="D60" s="39">
        <f>ROUND(SUMIF(RV_DATA!AA43:AA66, -1301456157, RV_DATA!I43:I66), 6)</f>
        <v>2</v>
      </c>
      <c r="E60" s="47">
        <f>ROUND(RV_DATA!K62, 6)</f>
        <v>132.30000000000001</v>
      </c>
      <c r="F60" s="47">
        <f>ROUND(SUMIF(RV_DATA!AA43:AA66, -1301456157, RV_DATA!M43:M66), 6)</f>
        <v>264.60000000000002</v>
      </c>
      <c r="Q60">
        <v>3</v>
      </c>
    </row>
    <row r="61" spans="1:17" ht="42.75" x14ac:dyDescent="0.2">
      <c r="A61" s="46" t="s">
        <v>201</v>
      </c>
      <c r="B61" s="38" t="s">
        <v>202</v>
      </c>
      <c r="C61" s="38" t="s">
        <v>171</v>
      </c>
      <c r="D61" s="39">
        <f>ROUND(SUMIF(RV_DATA!AA43:AA66, 1604916054, RV_DATA!I43:I66), 6)</f>
        <v>2</v>
      </c>
      <c r="E61" s="47">
        <f>ROUND(RV_DATA!K66, 6)</f>
        <v>182.88</v>
      </c>
      <c r="F61" s="47">
        <f>ROUND(SUMIF(RV_DATA!AA43:AA66, 1604916054, RV_DATA!M43:M66), 6)</f>
        <v>365.76</v>
      </c>
      <c r="Q61">
        <v>3</v>
      </c>
    </row>
    <row r="62" spans="1:17" ht="71.25" x14ac:dyDescent="0.2">
      <c r="A62" s="46" t="s">
        <v>436</v>
      </c>
      <c r="B62" s="38" t="s">
        <v>438</v>
      </c>
      <c r="C62" s="38" t="s">
        <v>68</v>
      </c>
      <c r="D62" s="39">
        <f>ROUND(SUMIF(RV_DATA!AA43:AA66, 913770738, RV_DATA!I43:I66), 6)</f>
        <v>4.06E-4</v>
      </c>
      <c r="E62" s="47">
        <f>ROUND(RV_DATA!K49, 6)</f>
        <v>91558.65</v>
      </c>
      <c r="F62" s="47">
        <f>ROUND(SUMIF(RV_DATA!AA43:AA66, 913770738, RV_DATA!M43:M66), 6)</f>
        <v>37.17</v>
      </c>
      <c r="Q62">
        <v>3</v>
      </c>
    </row>
    <row r="63" spans="1:17" ht="28.5" x14ac:dyDescent="0.2">
      <c r="A63" s="46" t="s">
        <v>439</v>
      </c>
      <c r="B63" s="38" t="s">
        <v>441</v>
      </c>
      <c r="C63" s="38" t="s">
        <v>63</v>
      </c>
      <c r="D63" s="39">
        <f>ROUND(SUMIF(RV_DATA!AA43:AA66, 541381503, RV_DATA!I43:I66), 6)</f>
        <v>5.2600000000000001E-2</v>
      </c>
      <c r="E63" s="47">
        <f>ROUND(RV_DATA!K48, 6)</f>
        <v>99.65</v>
      </c>
      <c r="F63" s="47">
        <f>ROUND(SUMIF(RV_DATA!AA43:AA66, 541381503, RV_DATA!M43:M66), 6)</f>
        <v>5.25</v>
      </c>
      <c r="Q63">
        <v>3</v>
      </c>
    </row>
    <row r="64" spans="1:17" ht="42.75" x14ac:dyDescent="0.2">
      <c r="A64" s="46" t="s">
        <v>442</v>
      </c>
      <c r="B64" s="38" t="s">
        <v>444</v>
      </c>
      <c r="C64" s="38" t="s">
        <v>171</v>
      </c>
      <c r="D64" s="39">
        <f>ROUND(SUMIF(RV_DATA!AA43:AA66, 496642280, RV_DATA!I43:I66), 6)</f>
        <v>2</v>
      </c>
      <c r="E64" s="47">
        <f>ROUND(RV_DATA!K47, 6)</f>
        <v>271.39999999999998</v>
      </c>
      <c r="F64" s="47">
        <f>ROUND(SUMIF(RV_DATA!AA43:AA66, 496642280, RV_DATA!M43:M66), 6)</f>
        <v>542.79999999999995</v>
      </c>
      <c r="Q64">
        <v>3</v>
      </c>
    </row>
    <row r="65" spans="1:17" ht="28.5" x14ac:dyDescent="0.2">
      <c r="A65" s="46" t="s">
        <v>445</v>
      </c>
      <c r="B65" s="38" t="s">
        <v>447</v>
      </c>
      <c r="C65" s="38" t="s">
        <v>171</v>
      </c>
      <c r="D65" s="39">
        <f>ROUND(SUMIF(RV_DATA!AA43:AA66, 794469052, RV_DATA!I43:I66), 6)</f>
        <v>1</v>
      </c>
      <c r="E65" s="47">
        <f>ROUND(RV_DATA!K46, 6)</f>
        <v>603.87</v>
      </c>
      <c r="F65" s="47">
        <f>ROUND(SUMIF(RV_DATA!AA43:AA66, 794469052, RV_DATA!M43:M66), 6)</f>
        <v>603.87</v>
      </c>
      <c r="Q65">
        <v>3</v>
      </c>
    </row>
    <row r="66" spans="1:17" ht="57" x14ac:dyDescent="0.2">
      <c r="A66" s="46" t="s">
        <v>169</v>
      </c>
      <c r="B66" s="38" t="s">
        <v>170</v>
      </c>
      <c r="C66" s="38" t="s">
        <v>171</v>
      </c>
      <c r="D66" s="39">
        <f>ROUND(SUMIF(RV_DATA!AA43:AA66, 1323547038, RV_DATA!I43:I66), 6)</f>
        <v>1</v>
      </c>
      <c r="E66" s="47">
        <f>ROUND(RV_DATA!K56, 6)</f>
        <v>5025.26</v>
      </c>
      <c r="F66" s="47">
        <f>ROUND(SUMIF(RV_DATA!AA43:AA66, 1323547038, RV_DATA!M43:M66), 6)</f>
        <v>5025.26</v>
      </c>
      <c r="Q66">
        <v>3</v>
      </c>
    </row>
    <row r="67" spans="1:17" ht="28.5" x14ac:dyDescent="0.2">
      <c r="A67" s="46" t="s">
        <v>421</v>
      </c>
      <c r="B67" s="38" t="s">
        <v>423</v>
      </c>
      <c r="C67" s="38" t="s">
        <v>49</v>
      </c>
      <c r="D67" s="39">
        <f>ROUND(SUMIF(RV_DATA!AA43:AA66, 895668758, RV_DATA!I43:I66), 6)</f>
        <v>8</v>
      </c>
      <c r="E67" s="47">
        <f>ROUND(RV_DATA!K43, 6)</f>
        <v>27.14</v>
      </c>
      <c r="F67" s="47">
        <f>ROUND(SUMIF(RV_DATA!AA43:AA66, 895668758, RV_DATA!M43:M66), 6)</f>
        <v>217.12</v>
      </c>
      <c r="Q67">
        <v>3</v>
      </c>
    </row>
    <row r="68" spans="1:17" ht="42.75" x14ac:dyDescent="0.2">
      <c r="A68" s="46" t="s">
        <v>174</v>
      </c>
      <c r="B68" s="38" t="s">
        <v>175</v>
      </c>
      <c r="C68" s="38" t="s">
        <v>171</v>
      </c>
      <c r="D68" s="39">
        <f>ROUND(SUMIF(RV_DATA!AA43:AA66, 1662594525, RV_DATA!I43:I66), 6)</f>
        <v>1</v>
      </c>
      <c r="E68" s="47">
        <f>ROUND(RV_DATA!K57, 6)</f>
        <v>37.5</v>
      </c>
      <c r="F68" s="47">
        <f>ROUND(SUMIF(RV_DATA!AA43:AA66, 1662594525, RV_DATA!M43:M66), 6)</f>
        <v>37.5</v>
      </c>
      <c r="Q68">
        <v>3</v>
      </c>
    </row>
    <row r="69" spans="1:17" ht="42.75" x14ac:dyDescent="0.2">
      <c r="A69" s="46" t="s">
        <v>174</v>
      </c>
      <c r="B69" s="38" t="s">
        <v>185</v>
      </c>
      <c r="C69" s="38" t="s">
        <v>171</v>
      </c>
      <c r="D69" s="39">
        <f>ROUND(SUMIF(RV_DATA!AA43:AA66, 921625570, RV_DATA!I43:I66), 6)</f>
        <v>1</v>
      </c>
      <c r="E69" s="47">
        <f>ROUND(RV_DATA!K61, 6)</f>
        <v>10050.83</v>
      </c>
      <c r="F69" s="47">
        <f>ROUND(SUMIF(RV_DATA!AA43:AA66, 921625570, RV_DATA!M43:M66), 6)</f>
        <v>10050.83</v>
      </c>
      <c r="Q69">
        <v>3</v>
      </c>
    </row>
    <row r="70" spans="1:17" ht="15" x14ac:dyDescent="0.25">
      <c r="A70" s="80" t="s">
        <v>613</v>
      </c>
      <c r="B70" s="80"/>
      <c r="C70" s="80"/>
      <c r="D70" s="80"/>
      <c r="E70" s="81">
        <f>SUMIF(Q54:Q69, 3, F54:F69)</f>
        <v>17322.32</v>
      </c>
      <c r="F70" s="81"/>
    </row>
    <row r="71" spans="1:17" ht="16.5" x14ac:dyDescent="0.2">
      <c r="A71" s="71" t="str">
        <f>CONCATENATE("Подраздел: ",IF(Source!G165&lt;&gt;"Новый подраздел", Source!G165, ""))</f>
        <v>Подраздел: Электрика</v>
      </c>
      <c r="B71" s="72"/>
      <c r="C71" s="72"/>
      <c r="D71" s="72"/>
      <c r="E71" s="72"/>
      <c r="F71" s="72"/>
    </row>
    <row r="72" spans="1:17" ht="14.25" x14ac:dyDescent="0.2">
      <c r="A72" s="78" t="s">
        <v>612</v>
      </c>
      <c r="B72" s="79"/>
      <c r="C72" s="79"/>
      <c r="D72" s="79"/>
      <c r="E72" s="79"/>
      <c r="F72" s="79"/>
    </row>
    <row r="73" spans="1:17" ht="57" x14ac:dyDescent="0.2">
      <c r="A73" s="46" t="s">
        <v>213</v>
      </c>
      <c r="B73" s="38" t="s">
        <v>214</v>
      </c>
      <c r="C73" s="38" t="s">
        <v>171</v>
      </c>
      <c r="D73" s="39">
        <f>ROUND(SUMIF(RV_DATA!AA68:AA69, 710553705, RV_DATA!I68:I69), 6)</f>
        <v>2</v>
      </c>
      <c r="E73" s="47">
        <f>ROUND(RV_DATA!K69, 6)</f>
        <v>90.55</v>
      </c>
      <c r="F73" s="47">
        <f>ROUND(SUMIF(RV_DATA!AA68:AA69, 710553705, RV_DATA!M68:M69), 6)</f>
        <v>181.1</v>
      </c>
      <c r="Q73">
        <v>3</v>
      </c>
    </row>
    <row r="74" spans="1:17" ht="28.5" x14ac:dyDescent="0.2">
      <c r="A74" s="46" t="s">
        <v>174</v>
      </c>
      <c r="B74" s="38" t="s">
        <v>210</v>
      </c>
      <c r="C74" s="38" t="s">
        <v>171</v>
      </c>
      <c r="D74" s="39">
        <f>ROUND(SUMIF(RV_DATA!AA68:AA69, -1902312805, RV_DATA!I68:I69), 6)</f>
        <v>2</v>
      </c>
      <c r="E74" s="47">
        <f>ROUND(RV_DATA!K68, 6)</f>
        <v>285</v>
      </c>
      <c r="F74" s="47">
        <f>ROUND(SUMIF(RV_DATA!AA68:AA69, -1902312805, RV_DATA!M68:M69), 6)</f>
        <v>570</v>
      </c>
      <c r="Q74">
        <v>3</v>
      </c>
    </row>
    <row r="75" spans="1:17" ht="15" x14ac:dyDescent="0.25">
      <c r="A75" s="80" t="s">
        <v>613</v>
      </c>
      <c r="B75" s="80"/>
      <c r="C75" s="80"/>
      <c r="D75" s="80"/>
      <c r="E75" s="81">
        <f>SUMIF(Q73:Q74, 3, F73:F74)</f>
        <v>751.1</v>
      </c>
      <c r="F75" s="81"/>
    </row>
    <row r="76" spans="1:17" ht="16.5" x14ac:dyDescent="0.2">
      <c r="A76" s="71" t="str">
        <f>CONCATENATE("Подраздел: ",IF(Source!G203&lt;&gt;"Новый подраздел", Source!G203, ""))</f>
        <v>Подраздел: Прочее</v>
      </c>
      <c r="B76" s="72"/>
      <c r="C76" s="72"/>
      <c r="D76" s="72"/>
      <c r="E76" s="72"/>
      <c r="F76" s="72"/>
    </row>
    <row r="77" spans="1:17" ht="14.25" x14ac:dyDescent="0.2">
      <c r="A77" s="78" t="s">
        <v>612</v>
      </c>
      <c r="B77" s="79"/>
      <c r="C77" s="79"/>
      <c r="D77" s="79"/>
      <c r="E77" s="79"/>
      <c r="F77" s="79"/>
    </row>
    <row r="78" spans="1:17" ht="28.5" x14ac:dyDescent="0.2">
      <c r="A78" s="46" t="s">
        <v>451</v>
      </c>
      <c r="B78" s="38" t="s">
        <v>453</v>
      </c>
      <c r="C78" s="38" t="s">
        <v>68</v>
      </c>
      <c r="D78" s="39">
        <f>ROUND(SUMIF(RV_DATA!AA71:AA72, -453821089, RV_DATA!I71:I72), 6)</f>
        <v>1.5E-3</v>
      </c>
      <c r="E78" s="47">
        <f>ROUND(RV_DATA!K71, 6)</f>
        <v>8017.57</v>
      </c>
      <c r="F78" s="47">
        <f>ROUND(SUMIF(RV_DATA!AA71:AA72, -453821089, RV_DATA!M71:M72), 6)</f>
        <v>12.03</v>
      </c>
      <c r="Q78">
        <v>3</v>
      </c>
    </row>
    <row r="79" spans="1:17" ht="57" x14ac:dyDescent="0.2">
      <c r="A79" s="46" t="s">
        <v>222</v>
      </c>
      <c r="B79" s="38" t="s">
        <v>223</v>
      </c>
      <c r="C79" s="38" t="s">
        <v>171</v>
      </c>
      <c r="D79" s="39">
        <f>ROUND(SUMIF(RV_DATA!AA71:AA72, -331770489, RV_DATA!I71:I72), 6)</f>
        <v>3</v>
      </c>
      <c r="E79" s="47">
        <f>ROUND(RV_DATA!K72, 6)</f>
        <v>776.22</v>
      </c>
      <c r="F79" s="47">
        <f>ROUND(SUMIF(RV_DATA!AA71:AA72, -331770489, RV_DATA!M71:M72), 6)</f>
        <v>2328.66</v>
      </c>
      <c r="Q79">
        <v>3</v>
      </c>
    </row>
    <row r="80" spans="1:17" ht="15" x14ac:dyDescent="0.25">
      <c r="A80" s="80" t="s">
        <v>613</v>
      </c>
      <c r="B80" s="80"/>
      <c r="C80" s="80"/>
      <c r="D80" s="80"/>
      <c r="E80" s="81">
        <f>SUMIF(Q78:Q79, 3, F78:F79)</f>
        <v>2340.69</v>
      </c>
      <c r="F80" s="81"/>
    </row>
    <row r="81" spans="1:17" ht="16.5" x14ac:dyDescent="0.2">
      <c r="A81" s="71" t="str">
        <f>CONCATENATE("Раздел: ",IF(Source!G271&lt;&gt;"Новый раздел", Source!G271, ""))</f>
        <v>Раздел: Второй этаж, кабинет № 311</v>
      </c>
      <c r="B81" s="72"/>
      <c r="C81" s="72"/>
      <c r="D81" s="72"/>
      <c r="E81" s="72"/>
      <c r="F81" s="72"/>
    </row>
    <row r="82" spans="1:17" ht="16.5" x14ac:dyDescent="0.2">
      <c r="A82" s="71" t="str">
        <f>CONCATENATE("Подраздел: ",IF(Source!G275&lt;&gt;"Новый подраздел", Source!G275, ""))</f>
        <v>Подраздел: Полы</v>
      </c>
      <c r="B82" s="72"/>
      <c r="C82" s="72"/>
      <c r="D82" s="72"/>
      <c r="E82" s="72"/>
      <c r="F82" s="72"/>
    </row>
    <row r="83" spans="1:17" ht="14.25" x14ac:dyDescent="0.2">
      <c r="A83" s="78" t="s">
        <v>610</v>
      </c>
      <c r="B83" s="79"/>
      <c r="C83" s="79"/>
      <c r="D83" s="79"/>
      <c r="E83" s="79"/>
      <c r="F83" s="79"/>
    </row>
    <row r="84" spans="1:17" ht="28.5" x14ac:dyDescent="0.2">
      <c r="A84" s="46" t="s">
        <v>341</v>
      </c>
      <c r="B84" s="38" t="s">
        <v>343</v>
      </c>
      <c r="C84" s="38" t="s">
        <v>338</v>
      </c>
      <c r="D84" s="39">
        <f>ROUND(SUMIF(RV_DATA!AA75:AA97, 1115396703, RV_DATA!I75:I97), 6)</f>
        <v>5.2152399999999997</v>
      </c>
      <c r="E84" s="47">
        <f>ROUND(RV_DATA!K90, 6)</f>
        <v>56.19</v>
      </c>
      <c r="F84" s="47">
        <f>ROUND(SUMIF(RV_DATA!AA75:AA97, 1115396703, RV_DATA!M75:M97), 6)</f>
        <v>293.05</v>
      </c>
      <c r="Q84">
        <v>2</v>
      </c>
    </row>
    <row r="85" spans="1:17" ht="14.25" x14ac:dyDescent="0.2">
      <c r="A85" s="46" t="s">
        <v>363</v>
      </c>
      <c r="B85" s="38" t="s">
        <v>365</v>
      </c>
      <c r="C85" s="38" t="s">
        <v>338</v>
      </c>
      <c r="D85" s="39">
        <f>ROUND(SUMIF(RV_DATA!AA75:AA97, 222818004, RV_DATA!I75:I97), 6)</f>
        <v>2.5427</v>
      </c>
      <c r="E85" s="47">
        <f>ROUND(RV_DATA!K96, 6)</f>
        <v>10.02</v>
      </c>
      <c r="F85" s="47">
        <f>ROUND(SUMIF(RV_DATA!AA75:AA97, 222818004, RV_DATA!M75:M97), 6)</f>
        <v>25.48</v>
      </c>
      <c r="Q85">
        <v>2</v>
      </c>
    </row>
    <row r="86" spans="1:17" ht="28.5" x14ac:dyDescent="0.2">
      <c r="A86" s="46" t="s">
        <v>384</v>
      </c>
      <c r="B86" s="38" t="s">
        <v>386</v>
      </c>
      <c r="C86" s="38" t="s">
        <v>338</v>
      </c>
      <c r="D86" s="39">
        <f>ROUND(SUMIF(RV_DATA!AA75:AA97, 1891803891, RV_DATA!I75:I97), 6)</f>
        <v>4.8239999999999998E-2</v>
      </c>
      <c r="E86" s="47">
        <f>ROUND(RV_DATA!K83, 6)</f>
        <v>6.13</v>
      </c>
      <c r="F86" s="47">
        <f>ROUND(SUMIF(RV_DATA!AA75:AA97, 1891803891, RV_DATA!M75:M97), 6)</f>
        <v>0.3</v>
      </c>
      <c r="Q86">
        <v>2</v>
      </c>
    </row>
    <row r="87" spans="1:17" ht="28.5" x14ac:dyDescent="0.2">
      <c r="A87" s="46" t="s">
        <v>344</v>
      </c>
      <c r="B87" s="38" t="s">
        <v>346</v>
      </c>
      <c r="C87" s="38" t="s">
        <v>338</v>
      </c>
      <c r="D87" s="39">
        <f>ROUND(SUMIF(RV_DATA!AA75:AA97, -1048187902, RV_DATA!I75:I97), 6)</f>
        <v>2.2451500000000002</v>
      </c>
      <c r="E87" s="47">
        <f>ROUND(RV_DATA!K89, 6)</f>
        <v>10.7</v>
      </c>
      <c r="F87" s="47">
        <f>ROUND(SUMIF(RV_DATA!AA75:AA97, -1048187902, RV_DATA!M75:M97), 6)</f>
        <v>24.03</v>
      </c>
      <c r="Q87">
        <v>2</v>
      </c>
    </row>
    <row r="88" spans="1:17" ht="14.25" x14ac:dyDescent="0.2">
      <c r="A88" s="46" t="s">
        <v>366</v>
      </c>
      <c r="B88" s="38" t="s">
        <v>368</v>
      </c>
      <c r="C88" s="38" t="s">
        <v>338</v>
      </c>
      <c r="D88" s="39">
        <f>ROUND(SUMIF(RV_DATA!AA75:AA97, 1804376768, RV_DATA!I75:I97), 6)</f>
        <v>0.8115</v>
      </c>
      <c r="E88" s="47">
        <f>ROUND(RV_DATA!K95, 6)</f>
        <v>3.57</v>
      </c>
      <c r="F88" s="47">
        <f>ROUND(SUMIF(RV_DATA!AA75:AA97, 1804376768, RV_DATA!M75:M97), 6)</f>
        <v>2.9</v>
      </c>
      <c r="Q88">
        <v>2</v>
      </c>
    </row>
    <row r="89" spans="1:17" ht="28.5" x14ac:dyDescent="0.2">
      <c r="A89" s="46" t="s">
        <v>387</v>
      </c>
      <c r="B89" s="38" t="s">
        <v>389</v>
      </c>
      <c r="C89" s="38" t="s">
        <v>338</v>
      </c>
      <c r="D89" s="39">
        <f>ROUND(SUMIF(RV_DATA!AA75:AA97, 1696645965, RV_DATA!I75:I97), 6)</f>
        <v>4.0499999999999998E-3</v>
      </c>
      <c r="E89" s="47">
        <f>ROUND(RV_DATA!K82, 6)</f>
        <v>6.09</v>
      </c>
      <c r="F89" s="47">
        <f>ROUND(SUMIF(RV_DATA!AA75:AA97, 1696645965, RV_DATA!M75:M97), 6)</f>
        <v>0.02</v>
      </c>
      <c r="Q89">
        <v>2</v>
      </c>
    </row>
    <row r="90" spans="1:17" ht="14.25" x14ac:dyDescent="0.2">
      <c r="A90" s="46" t="s">
        <v>335</v>
      </c>
      <c r="B90" s="38" t="s">
        <v>337</v>
      </c>
      <c r="C90" s="38" t="s">
        <v>338</v>
      </c>
      <c r="D90" s="39">
        <f>ROUND(SUMIF(RV_DATA!AA75:AA97, -1795244417, RV_DATA!I75:I97), 6)</f>
        <v>7.4700000000000003E-2</v>
      </c>
      <c r="E90" s="47">
        <f>ROUND(RV_DATA!K75, 6)</f>
        <v>7.44</v>
      </c>
      <c r="F90" s="47">
        <f>ROUND(SUMIF(RV_DATA!AA75:AA97, -1795244417, RV_DATA!M75:M97), 6)</f>
        <v>0.56000000000000005</v>
      </c>
      <c r="Q90">
        <v>2</v>
      </c>
    </row>
    <row r="91" spans="1:17" ht="42.75" x14ac:dyDescent="0.2">
      <c r="A91" s="46" t="s">
        <v>347</v>
      </c>
      <c r="B91" s="38" t="s">
        <v>349</v>
      </c>
      <c r="C91" s="38" t="s">
        <v>338</v>
      </c>
      <c r="D91" s="39">
        <f>ROUND(SUMIF(RV_DATA!AA75:AA97, -560972641, RV_DATA!I75:I97), 6)</f>
        <v>1.082E-2</v>
      </c>
      <c r="E91" s="47">
        <f>ROUND(RV_DATA!K88, 6)</f>
        <v>1472.88</v>
      </c>
      <c r="F91" s="47">
        <f>ROUND(SUMIF(RV_DATA!AA75:AA97, -560972641, RV_DATA!M75:M97), 6)</f>
        <v>15.94</v>
      </c>
      <c r="Q91">
        <v>2</v>
      </c>
    </row>
    <row r="92" spans="1:17" ht="15" x14ac:dyDescent="0.25">
      <c r="A92" s="80" t="s">
        <v>611</v>
      </c>
      <c r="B92" s="80"/>
      <c r="C92" s="80"/>
      <c r="D92" s="80"/>
      <c r="E92" s="81">
        <f>SUMIF(Q84:Q91, 2, F84:F91)</f>
        <v>362.28</v>
      </c>
      <c r="F92" s="81"/>
    </row>
    <row r="93" spans="1:17" ht="14.25" x14ac:dyDescent="0.2">
      <c r="A93" s="78" t="s">
        <v>612</v>
      </c>
      <c r="B93" s="79"/>
      <c r="C93" s="79"/>
      <c r="D93" s="79"/>
      <c r="E93" s="79"/>
      <c r="F93" s="79"/>
    </row>
    <row r="94" spans="1:17" ht="28.5" x14ac:dyDescent="0.2">
      <c r="A94" s="46" t="s">
        <v>390</v>
      </c>
      <c r="B94" s="38" t="s">
        <v>392</v>
      </c>
      <c r="C94" s="38" t="s">
        <v>63</v>
      </c>
      <c r="D94" s="39">
        <f>ROUND(SUMIF(RV_DATA!AA75:AA97, -1846749560, RV_DATA!I75:I97), 6)</f>
        <v>8.4600000000000005E-3</v>
      </c>
      <c r="E94" s="47">
        <f>ROUND(RV_DATA!K80, 6)</f>
        <v>263.45</v>
      </c>
      <c r="F94" s="47">
        <f>ROUND(SUMIF(RV_DATA!AA75:AA97, -1846749560, RV_DATA!M75:M97), 6)</f>
        <v>2.23</v>
      </c>
      <c r="Q94">
        <v>3</v>
      </c>
    </row>
    <row r="95" spans="1:17" ht="14.25" x14ac:dyDescent="0.2">
      <c r="A95" s="46" t="s">
        <v>381</v>
      </c>
      <c r="B95" s="38" t="s">
        <v>383</v>
      </c>
      <c r="C95" s="38" t="s">
        <v>68</v>
      </c>
      <c r="D95" s="39">
        <f>ROUND(SUMIF(RV_DATA!AA75:AA97, 1916598461, RV_DATA!I75:I97), 6)</f>
        <v>1.3200000000000001E-4</v>
      </c>
      <c r="E95" s="47">
        <f>ROUND(RV_DATA!K76, 6)</f>
        <v>95976.83</v>
      </c>
      <c r="F95" s="47">
        <f>ROUND(SUMIF(RV_DATA!AA75:AA97, 1916598461, RV_DATA!M75:M97), 6)</f>
        <v>12.7</v>
      </c>
      <c r="Q95">
        <v>3</v>
      </c>
    </row>
    <row r="96" spans="1:17" ht="57" x14ac:dyDescent="0.2">
      <c r="A96" s="46" t="s">
        <v>369</v>
      </c>
      <c r="B96" s="38" t="s">
        <v>371</v>
      </c>
      <c r="C96" s="38" t="s">
        <v>63</v>
      </c>
      <c r="D96" s="39">
        <f>ROUND(SUMIF(RV_DATA!AA75:AA97, -1833135714, RV_DATA!I75:I97), 6)</f>
        <v>19.503050000000002</v>
      </c>
      <c r="E96" s="47">
        <f>ROUND(RV_DATA!K94, 6)</f>
        <v>221.14</v>
      </c>
      <c r="F96" s="47">
        <f>ROUND(SUMIF(RV_DATA!AA75:AA97, -1833135714, RV_DATA!M75:M97), 6)</f>
        <v>4312.91</v>
      </c>
      <c r="Q96">
        <v>3</v>
      </c>
    </row>
    <row r="97" spans="1:17" ht="14.25" x14ac:dyDescent="0.2">
      <c r="A97" s="46" t="s">
        <v>350</v>
      </c>
      <c r="B97" s="38" t="s">
        <v>352</v>
      </c>
      <c r="C97" s="38" t="s">
        <v>353</v>
      </c>
      <c r="D97" s="39">
        <f>ROUND(SUMIF(RV_DATA!AA75:AA97, 1405492101, RV_DATA!I75:I97), 6)</f>
        <v>0.163382</v>
      </c>
      <c r="E97" s="47">
        <f>ROUND(RV_DATA!K87, 6)</f>
        <v>49.83</v>
      </c>
      <c r="F97" s="47">
        <f>ROUND(SUMIF(RV_DATA!AA75:AA97, 1405492101, RV_DATA!M75:M97), 6)</f>
        <v>8.14</v>
      </c>
      <c r="Q97">
        <v>3</v>
      </c>
    </row>
    <row r="98" spans="1:17" ht="28.5" x14ac:dyDescent="0.2">
      <c r="A98" s="46" t="s">
        <v>354</v>
      </c>
      <c r="B98" s="38" t="s">
        <v>356</v>
      </c>
      <c r="C98" s="38" t="s">
        <v>132</v>
      </c>
      <c r="D98" s="39">
        <f>ROUND(SUMIF(RV_DATA!AA75:AA97, -745564717, RV_DATA!I75:I97), 6)</f>
        <v>5.41</v>
      </c>
      <c r="E98" s="47">
        <f>ROUND(RV_DATA!K86, 6)</f>
        <v>10.62</v>
      </c>
      <c r="F98" s="47">
        <f>ROUND(SUMIF(RV_DATA!AA75:AA97, -745564717, RV_DATA!M75:M97), 6)</f>
        <v>57.45</v>
      </c>
      <c r="Q98">
        <v>3</v>
      </c>
    </row>
    <row r="99" spans="1:17" ht="57" x14ac:dyDescent="0.2">
      <c r="A99" s="46" t="s">
        <v>372</v>
      </c>
      <c r="B99" s="38" t="s">
        <v>374</v>
      </c>
      <c r="C99" s="38" t="s">
        <v>132</v>
      </c>
      <c r="D99" s="39">
        <f>ROUND(SUMIF(RV_DATA!AA75:AA97, 1879435092, RV_DATA!I75:I97), 6)</f>
        <v>57.887</v>
      </c>
      <c r="E99" s="47">
        <f>ROUND(RV_DATA!K93, 6)</f>
        <v>1117.3499999999999</v>
      </c>
      <c r="F99" s="47">
        <f>ROUND(SUMIF(RV_DATA!AA75:AA97, 1879435092, RV_DATA!M75:M97), 6)</f>
        <v>64680.04</v>
      </c>
      <c r="Q99">
        <v>3</v>
      </c>
    </row>
    <row r="100" spans="1:17" ht="28.5" x14ac:dyDescent="0.2">
      <c r="A100" s="46" t="s">
        <v>375</v>
      </c>
      <c r="B100" s="38" t="s">
        <v>377</v>
      </c>
      <c r="C100" s="38" t="s">
        <v>49</v>
      </c>
      <c r="D100" s="39">
        <f>ROUND(SUMIF(RV_DATA!AA75:AA97, -2006813742, RV_DATA!I75:I97), 6)</f>
        <v>32.46</v>
      </c>
      <c r="E100" s="47">
        <f>ROUND(RV_DATA!K92, 6)</f>
        <v>57.6</v>
      </c>
      <c r="F100" s="47">
        <f>ROUND(SUMIF(RV_DATA!AA75:AA97, -2006813742, RV_DATA!M75:M97), 6)</f>
        <v>1869.7</v>
      </c>
      <c r="Q100">
        <v>3</v>
      </c>
    </row>
    <row r="101" spans="1:17" ht="42.75" x14ac:dyDescent="0.2">
      <c r="A101" s="46" t="s">
        <v>378</v>
      </c>
      <c r="B101" s="38" t="s">
        <v>380</v>
      </c>
      <c r="C101" s="38" t="s">
        <v>63</v>
      </c>
      <c r="D101" s="39">
        <f>ROUND(SUMIF(RV_DATA!AA75:AA97, 127690875, RV_DATA!I75:I97), 6)</f>
        <v>5.5723000000000003</v>
      </c>
      <c r="E101" s="47">
        <f>ROUND(RV_DATA!K91, 6)</f>
        <v>138.59</v>
      </c>
      <c r="F101" s="47">
        <f>ROUND(SUMIF(RV_DATA!AA75:AA97, 127690875, RV_DATA!M75:M97), 6)</f>
        <v>772.27</v>
      </c>
      <c r="Q101">
        <v>3</v>
      </c>
    </row>
    <row r="102" spans="1:17" ht="42.75" x14ac:dyDescent="0.2">
      <c r="A102" s="46" t="s">
        <v>357</v>
      </c>
      <c r="B102" s="38" t="s">
        <v>359</v>
      </c>
      <c r="C102" s="38" t="s">
        <v>63</v>
      </c>
      <c r="D102" s="39">
        <f>ROUND(SUMIF(RV_DATA!AA75:AA97, 1664722683, RV_DATA!I75:I97), 6)</f>
        <v>10.82</v>
      </c>
      <c r="E102" s="47">
        <f>ROUND(RV_DATA!K85, 6)</f>
        <v>915.75</v>
      </c>
      <c r="F102" s="47">
        <f>ROUND(SUMIF(RV_DATA!AA75:AA97, 1664722683, RV_DATA!M75:M97), 6)</f>
        <v>9908.42</v>
      </c>
      <c r="Q102">
        <v>3</v>
      </c>
    </row>
    <row r="103" spans="1:17" ht="14.25" x14ac:dyDescent="0.2">
      <c r="A103" s="46" t="s">
        <v>61</v>
      </c>
      <c r="B103" s="38" t="s">
        <v>62</v>
      </c>
      <c r="C103" s="38" t="s">
        <v>63</v>
      </c>
      <c r="D103" s="39">
        <f>ROUND(SUMIF(RV_DATA!AA75:AA97, -1601762150, RV_DATA!I75:I97), 6)</f>
        <v>0.39500000000000002</v>
      </c>
      <c r="E103" s="47">
        <f>ROUND(RV_DATA!K78, 6)</f>
        <v>309.42</v>
      </c>
      <c r="F103" s="47">
        <f>ROUND(SUMIF(RV_DATA!AA75:AA97, -1601762150, RV_DATA!M75:M97), 6)</f>
        <v>122.22</v>
      </c>
      <c r="Q103">
        <v>3</v>
      </c>
    </row>
    <row r="104" spans="1:17" ht="57" x14ac:dyDescent="0.2">
      <c r="A104" s="46" t="s">
        <v>360</v>
      </c>
      <c r="B104" s="38" t="s">
        <v>362</v>
      </c>
      <c r="C104" s="38" t="s">
        <v>68</v>
      </c>
      <c r="D104" s="39">
        <f>ROUND(SUMIF(RV_DATA!AA75:AA97, -2002525921, RV_DATA!I75:I97), 6)</f>
        <v>0.45552199999999998</v>
      </c>
      <c r="E104" s="47">
        <f>ROUND(RV_DATA!K84, 6)</f>
        <v>37996.660000000003</v>
      </c>
      <c r="F104" s="47">
        <f>ROUND(SUMIF(RV_DATA!AA75:AA97, -2002525921, RV_DATA!M75:M97), 6)</f>
        <v>17308.32</v>
      </c>
      <c r="Q104">
        <v>3</v>
      </c>
    </row>
    <row r="105" spans="1:17" ht="28.5" x14ac:dyDescent="0.2">
      <c r="A105" s="46" t="s">
        <v>393</v>
      </c>
      <c r="B105" s="38" t="s">
        <v>395</v>
      </c>
      <c r="C105" s="38" t="s">
        <v>49</v>
      </c>
      <c r="D105" s="39">
        <f>ROUND(SUMIF(RV_DATA!AA75:AA97, 1256870118, RV_DATA!I75:I97), 6)</f>
        <v>0.94499999999999995</v>
      </c>
      <c r="E105" s="47">
        <f>ROUND(RV_DATA!K79, 6)</f>
        <v>154.56</v>
      </c>
      <c r="F105" s="47">
        <f>ROUND(SUMIF(RV_DATA!AA75:AA97, 1256870118, RV_DATA!M75:M97), 6)</f>
        <v>146.06</v>
      </c>
      <c r="Q105">
        <v>3</v>
      </c>
    </row>
    <row r="106" spans="1:17" ht="42.75" x14ac:dyDescent="0.2">
      <c r="A106" s="46" t="s">
        <v>47</v>
      </c>
      <c r="B106" s="38" t="s">
        <v>48</v>
      </c>
      <c r="C106" s="38" t="s">
        <v>49</v>
      </c>
      <c r="D106" s="39">
        <f>ROUND(SUMIF(RV_DATA!AA75:AA97, 816279899, RV_DATA!I75:I97), 6)</f>
        <v>33.075000000000003</v>
      </c>
      <c r="E106" s="47">
        <f>ROUND(RV_DATA!K77, 6)</f>
        <v>87.13</v>
      </c>
      <c r="F106" s="47">
        <f>ROUND(SUMIF(RV_DATA!AA75:AA97, 816279899, RV_DATA!M75:M97), 6)</f>
        <v>2881.82</v>
      </c>
      <c r="Q106">
        <v>3</v>
      </c>
    </row>
    <row r="107" spans="1:17" ht="15" x14ac:dyDescent="0.25">
      <c r="A107" s="80" t="s">
        <v>613</v>
      </c>
      <c r="B107" s="80"/>
      <c r="C107" s="80"/>
      <c r="D107" s="80"/>
      <c r="E107" s="81">
        <f>SUMIF(Q94:Q106, 3, F94:F106)</f>
        <v>102082.28</v>
      </c>
      <c r="F107" s="81"/>
    </row>
    <row r="108" spans="1:17" ht="16.5" x14ac:dyDescent="0.2">
      <c r="A108" s="71" t="str">
        <f>CONCATENATE("Подраздел: ",IF(Source!G322&lt;&gt;"Новый подраздел", Source!G322, ""))</f>
        <v>Подраздел: Стены</v>
      </c>
      <c r="B108" s="72"/>
      <c r="C108" s="72"/>
      <c r="D108" s="72"/>
      <c r="E108" s="72"/>
      <c r="F108" s="72"/>
    </row>
    <row r="109" spans="1:17" ht="14.25" x14ac:dyDescent="0.2">
      <c r="A109" s="78" t="s">
        <v>612</v>
      </c>
      <c r="B109" s="79"/>
      <c r="C109" s="79"/>
      <c r="D109" s="79"/>
      <c r="E109" s="79"/>
      <c r="F109" s="79"/>
    </row>
    <row r="110" spans="1:17" ht="14.25" x14ac:dyDescent="0.2">
      <c r="A110" s="46" t="s">
        <v>403</v>
      </c>
      <c r="B110" s="38" t="s">
        <v>405</v>
      </c>
      <c r="C110" s="38" t="s">
        <v>63</v>
      </c>
      <c r="D110" s="39">
        <f>ROUND(SUMIF(RV_DATA!AA99:AA105, 777677002, RV_DATA!I99:I105), 6)</f>
        <v>0.28008</v>
      </c>
      <c r="E110" s="47">
        <f>ROUND(RV_DATA!K104, 6)</f>
        <v>26.09</v>
      </c>
      <c r="F110" s="47">
        <f>ROUND(SUMIF(RV_DATA!AA99:AA105, 777677002, RV_DATA!M99:M105), 6)</f>
        <v>7.31</v>
      </c>
      <c r="Q110">
        <v>3</v>
      </c>
    </row>
    <row r="111" spans="1:17" ht="14.25" x14ac:dyDescent="0.2">
      <c r="A111" s="46" t="s">
        <v>350</v>
      </c>
      <c r="B111" s="38" t="s">
        <v>352</v>
      </c>
      <c r="C111" s="38" t="s">
        <v>353</v>
      </c>
      <c r="D111" s="39">
        <f>ROUND(SUMIF(RV_DATA!AA99:AA105, 1405492101, RV_DATA!I99:I105), 6)</f>
        <v>0.18672</v>
      </c>
      <c r="E111" s="47">
        <f>ROUND(RV_DATA!K103, 6)</f>
        <v>49.83</v>
      </c>
      <c r="F111" s="47">
        <f>ROUND(SUMIF(RV_DATA!AA99:AA105, 1405492101, RV_DATA!M99:M105), 6)</f>
        <v>9.3000000000000007</v>
      </c>
      <c r="Q111">
        <v>3</v>
      </c>
    </row>
    <row r="112" spans="1:17" ht="28.5" x14ac:dyDescent="0.2">
      <c r="A112" s="46" t="s">
        <v>406</v>
      </c>
      <c r="B112" s="38" t="s">
        <v>408</v>
      </c>
      <c r="C112" s="38" t="s">
        <v>132</v>
      </c>
      <c r="D112" s="39">
        <f>ROUND(SUMIF(RV_DATA!AA99:AA105, 1781192509, RV_DATA!I99:I105), 6)</f>
        <v>0.62239999999999995</v>
      </c>
      <c r="E112" s="47">
        <f>ROUND(RV_DATA!K102, 6)</f>
        <v>338.51</v>
      </c>
      <c r="F112" s="47">
        <f>ROUND(SUMIF(RV_DATA!AA99:AA105, 1781192509, RV_DATA!M99:M105), 6)</f>
        <v>210.69</v>
      </c>
      <c r="Q112">
        <v>3</v>
      </c>
    </row>
    <row r="113" spans="1:17" ht="28.5" x14ac:dyDescent="0.2">
      <c r="A113" s="46" t="s">
        <v>409</v>
      </c>
      <c r="B113" s="38" t="s">
        <v>411</v>
      </c>
      <c r="C113" s="38" t="s">
        <v>68</v>
      </c>
      <c r="D113" s="39">
        <f>ROUND(SUMIF(RV_DATA!AA99:AA105, 358603207, RV_DATA!I99:I105), 6)</f>
        <v>4.9789999999999999E-3</v>
      </c>
      <c r="E113" s="47">
        <f>ROUND(RV_DATA!K101, 6)</f>
        <v>76204.789999999994</v>
      </c>
      <c r="F113" s="47">
        <f>ROUND(SUMIF(RV_DATA!AA99:AA105, 358603207, RV_DATA!M99:M105), 6)</f>
        <v>379.44</v>
      </c>
      <c r="Q113">
        <v>3</v>
      </c>
    </row>
    <row r="114" spans="1:17" ht="28.5" x14ac:dyDescent="0.2">
      <c r="A114" s="46" t="s">
        <v>146</v>
      </c>
      <c r="B114" s="38" t="s">
        <v>147</v>
      </c>
      <c r="C114" s="38" t="s">
        <v>68</v>
      </c>
      <c r="D114" s="39">
        <f>ROUND(SUMIF(RV_DATA!AA99:AA105, 1057484904, RV_DATA!I99:I105), 6)</f>
        <v>1.323E-3</v>
      </c>
      <c r="E114" s="47">
        <f>ROUND(RV_DATA!K105, 6)</f>
        <v>198992.34</v>
      </c>
      <c r="F114" s="47">
        <f>ROUND(SUMIF(RV_DATA!AA99:AA105, 1057484904, RV_DATA!M99:M105), 6)</f>
        <v>263.27</v>
      </c>
      <c r="Q114">
        <v>3</v>
      </c>
    </row>
    <row r="115" spans="1:17" ht="57" x14ac:dyDescent="0.2">
      <c r="A115" s="46" t="s">
        <v>412</v>
      </c>
      <c r="B115" s="38" t="s">
        <v>414</v>
      </c>
      <c r="C115" s="38" t="s">
        <v>63</v>
      </c>
      <c r="D115" s="39">
        <f>ROUND(SUMIF(RV_DATA!AA99:AA105, 1845104999, RV_DATA!I99:I105), 6)</f>
        <v>19.2944</v>
      </c>
      <c r="E115" s="47">
        <f>ROUND(RV_DATA!K100, 6)</f>
        <v>215.72</v>
      </c>
      <c r="F115" s="47">
        <f>ROUND(SUMIF(RV_DATA!AA99:AA105, 1845104999, RV_DATA!M99:M105), 6)</f>
        <v>4162.1899999999996</v>
      </c>
      <c r="Q115">
        <v>3</v>
      </c>
    </row>
    <row r="116" spans="1:17" ht="57" x14ac:dyDescent="0.2">
      <c r="A116" s="46" t="s">
        <v>415</v>
      </c>
      <c r="B116" s="38" t="s">
        <v>417</v>
      </c>
      <c r="C116" s="38" t="s">
        <v>63</v>
      </c>
      <c r="D116" s="39">
        <f>ROUND(SUMIF(RV_DATA!AA99:AA105, -172959861, RV_DATA!I99:I105), 6)</f>
        <v>10.891999999999999</v>
      </c>
      <c r="E116" s="47">
        <f>ROUND(RV_DATA!K99, 6)</f>
        <v>80.599999999999994</v>
      </c>
      <c r="F116" s="47">
        <f>ROUND(SUMIF(RV_DATA!AA99:AA105, -172959861, RV_DATA!M99:M105), 6)</f>
        <v>877.9</v>
      </c>
      <c r="Q116">
        <v>3</v>
      </c>
    </row>
    <row r="117" spans="1:17" ht="15" x14ac:dyDescent="0.25">
      <c r="A117" s="80" t="s">
        <v>613</v>
      </c>
      <c r="B117" s="80"/>
      <c r="C117" s="80"/>
      <c r="D117" s="80"/>
      <c r="E117" s="81">
        <f>SUMIF(Q110:Q116, 3, F110:F116)</f>
        <v>5910.0999999999995</v>
      </c>
      <c r="F117" s="81"/>
    </row>
    <row r="118" spans="1:17" ht="16.5" x14ac:dyDescent="0.2">
      <c r="A118" s="71" t="str">
        <f>CONCATENATE("Подраздел: ",IF(Source!G359&lt;&gt;"Новый подраздел", Source!G359, ""))</f>
        <v>Подраздел: Потолок</v>
      </c>
      <c r="B118" s="72"/>
      <c r="C118" s="72"/>
      <c r="D118" s="72"/>
      <c r="E118" s="72"/>
      <c r="F118" s="72"/>
    </row>
    <row r="119" spans="1:17" ht="14.25" x14ac:dyDescent="0.2">
      <c r="A119" s="78" t="s">
        <v>612</v>
      </c>
      <c r="B119" s="79"/>
      <c r="C119" s="79"/>
      <c r="D119" s="79"/>
      <c r="E119" s="79"/>
      <c r="F119" s="79"/>
    </row>
    <row r="120" spans="1:17" ht="14.25" x14ac:dyDescent="0.2">
      <c r="A120" s="46" t="s">
        <v>403</v>
      </c>
      <c r="B120" s="38" t="s">
        <v>405</v>
      </c>
      <c r="C120" s="38" t="s">
        <v>63</v>
      </c>
      <c r="D120" s="39">
        <f>ROUND(SUMIF(RV_DATA!AA107:AA112, 777677002, RV_DATA!I107:I112), 6)</f>
        <v>0.19692000000000001</v>
      </c>
      <c r="E120" s="47">
        <f>ROUND(RV_DATA!K112, 6)</f>
        <v>26.09</v>
      </c>
      <c r="F120" s="47">
        <f>ROUND(SUMIF(RV_DATA!AA107:AA112, 777677002, RV_DATA!M107:M112), 6)</f>
        <v>5.14</v>
      </c>
      <c r="Q120">
        <v>3</v>
      </c>
    </row>
    <row r="121" spans="1:17" ht="14.25" x14ac:dyDescent="0.2">
      <c r="A121" s="46" t="s">
        <v>350</v>
      </c>
      <c r="B121" s="38" t="s">
        <v>352</v>
      </c>
      <c r="C121" s="38" t="s">
        <v>353</v>
      </c>
      <c r="D121" s="39">
        <f>ROUND(SUMIF(RV_DATA!AA107:AA112, 1405492101, RV_DATA!I107:I112), 6)</f>
        <v>0.13128000000000001</v>
      </c>
      <c r="E121" s="47">
        <f>ROUND(RV_DATA!K111, 6)</f>
        <v>49.83</v>
      </c>
      <c r="F121" s="47">
        <f>ROUND(SUMIF(RV_DATA!AA107:AA112, 1405492101, RV_DATA!M107:M112), 6)</f>
        <v>6.54</v>
      </c>
      <c r="Q121">
        <v>3</v>
      </c>
    </row>
    <row r="122" spans="1:17" ht="28.5" x14ac:dyDescent="0.2">
      <c r="A122" s="46" t="s">
        <v>406</v>
      </c>
      <c r="B122" s="38" t="s">
        <v>408</v>
      </c>
      <c r="C122" s="38" t="s">
        <v>132</v>
      </c>
      <c r="D122" s="39">
        <f>ROUND(SUMIF(RV_DATA!AA107:AA112, 1781192509, RV_DATA!I107:I112), 6)</f>
        <v>0.87519999999999998</v>
      </c>
      <c r="E122" s="47">
        <f>ROUND(RV_DATA!K110, 6)</f>
        <v>338.51</v>
      </c>
      <c r="F122" s="47">
        <f>ROUND(SUMIF(RV_DATA!AA107:AA112, 1781192509, RV_DATA!M107:M112), 6)</f>
        <v>296.27</v>
      </c>
      <c r="Q122">
        <v>3</v>
      </c>
    </row>
    <row r="123" spans="1:17" ht="28.5" x14ac:dyDescent="0.2">
      <c r="A123" s="46" t="s">
        <v>409</v>
      </c>
      <c r="B123" s="38" t="s">
        <v>411</v>
      </c>
      <c r="C123" s="38" t="s">
        <v>68</v>
      </c>
      <c r="D123" s="39">
        <f>ROUND(SUMIF(RV_DATA!AA107:AA112, 358603207, RV_DATA!I107:I112), 6)</f>
        <v>3.7200000000000002E-3</v>
      </c>
      <c r="E123" s="47">
        <f>ROUND(RV_DATA!K109, 6)</f>
        <v>76204.789999999994</v>
      </c>
      <c r="F123" s="47">
        <f>ROUND(SUMIF(RV_DATA!AA107:AA112, 358603207, RV_DATA!M107:M112), 6)</f>
        <v>283.45</v>
      </c>
      <c r="Q123">
        <v>3</v>
      </c>
    </row>
    <row r="124" spans="1:17" ht="57" x14ac:dyDescent="0.2">
      <c r="A124" s="46" t="s">
        <v>454</v>
      </c>
      <c r="B124" s="38" t="s">
        <v>456</v>
      </c>
      <c r="C124" s="38" t="s">
        <v>63</v>
      </c>
      <c r="D124" s="39">
        <f>ROUND(SUMIF(RV_DATA!AA107:AA112, 265603619, RV_DATA!I107:I112), 6)</f>
        <v>13.5656</v>
      </c>
      <c r="E124" s="47">
        <f>ROUND(RV_DATA!K108, 6)</f>
        <v>157.52000000000001</v>
      </c>
      <c r="F124" s="47">
        <f>ROUND(SUMIF(RV_DATA!AA107:AA112, 265603619, RV_DATA!M107:M112), 6)</f>
        <v>2136.86</v>
      </c>
      <c r="Q124">
        <v>3</v>
      </c>
    </row>
    <row r="125" spans="1:17" ht="57" x14ac:dyDescent="0.2">
      <c r="A125" s="46" t="s">
        <v>415</v>
      </c>
      <c r="B125" s="38" t="s">
        <v>417</v>
      </c>
      <c r="C125" s="38" t="s">
        <v>63</v>
      </c>
      <c r="D125" s="39">
        <f>ROUND(SUMIF(RV_DATA!AA107:AA112, -172959861, RV_DATA!I107:I112), 6)</f>
        <v>7.6580000000000004</v>
      </c>
      <c r="E125" s="47">
        <f>ROUND(RV_DATA!K107, 6)</f>
        <v>80.599999999999994</v>
      </c>
      <c r="F125" s="47">
        <f>ROUND(SUMIF(RV_DATA!AA107:AA112, -172959861, RV_DATA!M107:M112), 6)</f>
        <v>617.23</v>
      </c>
      <c r="Q125">
        <v>3</v>
      </c>
    </row>
    <row r="126" spans="1:17" ht="15" x14ac:dyDescent="0.25">
      <c r="A126" s="80" t="s">
        <v>613</v>
      </c>
      <c r="B126" s="80"/>
      <c r="C126" s="80"/>
      <c r="D126" s="80"/>
      <c r="E126" s="81">
        <f>SUMIF(Q120:Q125, 3, F120:F125)</f>
        <v>3345.4900000000002</v>
      </c>
      <c r="F126" s="81"/>
    </row>
    <row r="127" spans="1:17" ht="16.5" x14ac:dyDescent="0.2">
      <c r="A127" s="71" t="str">
        <f>CONCATENATE("Подраздел: ",IF(Source!G395&lt;&gt;"Новый подраздел", Source!G395, ""))</f>
        <v>Подраздел: Окна</v>
      </c>
      <c r="B127" s="72"/>
      <c r="C127" s="72"/>
      <c r="D127" s="72"/>
      <c r="E127" s="72"/>
      <c r="F127" s="72"/>
    </row>
    <row r="128" spans="1:17" ht="14.25" x14ac:dyDescent="0.2">
      <c r="A128" s="78" t="s">
        <v>612</v>
      </c>
      <c r="B128" s="79"/>
      <c r="C128" s="79"/>
      <c r="D128" s="79"/>
      <c r="E128" s="79"/>
      <c r="F128" s="79"/>
    </row>
    <row r="129" spans="1:17" ht="57" x14ac:dyDescent="0.2">
      <c r="A129" s="46" t="s">
        <v>269</v>
      </c>
      <c r="B129" s="38" t="s">
        <v>270</v>
      </c>
      <c r="C129" s="38" t="s">
        <v>49</v>
      </c>
      <c r="D129" s="39">
        <f>ROUND(SUMIF(RV_DATA!AA114:AA119, 53392314, RV_DATA!I114:I119), 6)</f>
        <v>19.695</v>
      </c>
      <c r="E129" s="47">
        <f>ROUND(RV_DATA!K116, 6)</f>
        <v>28.54</v>
      </c>
      <c r="F129" s="47">
        <f>ROUND(SUMIF(RV_DATA!AA114:AA119, 53392314, RV_DATA!M114:M119), 6)</f>
        <v>562.09</v>
      </c>
      <c r="Q129">
        <v>3</v>
      </c>
    </row>
    <row r="130" spans="1:17" ht="14.25" x14ac:dyDescent="0.2">
      <c r="A130" s="46" t="s">
        <v>457</v>
      </c>
      <c r="B130" s="38" t="s">
        <v>459</v>
      </c>
      <c r="C130" s="38" t="s">
        <v>49</v>
      </c>
      <c r="D130" s="39">
        <f>ROUND(SUMIF(RV_DATA!AA114:AA119, -2134427384, RV_DATA!I114:I119), 6)</f>
        <v>2.5350000000000001</v>
      </c>
      <c r="E130" s="47">
        <f>ROUND(RV_DATA!K115, 6)</f>
        <v>2.2400000000000002</v>
      </c>
      <c r="F130" s="47">
        <f>ROUND(SUMIF(RV_DATA!AA114:AA119, -2134427384, RV_DATA!M114:M119), 6)</f>
        <v>5.68</v>
      </c>
      <c r="Q130">
        <v>3</v>
      </c>
    </row>
    <row r="131" spans="1:17" ht="28.5" x14ac:dyDescent="0.2">
      <c r="A131" s="46" t="s">
        <v>460</v>
      </c>
      <c r="B131" s="38" t="s">
        <v>462</v>
      </c>
      <c r="C131" s="38" t="s">
        <v>402</v>
      </c>
      <c r="D131" s="39">
        <f>ROUND(SUMIF(RV_DATA!AA114:AA119, 809103601, RV_DATA!I114:I119), 6)</f>
        <v>0.11115</v>
      </c>
      <c r="E131" s="47">
        <f>ROUND(RV_DATA!K114, 6)</f>
        <v>594.64</v>
      </c>
      <c r="F131" s="47">
        <f>ROUND(SUMIF(RV_DATA!AA114:AA119, 809103601, RV_DATA!M114:M119), 6)</f>
        <v>66.09</v>
      </c>
      <c r="Q131">
        <v>3</v>
      </c>
    </row>
    <row r="132" spans="1:17" ht="15" x14ac:dyDescent="0.25">
      <c r="A132" s="80" t="s">
        <v>613</v>
      </c>
      <c r="B132" s="80"/>
      <c r="C132" s="80"/>
      <c r="D132" s="80"/>
      <c r="E132" s="81">
        <f>SUMIF(Q129:Q131, 3, F129:F131)</f>
        <v>633.86</v>
      </c>
      <c r="F132" s="81"/>
    </row>
    <row r="133" spans="1:17" ht="16.5" x14ac:dyDescent="0.2">
      <c r="A133" s="71" t="str">
        <f>CONCATENATE("Подраздел: ",IF(Source!G436&lt;&gt;"Новый подраздел", Source!G436, ""))</f>
        <v>Подраздел: Инженерные сети</v>
      </c>
      <c r="B133" s="72"/>
      <c r="C133" s="72"/>
      <c r="D133" s="72"/>
      <c r="E133" s="72"/>
      <c r="F133" s="72"/>
    </row>
    <row r="134" spans="1:17" ht="14.25" x14ac:dyDescent="0.2">
      <c r="A134" s="78" t="s">
        <v>610</v>
      </c>
      <c r="B134" s="79"/>
      <c r="C134" s="79"/>
      <c r="D134" s="79"/>
      <c r="E134" s="79"/>
      <c r="F134" s="79"/>
    </row>
    <row r="135" spans="1:17" ht="28.5" x14ac:dyDescent="0.2">
      <c r="A135" s="46" t="s">
        <v>384</v>
      </c>
      <c r="B135" s="38" t="s">
        <v>386</v>
      </c>
      <c r="C135" s="38" t="s">
        <v>338</v>
      </c>
      <c r="D135" s="39">
        <f>ROUND(SUMIF(RV_DATA!AA121:AA144, 1891803891, RV_DATA!I121:I144), 6)</f>
        <v>0.02</v>
      </c>
      <c r="E135" s="47">
        <f>ROUND(RV_DATA!K133, 6)</f>
        <v>6.13</v>
      </c>
      <c r="F135" s="47">
        <f>ROUND(SUMIF(RV_DATA!AA121:AA144, 1891803891, RV_DATA!M121:M144), 6)</f>
        <v>0.12</v>
      </c>
      <c r="Q135">
        <v>2</v>
      </c>
    </row>
    <row r="136" spans="1:17" ht="15" x14ac:dyDescent="0.25">
      <c r="A136" s="80" t="s">
        <v>611</v>
      </c>
      <c r="B136" s="80"/>
      <c r="C136" s="80"/>
      <c r="D136" s="80"/>
      <c r="E136" s="81">
        <f>SUMIF(Q135:Q135, 2, F135:F135)</f>
        <v>0.12</v>
      </c>
      <c r="F136" s="81"/>
    </row>
    <row r="137" spans="1:17" ht="14.25" x14ac:dyDescent="0.2">
      <c r="A137" s="78" t="s">
        <v>612</v>
      </c>
      <c r="B137" s="79"/>
      <c r="C137" s="79"/>
      <c r="D137" s="79"/>
      <c r="E137" s="79"/>
      <c r="F137" s="79"/>
    </row>
    <row r="138" spans="1:17" ht="28.5" x14ac:dyDescent="0.2">
      <c r="A138" s="46" t="s">
        <v>424</v>
      </c>
      <c r="B138" s="38" t="s">
        <v>426</v>
      </c>
      <c r="C138" s="38" t="s">
        <v>68</v>
      </c>
      <c r="D138" s="39">
        <f>ROUND(SUMIF(RV_DATA!AA121:AA144, -451808164, RV_DATA!I121:I144), 6)</f>
        <v>6.9999999999999994E-5</v>
      </c>
      <c r="E138" s="47">
        <f>ROUND(RV_DATA!K132, 6)</f>
        <v>239140.75</v>
      </c>
      <c r="F138" s="47">
        <f>ROUND(SUMIF(RV_DATA!AA121:AA144, -451808164, RV_DATA!M121:M144), 6)</f>
        <v>16.739999999999998</v>
      </c>
      <c r="Q138">
        <v>3</v>
      </c>
    </row>
    <row r="139" spans="1:17" ht="14.25" x14ac:dyDescent="0.2">
      <c r="A139" s="46" t="s">
        <v>427</v>
      </c>
      <c r="B139" s="38" t="s">
        <v>429</v>
      </c>
      <c r="C139" s="38" t="s">
        <v>171</v>
      </c>
      <c r="D139" s="39">
        <f>ROUND(SUMIF(RV_DATA!AA121:AA144, -223804902, RV_DATA!I121:I144), 6)</f>
        <v>0.04</v>
      </c>
      <c r="E139" s="47">
        <f>ROUND(RV_DATA!K131, 6)</f>
        <v>2.31</v>
      </c>
      <c r="F139" s="47">
        <f>ROUND(SUMIF(RV_DATA!AA121:AA144, -223804902, RV_DATA!M121:M144), 6)</f>
        <v>0.09</v>
      </c>
      <c r="Q139">
        <v>3</v>
      </c>
    </row>
    <row r="140" spans="1:17" ht="14.25" x14ac:dyDescent="0.2">
      <c r="A140" s="46" t="s">
        <v>381</v>
      </c>
      <c r="B140" s="38" t="s">
        <v>383</v>
      </c>
      <c r="C140" s="38" t="s">
        <v>68</v>
      </c>
      <c r="D140" s="39">
        <f>ROUND(SUMIF(RV_DATA!AA121:AA144, 1916598461, RV_DATA!I121:I144), 6)</f>
        <v>2.4000000000000001E-4</v>
      </c>
      <c r="E140" s="47">
        <f>ROUND(RV_DATA!K123, 6)</f>
        <v>95976.83</v>
      </c>
      <c r="F140" s="47">
        <f>ROUND(SUMIF(RV_DATA!AA121:AA144, 1916598461, RV_DATA!M121:M144), 6)</f>
        <v>23.04</v>
      </c>
      <c r="Q140">
        <v>3</v>
      </c>
    </row>
    <row r="141" spans="1:17" ht="42.75" x14ac:dyDescent="0.2">
      <c r="A141" s="46" t="s">
        <v>418</v>
      </c>
      <c r="B141" s="38" t="s">
        <v>420</v>
      </c>
      <c r="C141" s="38" t="s">
        <v>68</v>
      </c>
      <c r="D141" s="39">
        <f>ROUND(SUMIF(RV_DATA!AA121:AA144, 1251560671, RV_DATA!I121:I144), 6)</f>
        <v>1.06E-3</v>
      </c>
      <c r="E141" s="47">
        <f>ROUND(RV_DATA!K122, 6)</f>
        <v>87313.75</v>
      </c>
      <c r="F141" s="47">
        <f>ROUND(SUMIF(RV_DATA!AA121:AA144, 1251560671, RV_DATA!M121:M144), 6)</f>
        <v>92.55</v>
      </c>
      <c r="Q141">
        <v>3</v>
      </c>
    </row>
    <row r="142" spans="1:17" ht="42.75" x14ac:dyDescent="0.2">
      <c r="A142" s="46" t="s">
        <v>430</v>
      </c>
      <c r="B142" s="38" t="s">
        <v>432</v>
      </c>
      <c r="C142" s="38" t="s">
        <v>63</v>
      </c>
      <c r="D142" s="39">
        <f>ROUND(SUMIF(RV_DATA!AA121:AA144, -507751513, RV_DATA!I121:I144), 6)</f>
        <v>4.2599999999999999E-2</v>
      </c>
      <c r="E142" s="47">
        <f>ROUND(RV_DATA!K129, 6)</f>
        <v>656.56</v>
      </c>
      <c r="F142" s="47">
        <f>ROUND(SUMIF(RV_DATA!AA121:AA144, -507751513, RV_DATA!M121:M144), 6)</f>
        <v>27.97</v>
      </c>
      <c r="Q142">
        <v>3</v>
      </c>
    </row>
    <row r="143" spans="1:17" ht="14.25" x14ac:dyDescent="0.2">
      <c r="A143" s="46" t="s">
        <v>433</v>
      </c>
      <c r="B143" s="38" t="s">
        <v>435</v>
      </c>
      <c r="C143" s="38" t="s">
        <v>68</v>
      </c>
      <c r="D143" s="39">
        <f>ROUND(SUMIF(RV_DATA!AA121:AA144, 109297667, RV_DATA!I121:I144), 6)</f>
        <v>2.0000000000000001E-4</v>
      </c>
      <c r="E143" s="47">
        <f>ROUND(RV_DATA!K128, 6)</f>
        <v>58866.75</v>
      </c>
      <c r="F143" s="47">
        <f>ROUND(SUMIF(RV_DATA!AA121:AA144, 109297667, RV_DATA!M121:M144), 6)</f>
        <v>11.77</v>
      </c>
      <c r="Q143">
        <v>3</v>
      </c>
    </row>
    <row r="144" spans="1:17" ht="42.75" x14ac:dyDescent="0.2">
      <c r="A144" s="46" t="s">
        <v>448</v>
      </c>
      <c r="B144" s="38" t="s">
        <v>450</v>
      </c>
      <c r="C144" s="38" t="s">
        <v>166</v>
      </c>
      <c r="D144" s="39">
        <f>ROUND(SUMIF(RV_DATA!AA121:AA144, -1301456157, RV_DATA!I121:I144), 6)</f>
        <v>2</v>
      </c>
      <c r="E144" s="47">
        <f>ROUND(RV_DATA!K140, 6)</f>
        <v>132.30000000000001</v>
      </c>
      <c r="F144" s="47">
        <f>ROUND(SUMIF(RV_DATA!AA121:AA144, -1301456157, RV_DATA!M121:M144), 6)</f>
        <v>264.60000000000002</v>
      </c>
      <c r="Q144">
        <v>3</v>
      </c>
    </row>
    <row r="145" spans="1:17" ht="42.75" x14ac:dyDescent="0.2">
      <c r="A145" s="46" t="s">
        <v>201</v>
      </c>
      <c r="B145" s="38" t="s">
        <v>202</v>
      </c>
      <c r="C145" s="38" t="s">
        <v>171</v>
      </c>
      <c r="D145" s="39">
        <f>ROUND(SUMIF(RV_DATA!AA121:AA144, 1604916054, RV_DATA!I121:I144), 6)</f>
        <v>2</v>
      </c>
      <c r="E145" s="47">
        <f>ROUND(RV_DATA!K144, 6)</f>
        <v>182.88</v>
      </c>
      <c r="F145" s="47">
        <f>ROUND(SUMIF(RV_DATA!AA121:AA144, 1604916054, RV_DATA!M121:M144), 6)</f>
        <v>365.76</v>
      </c>
      <c r="Q145">
        <v>3</v>
      </c>
    </row>
    <row r="146" spans="1:17" ht="71.25" x14ac:dyDescent="0.2">
      <c r="A146" s="46" t="s">
        <v>436</v>
      </c>
      <c r="B146" s="38" t="s">
        <v>438</v>
      </c>
      <c r="C146" s="38" t="s">
        <v>68</v>
      </c>
      <c r="D146" s="39">
        <f>ROUND(SUMIF(RV_DATA!AA121:AA144, 913770738, RV_DATA!I121:I144), 6)</f>
        <v>4.06E-4</v>
      </c>
      <c r="E146" s="47">
        <f>ROUND(RV_DATA!K127, 6)</f>
        <v>91558.65</v>
      </c>
      <c r="F146" s="47">
        <f>ROUND(SUMIF(RV_DATA!AA121:AA144, 913770738, RV_DATA!M121:M144), 6)</f>
        <v>37.17</v>
      </c>
      <c r="Q146">
        <v>3</v>
      </c>
    </row>
    <row r="147" spans="1:17" ht="28.5" x14ac:dyDescent="0.2">
      <c r="A147" s="46" t="s">
        <v>439</v>
      </c>
      <c r="B147" s="38" t="s">
        <v>441</v>
      </c>
      <c r="C147" s="38" t="s">
        <v>63</v>
      </c>
      <c r="D147" s="39">
        <f>ROUND(SUMIF(RV_DATA!AA121:AA144, 541381503, RV_DATA!I121:I144), 6)</f>
        <v>5.2600000000000001E-2</v>
      </c>
      <c r="E147" s="47">
        <f>ROUND(RV_DATA!K126, 6)</f>
        <v>99.65</v>
      </c>
      <c r="F147" s="47">
        <f>ROUND(SUMIF(RV_DATA!AA121:AA144, 541381503, RV_DATA!M121:M144), 6)</f>
        <v>5.25</v>
      </c>
      <c r="Q147">
        <v>3</v>
      </c>
    </row>
    <row r="148" spans="1:17" ht="42.75" x14ac:dyDescent="0.2">
      <c r="A148" s="46" t="s">
        <v>442</v>
      </c>
      <c r="B148" s="38" t="s">
        <v>444</v>
      </c>
      <c r="C148" s="38" t="s">
        <v>171</v>
      </c>
      <c r="D148" s="39">
        <f>ROUND(SUMIF(RV_DATA!AA121:AA144, 496642280, RV_DATA!I121:I144), 6)</f>
        <v>2</v>
      </c>
      <c r="E148" s="47">
        <f>ROUND(RV_DATA!K125, 6)</f>
        <v>271.39999999999998</v>
      </c>
      <c r="F148" s="47">
        <f>ROUND(SUMIF(RV_DATA!AA121:AA144, 496642280, RV_DATA!M121:M144), 6)</f>
        <v>542.79999999999995</v>
      </c>
      <c r="Q148">
        <v>3</v>
      </c>
    </row>
    <row r="149" spans="1:17" ht="28.5" x14ac:dyDescent="0.2">
      <c r="A149" s="46" t="s">
        <v>445</v>
      </c>
      <c r="B149" s="38" t="s">
        <v>447</v>
      </c>
      <c r="C149" s="38" t="s">
        <v>171</v>
      </c>
      <c r="D149" s="39">
        <f>ROUND(SUMIF(RV_DATA!AA121:AA144, 794469052, RV_DATA!I121:I144), 6)</f>
        <v>1</v>
      </c>
      <c r="E149" s="47">
        <f>ROUND(RV_DATA!K124, 6)</f>
        <v>603.87</v>
      </c>
      <c r="F149" s="47">
        <f>ROUND(SUMIF(RV_DATA!AA121:AA144, 794469052, RV_DATA!M121:M144), 6)</f>
        <v>603.87</v>
      </c>
      <c r="Q149">
        <v>3</v>
      </c>
    </row>
    <row r="150" spans="1:17" ht="57" x14ac:dyDescent="0.2">
      <c r="A150" s="46" t="s">
        <v>169</v>
      </c>
      <c r="B150" s="38" t="s">
        <v>170</v>
      </c>
      <c r="C150" s="38" t="s">
        <v>171</v>
      </c>
      <c r="D150" s="39">
        <f>ROUND(SUMIF(RV_DATA!AA121:AA144, 1323547038, RV_DATA!I121:I144), 6)</f>
        <v>1</v>
      </c>
      <c r="E150" s="47">
        <f>ROUND(RV_DATA!K134, 6)</f>
        <v>5025.26</v>
      </c>
      <c r="F150" s="47">
        <f>ROUND(SUMIF(RV_DATA!AA121:AA144, 1323547038, RV_DATA!M121:M144), 6)</f>
        <v>5025.26</v>
      </c>
      <c r="Q150">
        <v>3</v>
      </c>
    </row>
    <row r="151" spans="1:17" ht="28.5" x14ac:dyDescent="0.2">
      <c r="A151" s="46" t="s">
        <v>421</v>
      </c>
      <c r="B151" s="38" t="s">
        <v>423</v>
      </c>
      <c r="C151" s="38" t="s">
        <v>49</v>
      </c>
      <c r="D151" s="39">
        <f>ROUND(SUMIF(RV_DATA!AA121:AA144, 895668758, RV_DATA!I121:I144), 6)</f>
        <v>8</v>
      </c>
      <c r="E151" s="47">
        <f>ROUND(RV_DATA!K121, 6)</f>
        <v>27.14</v>
      </c>
      <c r="F151" s="47">
        <f>ROUND(SUMIF(RV_DATA!AA121:AA144, 895668758, RV_DATA!M121:M144), 6)</f>
        <v>217.12</v>
      </c>
      <c r="Q151">
        <v>3</v>
      </c>
    </row>
    <row r="152" spans="1:17" ht="42.75" x14ac:dyDescent="0.2">
      <c r="A152" s="46" t="s">
        <v>174</v>
      </c>
      <c r="B152" s="38" t="s">
        <v>175</v>
      </c>
      <c r="C152" s="38" t="s">
        <v>171</v>
      </c>
      <c r="D152" s="39">
        <f>ROUND(SUMIF(RV_DATA!AA121:AA144, 1662594525, RV_DATA!I121:I144), 6)</f>
        <v>1</v>
      </c>
      <c r="E152" s="47">
        <f>ROUND(RV_DATA!K135, 6)</f>
        <v>37.5</v>
      </c>
      <c r="F152" s="47">
        <f>ROUND(SUMIF(RV_DATA!AA121:AA144, 1662594525, RV_DATA!M121:M144), 6)</f>
        <v>37.5</v>
      </c>
      <c r="Q152">
        <v>3</v>
      </c>
    </row>
    <row r="153" spans="1:17" ht="42.75" x14ac:dyDescent="0.2">
      <c r="A153" s="46" t="s">
        <v>174</v>
      </c>
      <c r="B153" s="38" t="s">
        <v>185</v>
      </c>
      <c r="C153" s="38" t="s">
        <v>171</v>
      </c>
      <c r="D153" s="39">
        <f>ROUND(SUMIF(RV_DATA!AA121:AA144, 921625570, RV_DATA!I121:I144), 6)</f>
        <v>1</v>
      </c>
      <c r="E153" s="47">
        <f>ROUND(RV_DATA!K139, 6)</f>
        <v>10050.83</v>
      </c>
      <c r="F153" s="47">
        <f>ROUND(SUMIF(RV_DATA!AA121:AA144, 921625570, RV_DATA!M121:M144), 6)</f>
        <v>10050.83</v>
      </c>
      <c r="Q153">
        <v>3</v>
      </c>
    </row>
    <row r="154" spans="1:17" ht="15" x14ac:dyDescent="0.25">
      <c r="A154" s="80" t="s">
        <v>613</v>
      </c>
      <c r="B154" s="80"/>
      <c r="C154" s="80"/>
      <c r="D154" s="80"/>
      <c r="E154" s="81">
        <f>SUMIF(Q138:Q153, 3, F138:F153)</f>
        <v>17322.32</v>
      </c>
      <c r="F154" s="81"/>
    </row>
    <row r="155" spans="1:17" ht="16.5" x14ac:dyDescent="0.2">
      <c r="A155" s="71" t="str">
        <f>CONCATENATE("Подраздел: ",IF(Source!G484&lt;&gt;"Новый подраздел", Source!G484, ""))</f>
        <v>Подраздел: Электрика</v>
      </c>
      <c r="B155" s="72"/>
      <c r="C155" s="72"/>
      <c r="D155" s="72"/>
      <c r="E155" s="72"/>
      <c r="F155" s="72"/>
    </row>
    <row r="156" spans="1:17" ht="14.25" x14ac:dyDescent="0.2">
      <c r="A156" s="78" t="s">
        <v>612</v>
      </c>
      <c r="B156" s="79"/>
      <c r="C156" s="79"/>
      <c r="D156" s="79"/>
      <c r="E156" s="79"/>
      <c r="F156" s="79"/>
    </row>
    <row r="157" spans="1:17" ht="57" x14ac:dyDescent="0.2">
      <c r="A157" s="46" t="s">
        <v>213</v>
      </c>
      <c r="B157" s="38" t="s">
        <v>214</v>
      </c>
      <c r="C157" s="38" t="s">
        <v>171</v>
      </c>
      <c r="D157" s="39">
        <f>ROUND(SUMIF(RV_DATA!AA146:AA147, 710553705, RV_DATA!I146:I147), 6)</f>
        <v>1</v>
      </c>
      <c r="E157" s="47">
        <f>ROUND(RV_DATA!K147, 6)</f>
        <v>90.55</v>
      </c>
      <c r="F157" s="47">
        <f>ROUND(SUMIF(RV_DATA!AA146:AA147, 710553705, RV_DATA!M146:M147), 6)</f>
        <v>90.55</v>
      </c>
      <c r="Q157">
        <v>3</v>
      </c>
    </row>
    <row r="158" spans="1:17" ht="28.5" x14ac:dyDescent="0.2">
      <c r="A158" s="46" t="s">
        <v>174</v>
      </c>
      <c r="B158" s="38" t="s">
        <v>210</v>
      </c>
      <c r="C158" s="38" t="s">
        <v>171</v>
      </c>
      <c r="D158" s="39">
        <f>ROUND(SUMIF(RV_DATA!AA146:AA147, -1902312805, RV_DATA!I146:I147), 6)</f>
        <v>2</v>
      </c>
      <c r="E158" s="47">
        <f>ROUND(RV_DATA!K146, 6)</f>
        <v>285</v>
      </c>
      <c r="F158" s="47">
        <f>ROUND(SUMIF(RV_DATA!AA146:AA147, -1902312805, RV_DATA!M146:M147), 6)</f>
        <v>570</v>
      </c>
      <c r="Q158">
        <v>3</v>
      </c>
    </row>
    <row r="159" spans="1:17" ht="15" x14ac:dyDescent="0.25">
      <c r="A159" s="80" t="s">
        <v>613</v>
      </c>
      <c r="B159" s="80"/>
      <c r="C159" s="80"/>
      <c r="D159" s="80"/>
      <c r="E159" s="81">
        <f>SUMIF(Q157:Q158, 3, F157:F158)</f>
        <v>660.55</v>
      </c>
      <c r="F159" s="81"/>
    </row>
    <row r="160" spans="1:17" ht="16.5" x14ac:dyDescent="0.2">
      <c r="A160" s="71" t="str">
        <f>CONCATENATE("Подраздел: ",IF(Source!G522&lt;&gt;"Новый подраздел", Source!G522, ""))</f>
        <v>Подраздел: Прочее</v>
      </c>
      <c r="B160" s="72"/>
      <c r="C160" s="72"/>
      <c r="D160" s="72"/>
      <c r="E160" s="72"/>
      <c r="F160" s="72"/>
    </row>
    <row r="161" spans="1:17" ht="14.25" x14ac:dyDescent="0.2">
      <c r="A161" s="78" t="s">
        <v>612</v>
      </c>
      <c r="B161" s="79"/>
      <c r="C161" s="79"/>
      <c r="D161" s="79"/>
      <c r="E161" s="79"/>
      <c r="F161" s="79"/>
    </row>
    <row r="162" spans="1:17" ht="28.5" x14ac:dyDescent="0.2">
      <c r="A162" s="46" t="s">
        <v>451</v>
      </c>
      <c r="B162" s="38" t="s">
        <v>453</v>
      </c>
      <c r="C162" s="38" t="s">
        <v>68</v>
      </c>
      <c r="D162" s="39">
        <f>ROUND(SUMIF(RV_DATA!AA149:AA150, -453821089, RV_DATA!I149:I150), 6)</f>
        <v>1E-3</v>
      </c>
      <c r="E162" s="47">
        <f>ROUND(RV_DATA!K149, 6)</f>
        <v>8017.57</v>
      </c>
      <c r="F162" s="47">
        <f>ROUND(SUMIF(RV_DATA!AA149:AA150, -453821089, RV_DATA!M149:M150), 6)</f>
        <v>8.02</v>
      </c>
      <c r="Q162">
        <v>3</v>
      </c>
    </row>
    <row r="163" spans="1:17" ht="57" x14ac:dyDescent="0.2">
      <c r="A163" s="46" t="s">
        <v>293</v>
      </c>
      <c r="B163" s="38" t="s">
        <v>294</v>
      </c>
      <c r="C163" s="38" t="s">
        <v>171</v>
      </c>
      <c r="D163" s="39">
        <f>ROUND(SUMIF(RV_DATA!AA149:AA150, 885410941, RV_DATA!I149:I150), 6)</f>
        <v>2</v>
      </c>
      <c r="E163" s="47">
        <f>ROUND(RV_DATA!K150, 6)</f>
        <v>981.41</v>
      </c>
      <c r="F163" s="47">
        <f>ROUND(SUMIF(RV_DATA!AA149:AA150, 885410941, RV_DATA!M149:M150), 6)</f>
        <v>1962.82</v>
      </c>
      <c r="Q163">
        <v>3</v>
      </c>
    </row>
    <row r="164" spans="1:17" ht="15" x14ac:dyDescent="0.25">
      <c r="A164" s="80" t="s">
        <v>613</v>
      </c>
      <c r="B164" s="80"/>
      <c r="C164" s="80"/>
      <c r="D164" s="80"/>
      <c r="E164" s="81">
        <f>SUMIF(Q162:Q163, 3, F162:F163)</f>
        <v>1970.84</v>
      </c>
      <c r="F164" s="81"/>
    </row>
    <row r="165" spans="1:17" ht="16.5" x14ac:dyDescent="0.2">
      <c r="A165" s="71" t="str">
        <f>CONCATENATE("Раздел: ",IF(Source!G590&lt;&gt;"Новый раздел", Source!G590, ""))</f>
        <v>Раздел: Кровля</v>
      </c>
      <c r="B165" s="72"/>
      <c r="C165" s="72"/>
      <c r="D165" s="72"/>
      <c r="E165" s="72"/>
      <c r="F165" s="72"/>
    </row>
    <row r="166" spans="1:17" ht="14.25" x14ac:dyDescent="0.2">
      <c r="A166" s="78" t="s">
        <v>610</v>
      </c>
      <c r="B166" s="79"/>
      <c r="C166" s="79"/>
      <c r="D166" s="79"/>
      <c r="E166" s="79"/>
      <c r="F166" s="79"/>
    </row>
    <row r="167" spans="1:17" ht="28.5" x14ac:dyDescent="0.2">
      <c r="A167" s="46" t="s">
        <v>463</v>
      </c>
      <c r="B167" s="38" t="s">
        <v>465</v>
      </c>
      <c r="C167" s="38" t="s">
        <v>338</v>
      </c>
      <c r="D167" s="39">
        <f>ROUND(SUMIF(RV_DATA!AA152:AA158, 1126194205, RV_DATA!I152:I158), 6)</f>
        <v>13.56</v>
      </c>
      <c r="E167" s="47">
        <f>ROUND(RV_DATA!K157, 6)</f>
        <v>1465.49</v>
      </c>
      <c r="F167" s="47">
        <f>ROUND(SUMIF(RV_DATA!AA152:AA158, 1126194205, RV_DATA!M152:M158), 6)</f>
        <v>19872.03</v>
      </c>
      <c r="Q167">
        <v>2</v>
      </c>
    </row>
    <row r="168" spans="1:17" ht="28.5" x14ac:dyDescent="0.2">
      <c r="A168" s="46" t="s">
        <v>341</v>
      </c>
      <c r="B168" s="38" t="s">
        <v>343</v>
      </c>
      <c r="C168" s="38" t="s">
        <v>338</v>
      </c>
      <c r="D168" s="39">
        <f>ROUND(SUMIF(RV_DATA!AA152:AA158, 1115396703, RV_DATA!I152:I158), 6)</f>
        <v>13.56</v>
      </c>
      <c r="E168" s="47">
        <f>ROUND(RV_DATA!K156, 6)</f>
        <v>56.19</v>
      </c>
      <c r="F168" s="47">
        <f>ROUND(SUMIF(RV_DATA!AA152:AA158, 1115396703, RV_DATA!M152:M158), 6)</f>
        <v>761.94</v>
      </c>
      <c r="Q168">
        <v>2</v>
      </c>
    </row>
    <row r="169" spans="1:17" ht="14.25" x14ac:dyDescent="0.2">
      <c r="A169" s="46" t="s">
        <v>466</v>
      </c>
      <c r="B169" s="38" t="s">
        <v>468</v>
      </c>
      <c r="C169" s="38" t="s">
        <v>338</v>
      </c>
      <c r="D169" s="39">
        <f>ROUND(SUMIF(RV_DATA!AA152:AA158, -299720598, RV_DATA!I152:I158), 6)</f>
        <v>10.86</v>
      </c>
      <c r="E169" s="47">
        <f>ROUND(RV_DATA!K155, 6)</f>
        <v>76.53</v>
      </c>
      <c r="F169" s="47">
        <f>ROUND(SUMIF(RV_DATA!AA152:AA158, -299720598, RV_DATA!M152:M158), 6)</f>
        <v>831.12</v>
      </c>
      <c r="Q169">
        <v>2</v>
      </c>
    </row>
    <row r="170" spans="1:17" ht="14.25" x14ac:dyDescent="0.2">
      <c r="A170" s="46" t="s">
        <v>469</v>
      </c>
      <c r="B170" s="38" t="s">
        <v>471</v>
      </c>
      <c r="C170" s="38" t="s">
        <v>338</v>
      </c>
      <c r="D170" s="39">
        <f>ROUND(SUMIF(RV_DATA!AA152:AA158, 932182157, RV_DATA!I152:I158), 6)</f>
        <v>23.7</v>
      </c>
      <c r="E170" s="47">
        <f>ROUND(RV_DATA!K154, 6)</f>
        <v>9.56</v>
      </c>
      <c r="F170" s="47">
        <f>ROUND(SUMIF(RV_DATA!AA152:AA158, 932182157, RV_DATA!M152:M158), 6)</f>
        <v>226.56</v>
      </c>
      <c r="Q170">
        <v>2</v>
      </c>
    </row>
    <row r="171" spans="1:17" ht="15" x14ac:dyDescent="0.25">
      <c r="A171" s="80" t="s">
        <v>611</v>
      </c>
      <c r="B171" s="80"/>
      <c r="C171" s="80"/>
      <c r="D171" s="80"/>
      <c r="E171" s="81">
        <f>SUMIF(Q167:Q170, 2, F167:F170)</f>
        <v>21691.649999999998</v>
      </c>
      <c r="F171" s="81"/>
    </row>
    <row r="172" spans="1:17" ht="14.25" x14ac:dyDescent="0.2">
      <c r="A172" s="78" t="s">
        <v>612</v>
      </c>
      <c r="B172" s="79"/>
      <c r="C172" s="79"/>
      <c r="D172" s="79"/>
      <c r="E172" s="79"/>
      <c r="F172" s="79"/>
    </row>
    <row r="173" spans="1:17" ht="42.75" x14ac:dyDescent="0.2">
      <c r="A173" s="46" t="s">
        <v>472</v>
      </c>
      <c r="B173" s="38" t="s">
        <v>474</v>
      </c>
      <c r="C173" s="38" t="s">
        <v>68</v>
      </c>
      <c r="D173" s="39">
        <f>ROUND(SUMIF(RV_DATA!AA152:AA158, 1562852853, RV_DATA!I152:I158), 6)</f>
        <v>0.105</v>
      </c>
      <c r="E173" s="47">
        <f>ROUND(RV_DATA!K153, 6)</f>
        <v>129600.01</v>
      </c>
      <c r="F173" s="47">
        <f>ROUND(SUMIF(RV_DATA!AA152:AA158, 1562852853, RV_DATA!M152:M158), 6)</f>
        <v>13608</v>
      </c>
      <c r="Q173">
        <v>3</v>
      </c>
    </row>
    <row r="174" spans="1:17" ht="28.5" x14ac:dyDescent="0.2">
      <c r="A174" s="46" t="s">
        <v>303</v>
      </c>
      <c r="B174" s="38" t="s">
        <v>304</v>
      </c>
      <c r="C174" s="38" t="s">
        <v>132</v>
      </c>
      <c r="D174" s="39">
        <f>ROUND(SUMIF(RV_DATA!AA152:AA158, -2028944508, RV_DATA!I152:I158), 6)</f>
        <v>405</v>
      </c>
      <c r="E174" s="47">
        <f>ROUND(RV_DATA!K158, 6)</f>
        <v>315.89</v>
      </c>
      <c r="F174" s="47">
        <f>ROUND(SUMIF(RV_DATA!AA152:AA158, -2028944508, RV_DATA!M152:M158), 6)</f>
        <v>127935.45</v>
      </c>
      <c r="Q174">
        <v>3</v>
      </c>
    </row>
    <row r="175" spans="1:17" ht="14.25" x14ac:dyDescent="0.2">
      <c r="A175" s="46" t="s">
        <v>475</v>
      </c>
      <c r="B175" s="38" t="s">
        <v>477</v>
      </c>
      <c r="C175" s="38" t="s">
        <v>63</v>
      </c>
      <c r="D175" s="39">
        <f>ROUND(SUMIF(RV_DATA!AA152:AA158, -1642556842, RV_DATA!I152:I158), 6)</f>
        <v>10.199999999999999</v>
      </c>
      <c r="E175" s="47">
        <f>ROUND(RV_DATA!K152, 6)</f>
        <v>68.540000000000006</v>
      </c>
      <c r="F175" s="47">
        <f>ROUND(SUMIF(RV_DATA!AA152:AA158, -1642556842, RV_DATA!M152:M158), 6)</f>
        <v>699.12</v>
      </c>
      <c r="Q175">
        <v>3</v>
      </c>
    </row>
    <row r="176" spans="1:17" ht="15" x14ac:dyDescent="0.25">
      <c r="A176" s="80" t="s">
        <v>613</v>
      </c>
      <c r="B176" s="80"/>
      <c r="C176" s="80"/>
      <c r="D176" s="80"/>
      <c r="E176" s="81">
        <f>SUMIF(Q173:Q175, 3, F173:F175)</f>
        <v>142242.57</v>
      </c>
      <c r="F176" s="81"/>
    </row>
    <row r="177" spans="1:17" ht="16.5" x14ac:dyDescent="0.2">
      <c r="A177" s="71" t="str">
        <f>CONCATENATE("Раздел: ",IF(Source!G628&lt;&gt;"Новый раздел", Source!G628, ""))</f>
        <v>Раздел: Мусор</v>
      </c>
      <c r="B177" s="72"/>
      <c r="C177" s="72"/>
      <c r="D177" s="72"/>
      <c r="E177" s="72"/>
      <c r="F177" s="72"/>
    </row>
    <row r="178" spans="1:17" ht="14.25" x14ac:dyDescent="0.2">
      <c r="A178" s="78" t="s">
        <v>610</v>
      </c>
      <c r="B178" s="79"/>
      <c r="C178" s="79"/>
      <c r="D178" s="79"/>
      <c r="E178" s="79"/>
      <c r="F178" s="79"/>
    </row>
    <row r="179" spans="1:17" ht="42.75" x14ac:dyDescent="0.2">
      <c r="A179" s="46" t="s">
        <v>478</v>
      </c>
      <c r="B179" s="38" t="s">
        <v>480</v>
      </c>
      <c r="C179" s="38" t="s">
        <v>338</v>
      </c>
      <c r="D179" s="39">
        <f>ROUND(SUMIF(RV_DATA!AA160:AA164, -355280745, RV_DATA!I160:I164), 6)</f>
        <v>3.4637000000000001E-2</v>
      </c>
      <c r="E179" s="47">
        <f>ROUND(RV_DATA!K160, 6)</f>
        <v>2195.02</v>
      </c>
      <c r="F179" s="47">
        <f>ROUND(SUMIF(RV_DATA!AA160:AA164, -355280745, RV_DATA!M160:M164), 6)</f>
        <v>76.03</v>
      </c>
      <c r="Q179">
        <v>2</v>
      </c>
    </row>
    <row r="180" spans="1:17" ht="28.5" x14ac:dyDescent="0.2">
      <c r="A180" s="46" t="s">
        <v>481</v>
      </c>
      <c r="B180" s="38" t="s">
        <v>483</v>
      </c>
      <c r="C180" s="38" t="s">
        <v>338</v>
      </c>
      <c r="D180" s="39">
        <f>ROUND(SUMIF(RV_DATA!AA160:AA164, 406812087, RV_DATA!I160:I164), 6)</f>
        <v>0.32250000000000001</v>
      </c>
      <c r="E180" s="47">
        <f>ROUND(RV_DATA!K162, 6)</f>
        <v>1552.57</v>
      </c>
      <c r="F180" s="47">
        <f>ROUND(SUMIF(RV_DATA!AA160:AA164, 406812087, RV_DATA!M160:M164), 6)</f>
        <v>500.84</v>
      </c>
      <c r="Q180">
        <v>2</v>
      </c>
    </row>
    <row r="181" spans="1:17" ht="28.5" x14ac:dyDescent="0.2">
      <c r="A181" s="46" t="s">
        <v>484</v>
      </c>
      <c r="B181" s="38" t="s">
        <v>486</v>
      </c>
      <c r="C181" s="38" t="s">
        <v>338</v>
      </c>
      <c r="D181" s="39">
        <f>ROUND(SUMIF(RV_DATA!AA160:AA164, 1779266029, RV_DATA!I160:I164), 6)</f>
        <v>0.25929000000000002</v>
      </c>
      <c r="E181" s="47">
        <f>ROUND(RV_DATA!K161, 6)</f>
        <v>1566.41</v>
      </c>
      <c r="F181" s="47">
        <f>ROUND(SUMIF(RV_DATA!AA160:AA164, 1779266029, RV_DATA!M160:M164), 6)</f>
        <v>406.12</v>
      </c>
      <c r="Q181">
        <v>2</v>
      </c>
    </row>
    <row r="182" spans="1:17" ht="15" x14ac:dyDescent="0.25">
      <c r="A182" s="80" t="s">
        <v>611</v>
      </c>
      <c r="B182" s="80"/>
      <c r="C182" s="80"/>
      <c r="D182" s="80"/>
      <c r="E182" s="81">
        <f>SUMIF(Q179:Q181, 2, F179:F181)</f>
        <v>982.99</v>
      </c>
      <c r="F182" s="81"/>
    </row>
  </sheetData>
  <sortState ref="A179:R181">
    <sortCondition ref="A179"/>
  </sortState>
  <mergeCells count="84">
    <mergeCell ref="A182:D182"/>
    <mergeCell ref="E182:F182"/>
    <mergeCell ref="A164:D164"/>
    <mergeCell ref="E164:F164"/>
    <mergeCell ref="A165:F165"/>
    <mergeCell ref="A166:F166"/>
    <mergeCell ref="A171:D171"/>
    <mergeCell ref="E171:F171"/>
    <mergeCell ref="A172:F172"/>
    <mergeCell ref="A176:D176"/>
    <mergeCell ref="E176:F176"/>
    <mergeCell ref="A177:F177"/>
    <mergeCell ref="A178:F178"/>
    <mergeCell ref="A161:F161"/>
    <mergeCell ref="A133:F133"/>
    <mergeCell ref="A134:F134"/>
    <mergeCell ref="A136:D136"/>
    <mergeCell ref="E136:F136"/>
    <mergeCell ref="A137:F137"/>
    <mergeCell ref="A154:D154"/>
    <mergeCell ref="E154:F154"/>
    <mergeCell ref="A155:F155"/>
    <mergeCell ref="A156:F156"/>
    <mergeCell ref="A159:D159"/>
    <mergeCell ref="E159:F159"/>
    <mergeCell ref="A160:F160"/>
    <mergeCell ref="A126:D126"/>
    <mergeCell ref="E126:F126"/>
    <mergeCell ref="A127:F127"/>
    <mergeCell ref="A128:F128"/>
    <mergeCell ref="A132:D132"/>
    <mergeCell ref="E132:F132"/>
    <mergeCell ref="A119:F119"/>
    <mergeCell ref="A83:F83"/>
    <mergeCell ref="A92:D92"/>
    <mergeCell ref="E92:F92"/>
    <mergeCell ref="A93:F93"/>
    <mergeCell ref="A107:D107"/>
    <mergeCell ref="E107:F107"/>
    <mergeCell ref="A108:F108"/>
    <mergeCell ref="A109:F109"/>
    <mergeCell ref="A117:D117"/>
    <mergeCell ref="E117:F117"/>
    <mergeCell ref="A118:F118"/>
    <mergeCell ref="A82:F82"/>
    <mergeCell ref="A53:F53"/>
    <mergeCell ref="A70:D70"/>
    <mergeCell ref="E70:F70"/>
    <mergeCell ref="A71:F71"/>
    <mergeCell ref="A72:F72"/>
    <mergeCell ref="A75:D75"/>
    <mergeCell ref="E75:F75"/>
    <mergeCell ref="A76:F76"/>
    <mergeCell ref="A77:F77"/>
    <mergeCell ref="A80:D80"/>
    <mergeCell ref="E80:F80"/>
    <mergeCell ref="A81:F81"/>
    <mergeCell ref="A52:D52"/>
    <mergeCell ref="E52:F52"/>
    <mergeCell ref="A21:F21"/>
    <mergeCell ref="A35:D35"/>
    <mergeCell ref="E35:F35"/>
    <mergeCell ref="A36:F36"/>
    <mergeCell ref="A37:F37"/>
    <mergeCell ref="A39:D39"/>
    <mergeCell ref="E39:F39"/>
    <mergeCell ref="A40:F40"/>
    <mergeCell ref="A48:D48"/>
    <mergeCell ref="E48:F48"/>
    <mergeCell ref="A49:F49"/>
    <mergeCell ref="A50:F50"/>
    <mergeCell ref="A8:F8"/>
    <mergeCell ref="A9:F9"/>
    <mergeCell ref="A10:F10"/>
    <mergeCell ref="A11:F11"/>
    <mergeCell ref="A20:D20"/>
    <mergeCell ref="E20:F20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734"/>
  <sheetViews>
    <sheetView workbookViewId="0">
      <selection activeCell="A730" sqref="A730:O730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730</v>
      </c>
      <c r="C12" s="1">
        <v>0</v>
      </c>
      <c r="D12" s="1">
        <f>ROW(A694)</f>
        <v>694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B694</f>
        <v>730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Крылатские холмы д. 15к1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O694</f>
        <v>596808.9</v>
      </c>
      <c r="P18" s="2">
        <f t="shared" si="1"/>
        <v>408070.45</v>
      </c>
      <c r="Q18" s="2">
        <f t="shared" si="1"/>
        <v>23908.95</v>
      </c>
      <c r="R18" s="2">
        <f t="shared" si="1"/>
        <v>12276.9</v>
      </c>
      <c r="S18" s="2">
        <f t="shared" si="1"/>
        <v>164829.5</v>
      </c>
      <c r="T18" s="2">
        <f t="shared" si="1"/>
        <v>0</v>
      </c>
      <c r="U18" s="2">
        <f t="shared" si="1"/>
        <v>339.69718900000004</v>
      </c>
      <c r="V18" s="2">
        <f t="shared" si="1"/>
        <v>0</v>
      </c>
      <c r="W18" s="2">
        <f t="shared" si="1"/>
        <v>0</v>
      </c>
      <c r="X18" s="2">
        <f t="shared" si="1"/>
        <v>115380.67</v>
      </c>
      <c r="Y18" s="2">
        <f t="shared" si="1"/>
        <v>16482.98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741009.02</v>
      </c>
      <c r="AS18" s="2">
        <f t="shared" si="1"/>
        <v>0</v>
      </c>
      <c r="AT18" s="2">
        <f t="shared" si="1"/>
        <v>0</v>
      </c>
      <c r="AU18" s="2">
        <f t="shared" ref="AU18:BZ18" si="2">AU694</f>
        <v>741009.02</v>
      </c>
      <c r="AV18" s="2">
        <f t="shared" si="2"/>
        <v>408070.45</v>
      </c>
      <c r="AW18" s="2">
        <f t="shared" si="2"/>
        <v>408070.45</v>
      </c>
      <c r="AX18" s="2">
        <f t="shared" si="2"/>
        <v>0</v>
      </c>
      <c r="AY18" s="2">
        <f t="shared" si="2"/>
        <v>408070.45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CA694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DG694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EM694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FS694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ROW(A664)</f>
        <v>664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B664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O664</f>
        <v>596808.9</v>
      </c>
      <c r="P22" s="2">
        <f t="shared" si="8"/>
        <v>408070.45</v>
      </c>
      <c r="Q22" s="2">
        <f t="shared" si="8"/>
        <v>23908.95</v>
      </c>
      <c r="R22" s="2">
        <f t="shared" si="8"/>
        <v>12276.9</v>
      </c>
      <c r="S22" s="2">
        <f t="shared" si="8"/>
        <v>164829.5</v>
      </c>
      <c r="T22" s="2">
        <f t="shared" si="8"/>
        <v>0</v>
      </c>
      <c r="U22" s="2">
        <f t="shared" si="8"/>
        <v>339.69718900000004</v>
      </c>
      <c r="V22" s="2">
        <f t="shared" si="8"/>
        <v>0</v>
      </c>
      <c r="W22" s="2">
        <f t="shared" si="8"/>
        <v>0</v>
      </c>
      <c r="X22" s="2">
        <f t="shared" si="8"/>
        <v>115380.67</v>
      </c>
      <c r="Y22" s="2">
        <f t="shared" si="8"/>
        <v>16482.98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741009.02</v>
      </c>
      <c r="AS22" s="2">
        <f t="shared" si="8"/>
        <v>0</v>
      </c>
      <c r="AT22" s="2">
        <f t="shared" si="8"/>
        <v>0</v>
      </c>
      <c r="AU22" s="2">
        <f t="shared" ref="AU22:BZ22" si="9">AU664</f>
        <v>741009.02</v>
      </c>
      <c r="AV22" s="2">
        <f t="shared" si="9"/>
        <v>408070.45</v>
      </c>
      <c r="AW22" s="2">
        <f t="shared" si="9"/>
        <v>408070.45</v>
      </c>
      <c r="AX22" s="2">
        <f t="shared" si="9"/>
        <v>0</v>
      </c>
      <c r="AY22" s="2">
        <f t="shared" si="9"/>
        <v>408070.45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CA664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DG664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EM664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FS664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ROW(A239)</f>
        <v>239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B239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Второй этаж, кабинет № 216</v>
      </c>
      <c r="H26" s="2"/>
      <c r="I26" s="2"/>
      <c r="J26" s="2"/>
      <c r="K26" s="2"/>
      <c r="L26" s="2"/>
      <c r="M26" s="2"/>
      <c r="N26" s="2"/>
      <c r="O26" s="2">
        <f t="shared" ref="O26:AT26" si="15">O239</f>
        <v>188287.75</v>
      </c>
      <c r="P26" s="2">
        <f t="shared" si="15"/>
        <v>134053.21</v>
      </c>
      <c r="Q26" s="2">
        <f t="shared" si="15"/>
        <v>378.35</v>
      </c>
      <c r="R26" s="2">
        <f t="shared" si="15"/>
        <v>16.28</v>
      </c>
      <c r="S26" s="2">
        <f t="shared" si="15"/>
        <v>53856.19</v>
      </c>
      <c r="T26" s="2">
        <f t="shared" si="15"/>
        <v>0</v>
      </c>
      <c r="U26" s="2">
        <f t="shared" si="15"/>
        <v>118.07234</v>
      </c>
      <c r="V26" s="2">
        <f t="shared" si="15"/>
        <v>0</v>
      </c>
      <c r="W26" s="2">
        <f t="shared" si="15"/>
        <v>0</v>
      </c>
      <c r="X26" s="2">
        <f t="shared" si="15"/>
        <v>37699.339999999997</v>
      </c>
      <c r="Y26" s="2">
        <f t="shared" si="15"/>
        <v>5385.64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231390.31</v>
      </c>
      <c r="AS26" s="2">
        <f t="shared" si="15"/>
        <v>0</v>
      </c>
      <c r="AT26" s="2">
        <f t="shared" si="15"/>
        <v>0</v>
      </c>
      <c r="AU26" s="2">
        <f t="shared" ref="AU26:BZ26" si="16">AU239</f>
        <v>231390.31</v>
      </c>
      <c r="AV26" s="2">
        <f t="shared" si="16"/>
        <v>134053.21</v>
      </c>
      <c r="AW26" s="2">
        <f t="shared" si="16"/>
        <v>134053.21</v>
      </c>
      <c r="AX26" s="2">
        <f t="shared" si="16"/>
        <v>0</v>
      </c>
      <c r="AY26" s="2">
        <f t="shared" si="16"/>
        <v>134053.21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CA239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DG239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EM239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FS239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ROW(A45)</f>
        <v>45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B45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Полы</v>
      </c>
      <c r="H30" s="2"/>
      <c r="I30" s="2"/>
      <c r="J30" s="2"/>
      <c r="K30" s="2"/>
      <c r="L30" s="2"/>
      <c r="M30" s="2"/>
      <c r="N30" s="2"/>
      <c r="O30" s="2">
        <f t="shared" ref="O30:AT30" si="22">O45</f>
        <v>136504.79999999999</v>
      </c>
      <c r="P30" s="2">
        <f t="shared" si="22"/>
        <v>105878.42</v>
      </c>
      <c r="Q30" s="2">
        <f t="shared" si="22"/>
        <v>376.43</v>
      </c>
      <c r="R30" s="2">
        <f t="shared" si="22"/>
        <v>16.239999999999998</v>
      </c>
      <c r="S30" s="2">
        <f t="shared" si="22"/>
        <v>30249.95</v>
      </c>
      <c r="T30" s="2">
        <f t="shared" si="22"/>
        <v>0</v>
      </c>
      <c r="U30" s="2">
        <f t="shared" si="22"/>
        <v>65.583239999999989</v>
      </c>
      <c r="V30" s="2">
        <f t="shared" si="22"/>
        <v>0</v>
      </c>
      <c r="W30" s="2">
        <f t="shared" si="22"/>
        <v>0</v>
      </c>
      <c r="X30" s="2">
        <f t="shared" si="22"/>
        <v>21174.959999999999</v>
      </c>
      <c r="Y30" s="2">
        <f t="shared" si="22"/>
        <v>3025</v>
      </c>
      <c r="Z30" s="2">
        <f t="shared" si="22"/>
        <v>0</v>
      </c>
      <c r="AA30" s="2">
        <f t="shared" si="22"/>
        <v>0</v>
      </c>
      <c r="AB30" s="2">
        <f t="shared" si="22"/>
        <v>136504.79999999999</v>
      </c>
      <c r="AC30" s="2">
        <f t="shared" si="22"/>
        <v>105878.42</v>
      </c>
      <c r="AD30" s="2">
        <f t="shared" si="22"/>
        <v>376.43</v>
      </c>
      <c r="AE30" s="2">
        <f t="shared" si="22"/>
        <v>16.239999999999998</v>
      </c>
      <c r="AF30" s="2">
        <f t="shared" si="22"/>
        <v>30249.95</v>
      </c>
      <c r="AG30" s="2">
        <f t="shared" si="22"/>
        <v>0</v>
      </c>
      <c r="AH30" s="2">
        <f t="shared" si="22"/>
        <v>65.583239999999989</v>
      </c>
      <c r="AI30" s="2">
        <f t="shared" si="22"/>
        <v>0</v>
      </c>
      <c r="AJ30" s="2">
        <f t="shared" si="22"/>
        <v>0</v>
      </c>
      <c r="AK30" s="2">
        <f t="shared" si="22"/>
        <v>21174.959999999999</v>
      </c>
      <c r="AL30" s="2">
        <f t="shared" si="22"/>
        <v>3025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160722.29999999999</v>
      </c>
      <c r="AS30" s="2">
        <f t="shared" si="22"/>
        <v>0</v>
      </c>
      <c r="AT30" s="2">
        <f t="shared" si="22"/>
        <v>0</v>
      </c>
      <c r="AU30" s="2">
        <f t="shared" ref="AU30:BZ30" si="23">AU45</f>
        <v>160722.29999999999</v>
      </c>
      <c r="AV30" s="2">
        <f t="shared" si="23"/>
        <v>105878.42</v>
      </c>
      <c r="AW30" s="2">
        <f t="shared" si="23"/>
        <v>105878.42</v>
      </c>
      <c r="AX30" s="2">
        <f t="shared" si="23"/>
        <v>0</v>
      </c>
      <c r="AY30" s="2">
        <f t="shared" si="23"/>
        <v>105878.42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CA45</f>
        <v>160722.29999999999</v>
      </c>
      <c r="CB30" s="2">
        <f t="shared" si="24"/>
        <v>0</v>
      </c>
      <c r="CC30" s="2">
        <f t="shared" si="24"/>
        <v>0</v>
      </c>
      <c r="CD30" s="2">
        <f t="shared" si="24"/>
        <v>160722.29999999999</v>
      </c>
      <c r="CE30" s="2">
        <f t="shared" si="24"/>
        <v>105878.42</v>
      </c>
      <c r="CF30" s="2">
        <f t="shared" si="24"/>
        <v>105878.42</v>
      </c>
      <c r="CG30" s="2">
        <f t="shared" si="24"/>
        <v>0</v>
      </c>
      <c r="CH30" s="2">
        <f t="shared" si="24"/>
        <v>105878.42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DG45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EM45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FS45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ROW(SmtRes!A2)</f>
        <v>2</v>
      </c>
      <c r="D32">
        <f>ROW(EtalonRes!A2)</f>
        <v>2</v>
      </c>
      <c r="E32" t="s">
        <v>17</v>
      </c>
      <c r="F32" t="s">
        <v>18</v>
      </c>
      <c r="G32" t="s">
        <v>19</v>
      </c>
      <c r="H32" t="s">
        <v>20</v>
      </c>
      <c r="I32">
        <f>ROUND(0.9/100,9)</f>
        <v>8.9999999999999993E-3</v>
      </c>
      <c r="J32">
        <v>0</v>
      </c>
      <c r="K32">
        <f>ROUND(0.9/100,9)</f>
        <v>8.9999999999999993E-3</v>
      </c>
      <c r="O32">
        <f t="shared" ref="O32:O43" si="28">ROUND(CP32,2)</f>
        <v>11.46</v>
      </c>
      <c r="P32">
        <f t="shared" ref="P32:P43" si="29">ROUND(CQ32*I32,2)</f>
        <v>0</v>
      </c>
      <c r="Q32">
        <f t="shared" ref="Q32:Q43" si="30">ROUND(CR32*I32,2)</f>
        <v>7.0000000000000007E-2</v>
      </c>
      <c r="R32">
        <f t="shared" ref="R32:R43" si="31">ROUND(CS32*I32,2)</f>
        <v>0</v>
      </c>
      <c r="S32">
        <f t="shared" ref="S32:S43" si="32">ROUND(CT32*I32,2)</f>
        <v>11.39</v>
      </c>
      <c r="T32">
        <f t="shared" ref="T32:T43" si="33">ROUND(CU32*I32,2)</f>
        <v>0</v>
      </c>
      <c r="U32">
        <f t="shared" ref="U32:U43" si="34">CV32*I32</f>
        <v>2.8169999999999997E-2</v>
      </c>
      <c r="V32">
        <f t="shared" ref="V32:V43" si="35">CW32*I32</f>
        <v>0</v>
      </c>
      <c r="W32">
        <f t="shared" ref="W32:W43" si="36">ROUND(CX32*I32,2)</f>
        <v>0</v>
      </c>
      <c r="X32">
        <f t="shared" ref="X32:X43" si="37">ROUND(CY32,2)</f>
        <v>7.97</v>
      </c>
      <c r="Y32">
        <f t="shared" ref="Y32:Y43" si="38">ROUND(CZ32,2)</f>
        <v>1.1399999999999999</v>
      </c>
      <c r="AA32">
        <v>75700856</v>
      </c>
      <c r="AB32">
        <f t="shared" ref="AB32:AB43" si="39">ROUND((AC32+AD32+AF32),6)</f>
        <v>1273.3399999999999</v>
      </c>
      <c r="AC32">
        <f t="shared" ref="AC32:AC43" si="40">ROUND((ES32),6)</f>
        <v>0</v>
      </c>
      <c r="AD32">
        <f t="shared" ref="AD32:AD43" si="41">ROUND((((ET32)-(EU32))+AE32),6)</f>
        <v>7.44</v>
      </c>
      <c r="AE32">
        <f t="shared" ref="AE32:AE43" si="42">ROUND((EU32),6)</f>
        <v>0.01</v>
      </c>
      <c r="AF32">
        <f t="shared" ref="AF32:AF43" si="43">ROUND((EV32),6)</f>
        <v>1265.9000000000001</v>
      </c>
      <c r="AG32">
        <f t="shared" ref="AG32:AG43" si="44">ROUND((AP32),6)</f>
        <v>0</v>
      </c>
      <c r="AH32">
        <f t="shared" ref="AH32:AH43" si="45">(EW32)</f>
        <v>3.13</v>
      </c>
      <c r="AI32">
        <f t="shared" ref="AI32:AI43" si="46">(EX32)</f>
        <v>0</v>
      </c>
      <c r="AJ32">
        <f t="shared" ref="AJ32:AJ43" si="47">(AS32)</f>
        <v>0</v>
      </c>
      <c r="AK32">
        <v>1273.3399999999999</v>
      </c>
      <c r="AL32">
        <v>0</v>
      </c>
      <c r="AM32">
        <v>7.44</v>
      </c>
      <c r="AN32">
        <v>0.01</v>
      </c>
      <c r="AO32">
        <v>1265.9000000000001</v>
      </c>
      <c r="AP32">
        <v>0</v>
      </c>
      <c r="AQ32">
        <v>3.13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75371441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3" si="48">(P32+Q32+S32)</f>
        <v>11.46</v>
      </c>
      <c r="CQ32">
        <f t="shared" ref="CQ32:CQ43" si="49">(AC32*BC32*AW32)</f>
        <v>0</v>
      </c>
      <c r="CR32">
        <f t="shared" ref="CR32:CR43" si="50">((((ET32)*BB32-(EU32)*BS32)+AE32*BS32)*AV32)</f>
        <v>7.44</v>
      </c>
      <c r="CS32">
        <f t="shared" ref="CS32:CS43" si="51">(AE32*BS32*AV32)</f>
        <v>0.01</v>
      </c>
      <c r="CT32">
        <f t="shared" ref="CT32:CT43" si="52">(AF32*BA32*AV32)</f>
        <v>1265.9000000000001</v>
      </c>
      <c r="CU32">
        <f t="shared" ref="CU32:CU43" si="53">AG32</f>
        <v>0</v>
      </c>
      <c r="CV32">
        <f t="shared" ref="CV32:CV43" si="54">(AH32*AV32)</f>
        <v>3.13</v>
      </c>
      <c r="CW32">
        <f t="shared" ref="CW32:CW43" si="55">AI32</f>
        <v>0</v>
      </c>
      <c r="CX32">
        <f t="shared" ref="CX32:CX43" si="56">AJ32</f>
        <v>0</v>
      </c>
      <c r="CY32">
        <f t="shared" ref="CY32:CY43" si="57">((S32*BZ32)/100)</f>
        <v>7.9730000000000008</v>
      </c>
      <c r="CZ32">
        <f t="shared" ref="CZ32:CZ43" si="58">((S32*CA32)/100)</f>
        <v>1.139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20</v>
      </c>
      <c r="DW32" t="s">
        <v>20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75371444</v>
      </c>
      <c r="EF32">
        <v>1</v>
      </c>
      <c r="EG32" t="s">
        <v>22</v>
      </c>
      <c r="EH32">
        <v>0</v>
      </c>
      <c r="EI32" t="s">
        <v>3</v>
      </c>
      <c r="EJ32">
        <v>4</v>
      </c>
      <c r="EK32">
        <v>0</v>
      </c>
      <c r="EL32" t="s">
        <v>23</v>
      </c>
      <c r="EM32" t="s">
        <v>24</v>
      </c>
      <c r="EO32" t="s">
        <v>3</v>
      </c>
      <c r="EQ32">
        <v>0</v>
      </c>
      <c r="ER32">
        <v>1273.3399999999999</v>
      </c>
      <c r="ES32">
        <v>0</v>
      </c>
      <c r="ET32">
        <v>7.44</v>
      </c>
      <c r="EU32">
        <v>0.01</v>
      </c>
      <c r="EV32">
        <v>1265.9000000000001</v>
      </c>
      <c r="EW32">
        <v>3.13</v>
      </c>
      <c r="EX32">
        <v>0</v>
      </c>
      <c r="EY32">
        <v>0</v>
      </c>
      <c r="FQ32">
        <v>0</v>
      </c>
      <c r="FR32">
        <f t="shared" ref="FR32:FR43" si="59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-165607115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3" si="60">ROUND(IF(AND(BH32=3,BI32=3,FS32&lt;&gt;0),P32,0),2)</f>
        <v>0</v>
      </c>
      <c r="GM32">
        <f t="shared" ref="GM32:GM43" si="61">ROUND(O32+X32+Y32+GK32,2)+GX32</f>
        <v>20.57</v>
      </c>
      <c r="GN32">
        <f t="shared" ref="GN32:GN43" si="62">IF(OR(BI32=0,BI32=1),GM32-GX32,0)</f>
        <v>0</v>
      </c>
      <c r="GO32">
        <f t="shared" ref="GO32:GO43" si="63">IF(BI32=2,GM32-GX32,0)</f>
        <v>0</v>
      </c>
      <c r="GP32">
        <f t="shared" ref="GP32:GP43" si="64">IF(BI32=4,GM32-GX32,0)</f>
        <v>20.57</v>
      </c>
      <c r="GR32">
        <v>0</v>
      </c>
      <c r="GS32">
        <v>3</v>
      </c>
      <c r="GT32">
        <v>0</v>
      </c>
      <c r="GU32" t="s">
        <v>3</v>
      </c>
      <c r="GV32">
        <f t="shared" ref="GV32:GV43" si="65">ROUND((GT32),6)</f>
        <v>0</v>
      </c>
      <c r="GW32">
        <v>1</v>
      </c>
      <c r="GX32">
        <f t="shared" ref="GX32:GX43" si="66">ROUND(HC32*I32,2)</f>
        <v>0</v>
      </c>
      <c r="HA32">
        <v>0</v>
      </c>
      <c r="HB32">
        <v>0</v>
      </c>
      <c r="HC32">
        <f t="shared" ref="HC32:HC43" si="67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ROW(SmtRes!A4)</f>
        <v>4</v>
      </c>
      <c r="D33">
        <f>ROW(EtalonRes!A4)</f>
        <v>4</v>
      </c>
      <c r="E33" t="s">
        <v>25</v>
      </c>
      <c r="F33" t="s">
        <v>26</v>
      </c>
      <c r="G33" t="s">
        <v>27</v>
      </c>
      <c r="H33" t="s">
        <v>20</v>
      </c>
      <c r="I33">
        <f>ROUND(32.35/100,9)</f>
        <v>0.32350000000000001</v>
      </c>
      <c r="J33">
        <v>0</v>
      </c>
      <c r="K33">
        <f>ROUND(32.35/100,9)</f>
        <v>0.32350000000000001</v>
      </c>
      <c r="O33">
        <f t="shared" si="28"/>
        <v>356.12</v>
      </c>
      <c r="P33">
        <f t="shared" si="29"/>
        <v>0</v>
      </c>
      <c r="Q33">
        <f t="shared" si="30"/>
        <v>0.82</v>
      </c>
      <c r="R33">
        <f t="shared" si="31"/>
        <v>0</v>
      </c>
      <c r="S33">
        <f t="shared" si="32"/>
        <v>355.3</v>
      </c>
      <c r="T33">
        <f t="shared" si="33"/>
        <v>0</v>
      </c>
      <c r="U33">
        <f t="shared" si="34"/>
        <v>0.89932999999999996</v>
      </c>
      <c r="V33">
        <f t="shared" si="35"/>
        <v>0</v>
      </c>
      <c r="W33">
        <f t="shared" si="36"/>
        <v>0</v>
      </c>
      <c r="X33">
        <f t="shared" si="37"/>
        <v>248.71</v>
      </c>
      <c r="Y33">
        <f t="shared" si="38"/>
        <v>35.53</v>
      </c>
      <c r="AA33">
        <v>75700856</v>
      </c>
      <c r="AB33">
        <f t="shared" si="39"/>
        <v>1100.82</v>
      </c>
      <c r="AC33">
        <f t="shared" si="40"/>
        <v>0</v>
      </c>
      <c r="AD33">
        <f t="shared" si="41"/>
        <v>2.5299999999999998</v>
      </c>
      <c r="AE33">
        <f t="shared" si="42"/>
        <v>0</v>
      </c>
      <c r="AF33">
        <f t="shared" si="43"/>
        <v>1098.29</v>
      </c>
      <c r="AG33">
        <f t="shared" si="44"/>
        <v>0</v>
      </c>
      <c r="AH33">
        <f t="shared" si="45"/>
        <v>2.78</v>
      </c>
      <c r="AI33">
        <f t="shared" si="46"/>
        <v>0</v>
      </c>
      <c r="AJ33">
        <f t="shared" si="47"/>
        <v>0</v>
      </c>
      <c r="AK33">
        <v>1100.82</v>
      </c>
      <c r="AL33">
        <v>0</v>
      </c>
      <c r="AM33">
        <v>2.5299999999999998</v>
      </c>
      <c r="AN33">
        <v>0</v>
      </c>
      <c r="AO33">
        <v>1098.29</v>
      </c>
      <c r="AP33">
        <v>0</v>
      </c>
      <c r="AQ33">
        <v>2.78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28</v>
      </c>
      <c r="BM33">
        <v>0</v>
      </c>
      <c r="BN33">
        <v>75371441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8"/>
        <v>356.12</v>
      </c>
      <c r="CQ33">
        <f t="shared" si="49"/>
        <v>0</v>
      </c>
      <c r="CR33">
        <f t="shared" si="50"/>
        <v>2.5299999999999998</v>
      </c>
      <c r="CS33">
        <f t="shared" si="51"/>
        <v>0</v>
      </c>
      <c r="CT33">
        <f t="shared" si="52"/>
        <v>1098.29</v>
      </c>
      <c r="CU33">
        <f t="shared" si="53"/>
        <v>0</v>
      </c>
      <c r="CV33">
        <f t="shared" si="54"/>
        <v>2.78</v>
      </c>
      <c r="CW33">
        <f t="shared" si="55"/>
        <v>0</v>
      </c>
      <c r="CX33">
        <f t="shared" si="56"/>
        <v>0</v>
      </c>
      <c r="CY33">
        <f t="shared" si="57"/>
        <v>248.71</v>
      </c>
      <c r="CZ33">
        <f t="shared" si="58"/>
        <v>35.53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75371444</v>
      </c>
      <c r="EF33">
        <v>1</v>
      </c>
      <c r="EG33" t="s">
        <v>22</v>
      </c>
      <c r="EH33">
        <v>0</v>
      </c>
      <c r="EI33" t="s">
        <v>3</v>
      </c>
      <c r="EJ33">
        <v>4</v>
      </c>
      <c r="EK33">
        <v>0</v>
      </c>
      <c r="EL33" t="s">
        <v>23</v>
      </c>
      <c r="EM33" t="s">
        <v>24</v>
      </c>
      <c r="EO33" t="s">
        <v>3</v>
      </c>
      <c r="EQ33">
        <v>0</v>
      </c>
      <c r="ER33">
        <v>1100.82</v>
      </c>
      <c r="ES33">
        <v>0</v>
      </c>
      <c r="ET33">
        <v>2.5299999999999998</v>
      </c>
      <c r="EU33">
        <v>0</v>
      </c>
      <c r="EV33">
        <v>1098.29</v>
      </c>
      <c r="EW33">
        <v>2.78</v>
      </c>
      <c r="EX33">
        <v>0</v>
      </c>
      <c r="EY33">
        <v>0</v>
      </c>
      <c r="FQ33">
        <v>0</v>
      </c>
      <c r="FR33">
        <f t="shared" si="59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-1052774508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60"/>
        <v>0</v>
      </c>
      <c r="GM33">
        <f t="shared" si="61"/>
        <v>640.36</v>
      </c>
      <c r="GN33">
        <f t="shared" si="62"/>
        <v>0</v>
      </c>
      <c r="GO33">
        <f t="shared" si="63"/>
        <v>0</v>
      </c>
      <c r="GP33">
        <f t="shared" si="64"/>
        <v>640.36</v>
      </c>
      <c r="GR33">
        <v>0</v>
      </c>
      <c r="GS33">
        <v>3</v>
      </c>
      <c r="GT33">
        <v>0</v>
      </c>
      <c r="GU33" t="s">
        <v>3</v>
      </c>
      <c r="GV33">
        <f t="shared" si="65"/>
        <v>0</v>
      </c>
      <c r="GW33">
        <v>1</v>
      </c>
      <c r="GX33">
        <f t="shared" si="66"/>
        <v>0</v>
      </c>
      <c r="HA33">
        <v>0</v>
      </c>
      <c r="HB33">
        <v>0</v>
      </c>
      <c r="HC33">
        <f t="shared" si="67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ROW(SmtRes!A6)</f>
        <v>6</v>
      </c>
      <c r="D34">
        <f>ROW(EtalonRes!A6)</f>
        <v>6</v>
      </c>
      <c r="E34" t="s">
        <v>29</v>
      </c>
      <c r="F34" t="s">
        <v>30</v>
      </c>
      <c r="G34" t="s">
        <v>31</v>
      </c>
      <c r="H34" t="s">
        <v>32</v>
      </c>
      <c r="I34">
        <f>ROUND(56.1/100,9)</f>
        <v>0.56100000000000005</v>
      </c>
      <c r="J34">
        <v>0</v>
      </c>
      <c r="K34">
        <f>ROUND(56.1/100,9)</f>
        <v>0.56100000000000005</v>
      </c>
      <c r="O34">
        <f t="shared" si="28"/>
        <v>2487.29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2487.29</v>
      </c>
      <c r="T34">
        <f t="shared" si="33"/>
        <v>0</v>
      </c>
      <c r="U34">
        <f t="shared" si="34"/>
        <v>6.3897900000000005</v>
      </c>
      <c r="V34">
        <f t="shared" si="35"/>
        <v>0</v>
      </c>
      <c r="W34">
        <f t="shared" si="36"/>
        <v>0</v>
      </c>
      <c r="X34">
        <f t="shared" si="37"/>
        <v>1741.1</v>
      </c>
      <c r="Y34">
        <f t="shared" si="38"/>
        <v>248.73</v>
      </c>
      <c r="AA34">
        <v>75700856</v>
      </c>
      <c r="AB34">
        <f t="shared" si="39"/>
        <v>4433.67</v>
      </c>
      <c r="AC34">
        <f t="shared" si="40"/>
        <v>0</v>
      </c>
      <c r="AD34">
        <f t="shared" si="41"/>
        <v>0</v>
      </c>
      <c r="AE34">
        <f t="shared" si="42"/>
        <v>0</v>
      </c>
      <c r="AF34">
        <f t="shared" si="43"/>
        <v>4433.67</v>
      </c>
      <c r="AG34">
        <f t="shared" si="44"/>
        <v>0</v>
      </c>
      <c r="AH34">
        <f t="shared" si="45"/>
        <v>11.39</v>
      </c>
      <c r="AI34">
        <f t="shared" si="46"/>
        <v>0</v>
      </c>
      <c r="AJ34">
        <f t="shared" si="47"/>
        <v>0</v>
      </c>
      <c r="AK34">
        <v>4433.67</v>
      </c>
      <c r="AL34">
        <v>0</v>
      </c>
      <c r="AM34">
        <v>0</v>
      </c>
      <c r="AN34">
        <v>0</v>
      </c>
      <c r="AO34">
        <v>4433.67</v>
      </c>
      <c r="AP34">
        <v>0</v>
      </c>
      <c r="AQ34">
        <v>11.39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33</v>
      </c>
      <c r="BM34">
        <v>0</v>
      </c>
      <c r="BN34">
        <v>75371441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8"/>
        <v>2487.29</v>
      </c>
      <c r="CQ34">
        <f t="shared" si="49"/>
        <v>0</v>
      </c>
      <c r="CR34">
        <f t="shared" si="50"/>
        <v>0</v>
      </c>
      <c r="CS34">
        <f t="shared" si="51"/>
        <v>0</v>
      </c>
      <c r="CT34">
        <f t="shared" si="52"/>
        <v>4433.67</v>
      </c>
      <c r="CU34">
        <f t="shared" si="53"/>
        <v>0</v>
      </c>
      <c r="CV34">
        <f t="shared" si="54"/>
        <v>11.39</v>
      </c>
      <c r="CW34">
        <f t="shared" si="55"/>
        <v>0</v>
      </c>
      <c r="CX34">
        <f t="shared" si="56"/>
        <v>0</v>
      </c>
      <c r="CY34">
        <f t="shared" si="57"/>
        <v>1741.1029999999998</v>
      </c>
      <c r="CZ34">
        <f t="shared" si="58"/>
        <v>248.72900000000001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32</v>
      </c>
      <c r="DW34" t="s">
        <v>32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75371444</v>
      </c>
      <c r="EF34">
        <v>1</v>
      </c>
      <c r="EG34" t="s">
        <v>22</v>
      </c>
      <c r="EH34">
        <v>0</v>
      </c>
      <c r="EI34" t="s">
        <v>3</v>
      </c>
      <c r="EJ34">
        <v>4</v>
      </c>
      <c r="EK34">
        <v>0</v>
      </c>
      <c r="EL34" t="s">
        <v>23</v>
      </c>
      <c r="EM34" t="s">
        <v>24</v>
      </c>
      <c r="EO34" t="s">
        <v>3</v>
      </c>
      <c r="EQ34">
        <v>0</v>
      </c>
      <c r="ER34">
        <v>4433.67</v>
      </c>
      <c r="ES34">
        <v>0</v>
      </c>
      <c r="ET34">
        <v>0</v>
      </c>
      <c r="EU34">
        <v>0</v>
      </c>
      <c r="EV34">
        <v>4433.67</v>
      </c>
      <c r="EW34">
        <v>11.39</v>
      </c>
      <c r="EX34">
        <v>0</v>
      </c>
      <c r="EY34">
        <v>0</v>
      </c>
      <c r="FQ34">
        <v>0</v>
      </c>
      <c r="FR34">
        <f t="shared" si="59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-1234166715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60"/>
        <v>0</v>
      </c>
      <c r="GM34">
        <f t="shared" si="61"/>
        <v>4477.12</v>
      </c>
      <c r="GN34">
        <f t="shared" si="62"/>
        <v>0</v>
      </c>
      <c r="GO34">
        <f t="shared" si="63"/>
        <v>0</v>
      </c>
      <c r="GP34">
        <f t="shared" si="64"/>
        <v>4477.12</v>
      </c>
      <c r="GR34">
        <v>0</v>
      </c>
      <c r="GS34">
        <v>3</v>
      </c>
      <c r="GT34">
        <v>0</v>
      </c>
      <c r="GU34" t="s">
        <v>3</v>
      </c>
      <c r="GV34">
        <f t="shared" si="65"/>
        <v>0</v>
      </c>
      <c r="GW34">
        <v>1</v>
      </c>
      <c r="GX34">
        <f t="shared" si="66"/>
        <v>0</v>
      </c>
      <c r="HA34">
        <v>0</v>
      </c>
      <c r="HB34">
        <v>0</v>
      </c>
      <c r="HC34">
        <f t="shared" si="67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ROW(SmtRes!A14)</f>
        <v>14</v>
      </c>
      <c r="D35">
        <f>ROW(EtalonRes!A14)</f>
        <v>14</v>
      </c>
      <c r="E35" t="s">
        <v>34</v>
      </c>
      <c r="F35" t="s">
        <v>35</v>
      </c>
      <c r="G35" t="s">
        <v>36</v>
      </c>
      <c r="H35" t="s">
        <v>32</v>
      </c>
      <c r="I35">
        <f>ROUND(56.1/100,9)</f>
        <v>0.56100000000000005</v>
      </c>
      <c r="J35">
        <v>0</v>
      </c>
      <c r="K35">
        <f>ROUND(56.1/100,9)</f>
        <v>0.56100000000000005</v>
      </c>
      <c r="O35">
        <f t="shared" si="28"/>
        <v>38455.14</v>
      </c>
      <c r="P35">
        <f t="shared" si="29"/>
        <v>28290.92</v>
      </c>
      <c r="Q35">
        <f t="shared" si="30"/>
        <v>136</v>
      </c>
      <c r="R35">
        <f t="shared" si="31"/>
        <v>14.99</v>
      </c>
      <c r="S35">
        <f t="shared" si="32"/>
        <v>10028.219999999999</v>
      </c>
      <c r="T35">
        <f t="shared" si="33"/>
        <v>0</v>
      </c>
      <c r="U35">
        <f t="shared" si="34"/>
        <v>21.301170000000003</v>
      </c>
      <c r="V35">
        <f t="shared" si="35"/>
        <v>0</v>
      </c>
      <c r="W35">
        <f t="shared" si="36"/>
        <v>0</v>
      </c>
      <c r="X35">
        <f t="shared" si="37"/>
        <v>7019.75</v>
      </c>
      <c r="Y35">
        <f t="shared" si="38"/>
        <v>1002.82</v>
      </c>
      <c r="AA35">
        <v>75700856</v>
      </c>
      <c r="AB35">
        <f t="shared" si="39"/>
        <v>68547.48</v>
      </c>
      <c r="AC35">
        <f t="shared" si="40"/>
        <v>50429.440000000002</v>
      </c>
      <c r="AD35">
        <f t="shared" si="41"/>
        <v>242.43</v>
      </c>
      <c r="AE35">
        <f t="shared" si="42"/>
        <v>26.72</v>
      </c>
      <c r="AF35">
        <f t="shared" si="43"/>
        <v>17875.61</v>
      </c>
      <c r="AG35">
        <f t="shared" si="44"/>
        <v>0</v>
      </c>
      <c r="AH35">
        <f t="shared" si="45"/>
        <v>37.97</v>
      </c>
      <c r="AI35">
        <f t="shared" si="46"/>
        <v>0</v>
      </c>
      <c r="AJ35">
        <f t="shared" si="47"/>
        <v>0</v>
      </c>
      <c r="AK35">
        <v>68547.48</v>
      </c>
      <c r="AL35">
        <v>50429.440000000002</v>
      </c>
      <c r="AM35">
        <v>242.43</v>
      </c>
      <c r="AN35">
        <v>26.72</v>
      </c>
      <c r="AO35">
        <v>17875.61</v>
      </c>
      <c r="AP35">
        <v>0</v>
      </c>
      <c r="AQ35">
        <v>37.97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37</v>
      </c>
      <c r="BM35">
        <v>0</v>
      </c>
      <c r="BN35">
        <v>75371441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8"/>
        <v>38455.14</v>
      </c>
      <c r="CQ35">
        <f t="shared" si="49"/>
        <v>50429.440000000002</v>
      </c>
      <c r="CR35">
        <f t="shared" si="50"/>
        <v>242.43</v>
      </c>
      <c r="CS35">
        <f t="shared" si="51"/>
        <v>26.72</v>
      </c>
      <c r="CT35">
        <f t="shared" si="52"/>
        <v>17875.61</v>
      </c>
      <c r="CU35">
        <f t="shared" si="53"/>
        <v>0</v>
      </c>
      <c r="CV35">
        <f t="shared" si="54"/>
        <v>37.97</v>
      </c>
      <c r="CW35">
        <f t="shared" si="55"/>
        <v>0</v>
      </c>
      <c r="CX35">
        <f t="shared" si="56"/>
        <v>0</v>
      </c>
      <c r="CY35">
        <f t="shared" si="57"/>
        <v>7019.753999999999</v>
      </c>
      <c r="CZ35">
        <f t="shared" si="58"/>
        <v>1002.822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32</v>
      </c>
      <c r="DW35" t="s">
        <v>32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75371444</v>
      </c>
      <c r="EF35">
        <v>1</v>
      </c>
      <c r="EG35" t="s">
        <v>22</v>
      </c>
      <c r="EH35">
        <v>0</v>
      </c>
      <c r="EI35" t="s">
        <v>3</v>
      </c>
      <c r="EJ35">
        <v>4</v>
      </c>
      <c r="EK35">
        <v>0</v>
      </c>
      <c r="EL35" t="s">
        <v>23</v>
      </c>
      <c r="EM35" t="s">
        <v>24</v>
      </c>
      <c r="EO35" t="s">
        <v>3</v>
      </c>
      <c r="EQ35">
        <v>0</v>
      </c>
      <c r="ER35">
        <v>68547.48</v>
      </c>
      <c r="ES35">
        <v>50429.440000000002</v>
      </c>
      <c r="ET35">
        <v>242.43</v>
      </c>
      <c r="EU35">
        <v>26.72</v>
      </c>
      <c r="EV35">
        <v>17875.61</v>
      </c>
      <c r="EW35">
        <v>37.97</v>
      </c>
      <c r="EX35">
        <v>0</v>
      </c>
      <c r="EY35">
        <v>0</v>
      </c>
      <c r="FQ35">
        <v>0</v>
      </c>
      <c r="FR35">
        <f t="shared" si="59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-1728316976</v>
      </c>
      <c r="GG35">
        <v>2</v>
      </c>
      <c r="GH35">
        <v>1</v>
      </c>
      <c r="GI35">
        <v>-2</v>
      </c>
      <c r="GJ35">
        <v>0</v>
      </c>
      <c r="GK35">
        <f>ROUND(R35*(R12)/100,2)</f>
        <v>16.190000000000001</v>
      </c>
      <c r="GL35">
        <f t="shared" si="60"/>
        <v>0</v>
      </c>
      <c r="GM35">
        <f t="shared" si="61"/>
        <v>46493.9</v>
      </c>
      <c r="GN35">
        <f t="shared" si="62"/>
        <v>0</v>
      </c>
      <c r="GO35">
        <f t="shared" si="63"/>
        <v>0</v>
      </c>
      <c r="GP35">
        <f t="shared" si="64"/>
        <v>46493.9</v>
      </c>
      <c r="GR35">
        <v>0</v>
      </c>
      <c r="GS35">
        <v>3</v>
      </c>
      <c r="GT35">
        <v>0</v>
      </c>
      <c r="GU35" t="s">
        <v>3</v>
      </c>
      <c r="GV35">
        <f t="shared" si="65"/>
        <v>0</v>
      </c>
      <c r="GW35">
        <v>1</v>
      </c>
      <c r="GX35">
        <f t="shared" si="66"/>
        <v>0</v>
      </c>
      <c r="HA35">
        <v>0</v>
      </c>
      <c r="HB35">
        <v>0</v>
      </c>
      <c r="HC35">
        <f t="shared" si="67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ROW(SmtRes!A22)</f>
        <v>22</v>
      </c>
      <c r="D36">
        <f>ROW(EtalonRes!A22)</f>
        <v>22</v>
      </c>
      <c r="E36" t="s">
        <v>38</v>
      </c>
      <c r="F36" t="s">
        <v>39</v>
      </c>
      <c r="G36" t="s">
        <v>40</v>
      </c>
      <c r="H36" t="s">
        <v>32</v>
      </c>
      <c r="I36">
        <f>ROUND(56.1/100,9)</f>
        <v>0.56100000000000005</v>
      </c>
      <c r="J36">
        <v>0</v>
      </c>
      <c r="K36">
        <f>ROUND(56.1/100,9)</f>
        <v>0.56100000000000005</v>
      </c>
      <c r="O36">
        <f t="shared" si="28"/>
        <v>90433.32</v>
      </c>
      <c r="P36">
        <f t="shared" si="29"/>
        <v>74283.14</v>
      </c>
      <c r="Q36">
        <f t="shared" si="30"/>
        <v>238.73</v>
      </c>
      <c r="R36">
        <f t="shared" si="31"/>
        <v>1.1599999999999999</v>
      </c>
      <c r="S36">
        <f t="shared" si="32"/>
        <v>15911.45</v>
      </c>
      <c r="T36">
        <f t="shared" si="33"/>
        <v>0</v>
      </c>
      <c r="U36">
        <f t="shared" si="34"/>
        <v>33.68244</v>
      </c>
      <c r="V36">
        <f t="shared" si="35"/>
        <v>0</v>
      </c>
      <c r="W36">
        <f t="shared" si="36"/>
        <v>0</v>
      </c>
      <c r="X36">
        <f t="shared" si="37"/>
        <v>11138.02</v>
      </c>
      <c r="Y36">
        <f t="shared" si="38"/>
        <v>1591.15</v>
      </c>
      <c r="AA36">
        <v>75700856</v>
      </c>
      <c r="AB36">
        <f t="shared" si="39"/>
        <v>161200.22</v>
      </c>
      <c r="AC36">
        <f t="shared" si="40"/>
        <v>132412.01999999999</v>
      </c>
      <c r="AD36">
        <f t="shared" si="41"/>
        <v>425.55</v>
      </c>
      <c r="AE36">
        <f t="shared" si="42"/>
        <v>2.0699999999999998</v>
      </c>
      <c r="AF36">
        <f t="shared" si="43"/>
        <v>28362.65</v>
      </c>
      <c r="AG36">
        <f t="shared" si="44"/>
        <v>0</v>
      </c>
      <c r="AH36">
        <f t="shared" si="45"/>
        <v>60.04</v>
      </c>
      <c r="AI36">
        <f t="shared" si="46"/>
        <v>0</v>
      </c>
      <c r="AJ36">
        <f t="shared" si="47"/>
        <v>0</v>
      </c>
      <c r="AK36">
        <v>161200.22</v>
      </c>
      <c r="AL36">
        <v>132412.01999999999</v>
      </c>
      <c r="AM36">
        <v>425.55</v>
      </c>
      <c r="AN36">
        <v>2.0699999999999998</v>
      </c>
      <c r="AO36">
        <v>28362.65</v>
      </c>
      <c r="AP36">
        <v>0</v>
      </c>
      <c r="AQ36">
        <v>60.04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75371441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8"/>
        <v>90433.319999999992</v>
      </c>
      <c r="CQ36">
        <f t="shared" si="49"/>
        <v>132412.01999999999</v>
      </c>
      <c r="CR36">
        <f t="shared" si="50"/>
        <v>425.55</v>
      </c>
      <c r="CS36">
        <f t="shared" si="51"/>
        <v>2.0699999999999998</v>
      </c>
      <c r="CT36">
        <f t="shared" si="52"/>
        <v>28362.65</v>
      </c>
      <c r="CU36">
        <f t="shared" si="53"/>
        <v>0</v>
      </c>
      <c r="CV36">
        <f t="shared" si="54"/>
        <v>60.04</v>
      </c>
      <c r="CW36">
        <f t="shared" si="55"/>
        <v>0</v>
      </c>
      <c r="CX36">
        <f t="shared" si="56"/>
        <v>0</v>
      </c>
      <c r="CY36">
        <f t="shared" si="57"/>
        <v>11138.014999999999</v>
      </c>
      <c r="CZ36">
        <f t="shared" si="58"/>
        <v>1591.145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32</v>
      </c>
      <c r="DW36" t="s">
        <v>32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75371444</v>
      </c>
      <c r="EF36">
        <v>1</v>
      </c>
      <c r="EG36" t="s">
        <v>22</v>
      </c>
      <c r="EH36">
        <v>0</v>
      </c>
      <c r="EI36" t="s">
        <v>3</v>
      </c>
      <c r="EJ36">
        <v>4</v>
      </c>
      <c r="EK36">
        <v>0</v>
      </c>
      <c r="EL36" t="s">
        <v>23</v>
      </c>
      <c r="EM36" t="s">
        <v>24</v>
      </c>
      <c r="EO36" t="s">
        <v>3</v>
      </c>
      <c r="EQ36">
        <v>0</v>
      </c>
      <c r="ER36">
        <v>161200.22</v>
      </c>
      <c r="ES36">
        <v>132412.01999999999</v>
      </c>
      <c r="ET36">
        <v>425.55</v>
      </c>
      <c r="EU36">
        <v>2.0699999999999998</v>
      </c>
      <c r="EV36">
        <v>28362.65</v>
      </c>
      <c r="EW36">
        <v>60.04</v>
      </c>
      <c r="EX36">
        <v>0</v>
      </c>
      <c r="EY36">
        <v>0</v>
      </c>
      <c r="FQ36">
        <v>0</v>
      </c>
      <c r="FR36">
        <f t="shared" si="59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726381480</v>
      </c>
      <c r="GG36">
        <v>2</v>
      </c>
      <c r="GH36">
        <v>1</v>
      </c>
      <c r="GI36">
        <v>-2</v>
      </c>
      <c r="GJ36">
        <v>0</v>
      </c>
      <c r="GK36">
        <f>ROUND(R36*(R12)/100,2)</f>
        <v>1.25</v>
      </c>
      <c r="GL36">
        <f t="shared" si="60"/>
        <v>0</v>
      </c>
      <c r="GM36">
        <f t="shared" si="61"/>
        <v>103163.74</v>
      </c>
      <c r="GN36">
        <f t="shared" si="62"/>
        <v>0</v>
      </c>
      <c r="GO36">
        <f t="shared" si="63"/>
        <v>0</v>
      </c>
      <c r="GP36">
        <f t="shared" si="64"/>
        <v>103163.74</v>
      </c>
      <c r="GR36">
        <v>0</v>
      </c>
      <c r="GS36">
        <v>3</v>
      </c>
      <c r="GT36">
        <v>0</v>
      </c>
      <c r="GU36" t="s">
        <v>3</v>
      </c>
      <c r="GV36">
        <f t="shared" si="65"/>
        <v>0</v>
      </c>
      <c r="GW36">
        <v>1</v>
      </c>
      <c r="GX36">
        <f t="shared" si="66"/>
        <v>0</v>
      </c>
      <c r="HA36">
        <v>0</v>
      </c>
      <c r="HB36">
        <v>0</v>
      </c>
      <c r="HC36">
        <f t="shared" si="67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ROW(SmtRes!A26)</f>
        <v>26</v>
      </c>
      <c r="D37">
        <f>ROW(EtalonRes!A25)</f>
        <v>25</v>
      </c>
      <c r="E37" t="s">
        <v>42</v>
      </c>
      <c r="F37" t="s">
        <v>43</v>
      </c>
      <c r="G37" t="s">
        <v>44</v>
      </c>
      <c r="H37" t="s">
        <v>20</v>
      </c>
      <c r="I37">
        <f>ROUND(33/100,9)</f>
        <v>0.33</v>
      </c>
      <c r="J37">
        <v>0</v>
      </c>
      <c r="K37">
        <f>ROUND(33/100,9)</f>
        <v>0.33</v>
      </c>
      <c r="O37">
        <f t="shared" si="28"/>
        <v>2569.77</v>
      </c>
      <c r="P37">
        <f t="shared" si="29"/>
        <v>1305.4000000000001</v>
      </c>
      <c r="Q37">
        <f t="shared" si="30"/>
        <v>0</v>
      </c>
      <c r="R37">
        <f t="shared" si="31"/>
        <v>0</v>
      </c>
      <c r="S37">
        <f t="shared" si="32"/>
        <v>1264.3699999999999</v>
      </c>
      <c r="T37">
        <f t="shared" si="33"/>
        <v>0</v>
      </c>
      <c r="U37">
        <f t="shared" si="34"/>
        <v>2.9040000000000004</v>
      </c>
      <c r="V37">
        <f t="shared" si="35"/>
        <v>0</v>
      </c>
      <c r="W37">
        <f t="shared" si="36"/>
        <v>0</v>
      </c>
      <c r="X37">
        <f t="shared" si="37"/>
        <v>885.06</v>
      </c>
      <c r="Y37">
        <f t="shared" si="38"/>
        <v>126.44</v>
      </c>
      <c r="AA37">
        <v>75700856</v>
      </c>
      <c r="AB37">
        <f t="shared" si="39"/>
        <v>7787.19</v>
      </c>
      <c r="AC37">
        <f t="shared" si="40"/>
        <v>3955.76</v>
      </c>
      <c r="AD37">
        <f t="shared" si="41"/>
        <v>0</v>
      </c>
      <c r="AE37">
        <f t="shared" si="42"/>
        <v>0</v>
      </c>
      <c r="AF37">
        <f t="shared" si="43"/>
        <v>3831.43</v>
      </c>
      <c r="AG37">
        <f t="shared" si="44"/>
        <v>0</v>
      </c>
      <c r="AH37">
        <f t="shared" si="45"/>
        <v>8.8000000000000007</v>
      </c>
      <c r="AI37">
        <f t="shared" si="46"/>
        <v>0</v>
      </c>
      <c r="AJ37">
        <f t="shared" si="47"/>
        <v>0</v>
      </c>
      <c r="AK37">
        <v>7787.19</v>
      </c>
      <c r="AL37">
        <v>3955.76</v>
      </c>
      <c r="AM37">
        <v>0</v>
      </c>
      <c r="AN37">
        <v>0</v>
      </c>
      <c r="AO37">
        <v>3831.43</v>
      </c>
      <c r="AP37">
        <v>0</v>
      </c>
      <c r="AQ37">
        <v>8.8000000000000007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45</v>
      </c>
      <c r="BM37">
        <v>0</v>
      </c>
      <c r="BN37">
        <v>75371441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8"/>
        <v>2569.77</v>
      </c>
      <c r="CQ37">
        <f t="shared" si="49"/>
        <v>3955.76</v>
      </c>
      <c r="CR37">
        <f t="shared" si="50"/>
        <v>0</v>
      </c>
      <c r="CS37">
        <f t="shared" si="51"/>
        <v>0</v>
      </c>
      <c r="CT37">
        <f t="shared" si="52"/>
        <v>3831.43</v>
      </c>
      <c r="CU37">
        <f t="shared" si="53"/>
        <v>0</v>
      </c>
      <c r="CV37">
        <f t="shared" si="54"/>
        <v>8.8000000000000007</v>
      </c>
      <c r="CW37">
        <f t="shared" si="55"/>
        <v>0</v>
      </c>
      <c r="CX37">
        <f t="shared" si="56"/>
        <v>0</v>
      </c>
      <c r="CY37">
        <f t="shared" si="57"/>
        <v>885.05899999999997</v>
      </c>
      <c r="CZ37">
        <f t="shared" si="58"/>
        <v>126.43699999999998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20</v>
      </c>
      <c r="DW37" t="s">
        <v>20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75371444</v>
      </c>
      <c r="EF37">
        <v>1</v>
      </c>
      <c r="EG37" t="s">
        <v>22</v>
      </c>
      <c r="EH37">
        <v>0</v>
      </c>
      <c r="EI37" t="s">
        <v>3</v>
      </c>
      <c r="EJ37">
        <v>4</v>
      </c>
      <c r="EK37">
        <v>0</v>
      </c>
      <c r="EL37" t="s">
        <v>23</v>
      </c>
      <c r="EM37" t="s">
        <v>24</v>
      </c>
      <c r="EO37" t="s">
        <v>3</v>
      </c>
      <c r="EQ37">
        <v>0</v>
      </c>
      <c r="ER37">
        <v>7787.19</v>
      </c>
      <c r="ES37">
        <v>3955.76</v>
      </c>
      <c r="ET37">
        <v>0</v>
      </c>
      <c r="EU37">
        <v>0</v>
      </c>
      <c r="EV37">
        <v>3831.43</v>
      </c>
      <c r="EW37">
        <v>8.8000000000000007</v>
      </c>
      <c r="EX37">
        <v>0</v>
      </c>
      <c r="EY37">
        <v>0</v>
      </c>
      <c r="FQ37">
        <v>0</v>
      </c>
      <c r="FR37">
        <f t="shared" si="59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-1418968726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60"/>
        <v>0</v>
      </c>
      <c r="GM37">
        <f t="shared" si="61"/>
        <v>3581.27</v>
      </c>
      <c r="GN37">
        <f t="shared" si="62"/>
        <v>0</v>
      </c>
      <c r="GO37">
        <f t="shared" si="63"/>
        <v>0</v>
      </c>
      <c r="GP37">
        <f t="shared" si="64"/>
        <v>3581.27</v>
      </c>
      <c r="GR37">
        <v>0</v>
      </c>
      <c r="GS37">
        <v>3</v>
      </c>
      <c r="GT37">
        <v>0</v>
      </c>
      <c r="GU37" t="s">
        <v>3</v>
      </c>
      <c r="GV37">
        <f t="shared" si="65"/>
        <v>0</v>
      </c>
      <c r="GW37">
        <v>1</v>
      </c>
      <c r="GX37">
        <f t="shared" si="66"/>
        <v>0</v>
      </c>
      <c r="HA37">
        <v>0</v>
      </c>
      <c r="HB37">
        <v>0</v>
      </c>
      <c r="HC37">
        <f t="shared" si="67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18</v>
      </c>
      <c r="B38">
        <v>1</v>
      </c>
      <c r="C38">
        <v>26</v>
      </c>
      <c r="E38" t="s">
        <v>46</v>
      </c>
      <c r="F38" t="s">
        <v>47</v>
      </c>
      <c r="G38" t="s">
        <v>48</v>
      </c>
      <c r="H38" t="s">
        <v>49</v>
      </c>
      <c r="I38">
        <f>I37*J38</f>
        <v>34.65</v>
      </c>
      <c r="J38">
        <v>104.99999999999999</v>
      </c>
      <c r="K38">
        <v>105</v>
      </c>
      <c r="O38">
        <f t="shared" si="28"/>
        <v>3019.05</v>
      </c>
      <c r="P38">
        <f t="shared" si="29"/>
        <v>3019.05</v>
      </c>
      <c r="Q38">
        <f t="shared" si="30"/>
        <v>0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75700856</v>
      </c>
      <c r="AB38">
        <f t="shared" si="39"/>
        <v>87.13</v>
      </c>
      <c r="AC38">
        <f t="shared" si="40"/>
        <v>87.13</v>
      </c>
      <c r="AD38">
        <f t="shared" si="41"/>
        <v>0</v>
      </c>
      <c r="AE38">
        <f t="shared" si="42"/>
        <v>0</v>
      </c>
      <c r="AF38">
        <f t="shared" si="43"/>
        <v>0</v>
      </c>
      <c r="AG38">
        <f t="shared" si="44"/>
        <v>0</v>
      </c>
      <c r="AH38">
        <f t="shared" si="45"/>
        <v>0</v>
      </c>
      <c r="AI38">
        <f t="shared" si="46"/>
        <v>0</v>
      </c>
      <c r="AJ38">
        <f t="shared" si="47"/>
        <v>0</v>
      </c>
      <c r="AK38">
        <v>87.13</v>
      </c>
      <c r="AL38">
        <v>87.13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4</v>
      </c>
      <c r="BJ38" t="s">
        <v>3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8"/>
        <v>3019.05</v>
      </c>
      <c r="CQ38">
        <f t="shared" si="49"/>
        <v>87.13</v>
      </c>
      <c r="CR38">
        <f t="shared" si="50"/>
        <v>0</v>
      </c>
      <c r="CS38">
        <f t="shared" si="51"/>
        <v>0</v>
      </c>
      <c r="CT38">
        <f t="shared" si="52"/>
        <v>0</v>
      </c>
      <c r="CU38">
        <f t="shared" si="53"/>
        <v>0</v>
      </c>
      <c r="CV38">
        <f t="shared" si="54"/>
        <v>0</v>
      </c>
      <c r="CW38">
        <f t="shared" si="55"/>
        <v>0</v>
      </c>
      <c r="CX38">
        <f t="shared" si="56"/>
        <v>0</v>
      </c>
      <c r="CY38">
        <f t="shared" si="57"/>
        <v>0</v>
      </c>
      <c r="CZ38">
        <f t="shared" si="58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49</v>
      </c>
      <c r="DW38" t="s">
        <v>49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75371444</v>
      </c>
      <c r="EF38">
        <v>1</v>
      </c>
      <c r="EG38" t="s">
        <v>22</v>
      </c>
      <c r="EH38">
        <v>0</v>
      </c>
      <c r="EI38" t="s">
        <v>3</v>
      </c>
      <c r="EJ38">
        <v>4</v>
      </c>
      <c r="EK38">
        <v>0</v>
      </c>
      <c r="EL38" t="s">
        <v>23</v>
      </c>
      <c r="EM38" t="s">
        <v>24</v>
      </c>
      <c r="EO38" t="s">
        <v>3</v>
      </c>
      <c r="EQ38">
        <v>0</v>
      </c>
      <c r="ER38">
        <v>87.13</v>
      </c>
      <c r="ES38">
        <v>87.13</v>
      </c>
      <c r="ET38">
        <v>0</v>
      </c>
      <c r="EU38">
        <v>0</v>
      </c>
      <c r="EV38">
        <v>0</v>
      </c>
      <c r="EW38">
        <v>0</v>
      </c>
      <c r="EX38">
        <v>0</v>
      </c>
      <c r="EZ38">
        <v>5</v>
      </c>
      <c r="FC38">
        <v>1</v>
      </c>
      <c r="FD38">
        <v>18</v>
      </c>
      <c r="FF38">
        <v>104.55</v>
      </c>
      <c r="FQ38">
        <v>0</v>
      </c>
      <c r="FR38">
        <f t="shared" si="59"/>
        <v>0</v>
      </c>
      <c r="FS38">
        <v>0</v>
      </c>
      <c r="FX38">
        <v>70</v>
      </c>
      <c r="FY38">
        <v>10</v>
      </c>
      <c r="GA38" t="s">
        <v>50</v>
      </c>
      <c r="GD38">
        <v>0</v>
      </c>
      <c r="GF38">
        <v>1643166817</v>
      </c>
      <c r="GG38">
        <v>2</v>
      </c>
      <c r="GH38">
        <v>3</v>
      </c>
      <c r="GI38">
        <v>-2</v>
      </c>
      <c r="GJ38">
        <v>0</v>
      </c>
      <c r="GK38">
        <f>ROUND(R38*(R12)/100,2)</f>
        <v>0</v>
      </c>
      <c r="GL38">
        <f t="shared" si="60"/>
        <v>0</v>
      </c>
      <c r="GM38">
        <f t="shared" si="61"/>
        <v>3019.05</v>
      </c>
      <c r="GN38">
        <f t="shared" si="62"/>
        <v>0</v>
      </c>
      <c r="GO38">
        <f t="shared" si="63"/>
        <v>0</v>
      </c>
      <c r="GP38">
        <f t="shared" si="64"/>
        <v>3019.05</v>
      </c>
      <c r="GR38">
        <v>1</v>
      </c>
      <c r="GS38">
        <v>1</v>
      </c>
      <c r="GT38">
        <v>0</v>
      </c>
      <c r="GU38" t="s">
        <v>3</v>
      </c>
      <c r="GV38">
        <f t="shared" si="65"/>
        <v>0</v>
      </c>
      <c r="GW38">
        <v>1</v>
      </c>
      <c r="GX38">
        <f t="shared" si="66"/>
        <v>0</v>
      </c>
      <c r="HA38">
        <v>0</v>
      </c>
      <c r="HB38">
        <v>0</v>
      </c>
      <c r="HC38">
        <f t="shared" si="67"/>
        <v>0</v>
      </c>
      <c r="HE38" t="s">
        <v>51</v>
      </c>
      <c r="HF38" t="s">
        <v>51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18</v>
      </c>
      <c r="B39">
        <v>1</v>
      </c>
      <c r="C39">
        <v>25</v>
      </c>
      <c r="E39" t="s">
        <v>52</v>
      </c>
      <c r="F39" t="s">
        <v>53</v>
      </c>
      <c r="G39" t="s">
        <v>54</v>
      </c>
      <c r="H39" t="s">
        <v>49</v>
      </c>
      <c r="I39">
        <f>I37*J39</f>
        <v>-34.65</v>
      </c>
      <c r="J39">
        <v>-104.99999999999999</v>
      </c>
      <c r="K39">
        <v>-105</v>
      </c>
      <c r="O39">
        <f t="shared" si="28"/>
        <v>-1292.0999999999999</v>
      </c>
      <c r="P39">
        <f t="shared" si="29"/>
        <v>-1292.0999999999999</v>
      </c>
      <c r="Q39">
        <f t="shared" si="30"/>
        <v>0</v>
      </c>
      <c r="R39">
        <f t="shared" si="31"/>
        <v>0</v>
      </c>
      <c r="S39">
        <f t="shared" si="32"/>
        <v>0</v>
      </c>
      <c r="T39">
        <f t="shared" si="33"/>
        <v>0</v>
      </c>
      <c r="U39">
        <f t="shared" si="34"/>
        <v>0</v>
      </c>
      <c r="V39">
        <f t="shared" si="35"/>
        <v>0</v>
      </c>
      <c r="W39">
        <f t="shared" si="36"/>
        <v>0</v>
      </c>
      <c r="X39">
        <f t="shared" si="37"/>
        <v>0</v>
      </c>
      <c r="Y39">
        <f t="shared" si="38"/>
        <v>0</v>
      </c>
      <c r="AA39">
        <v>75700856</v>
      </c>
      <c r="AB39">
        <f t="shared" si="39"/>
        <v>37.29</v>
      </c>
      <c r="AC39">
        <f t="shared" si="40"/>
        <v>37.29</v>
      </c>
      <c r="AD39">
        <f t="shared" si="41"/>
        <v>0</v>
      </c>
      <c r="AE39">
        <f t="shared" si="42"/>
        <v>0</v>
      </c>
      <c r="AF39">
        <f t="shared" si="43"/>
        <v>0</v>
      </c>
      <c r="AG39">
        <f t="shared" si="44"/>
        <v>0</v>
      </c>
      <c r="AH39">
        <f t="shared" si="45"/>
        <v>0</v>
      </c>
      <c r="AI39">
        <f t="shared" si="46"/>
        <v>0</v>
      </c>
      <c r="AJ39">
        <f t="shared" si="47"/>
        <v>0</v>
      </c>
      <c r="AK39">
        <v>37.29</v>
      </c>
      <c r="AL39">
        <v>37.29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4</v>
      </c>
      <c r="BJ39" t="s">
        <v>55</v>
      </c>
      <c r="BM39">
        <v>0</v>
      </c>
      <c r="BN39">
        <v>75371441</v>
      </c>
      <c r="BO39" t="s">
        <v>3</v>
      </c>
      <c r="BP39">
        <v>0</v>
      </c>
      <c r="BQ39">
        <v>1</v>
      </c>
      <c r="BR39">
        <v>1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8"/>
        <v>-1292.0999999999999</v>
      </c>
      <c r="CQ39">
        <f t="shared" si="49"/>
        <v>37.29</v>
      </c>
      <c r="CR39">
        <f t="shared" si="50"/>
        <v>0</v>
      </c>
      <c r="CS39">
        <f t="shared" si="51"/>
        <v>0</v>
      </c>
      <c r="CT39">
        <f t="shared" si="52"/>
        <v>0</v>
      </c>
      <c r="CU39">
        <f t="shared" si="53"/>
        <v>0</v>
      </c>
      <c r="CV39">
        <f t="shared" si="54"/>
        <v>0</v>
      </c>
      <c r="CW39">
        <f t="shared" si="55"/>
        <v>0</v>
      </c>
      <c r="CX39">
        <f t="shared" si="56"/>
        <v>0</v>
      </c>
      <c r="CY39">
        <f t="shared" si="57"/>
        <v>0</v>
      </c>
      <c r="CZ39">
        <f t="shared" si="58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49</v>
      </c>
      <c r="DW39" t="s">
        <v>49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75371444</v>
      </c>
      <c r="EF39">
        <v>1</v>
      </c>
      <c r="EG39" t="s">
        <v>22</v>
      </c>
      <c r="EH39">
        <v>0</v>
      </c>
      <c r="EI39" t="s">
        <v>3</v>
      </c>
      <c r="EJ39">
        <v>4</v>
      </c>
      <c r="EK39">
        <v>0</v>
      </c>
      <c r="EL39" t="s">
        <v>23</v>
      </c>
      <c r="EM39" t="s">
        <v>24</v>
      </c>
      <c r="EO39" t="s">
        <v>3</v>
      </c>
      <c r="EQ39">
        <v>0</v>
      </c>
      <c r="ER39">
        <v>37.29</v>
      </c>
      <c r="ES39">
        <v>37.29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59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-621127235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60"/>
        <v>0</v>
      </c>
      <c r="GM39">
        <f t="shared" si="61"/>
        <v>-1292.0999999999999</v>
      </c>
      <c r="GN39">
        <f t="shared" si="62"/>
        <v>0</v>
      </c>
      <c r="GO39">
        <f t="shared" si="63"/>
        <v>0</v>
      </c>
      <c r="GP39">
        <f t="shared" si="64"/>
        <v>-1292.0999999999999</v>
      </c>
      <c r="GR39">
        <v>0</v>
      </c>
      <c r="GS39">
        <v>3</v>
      </c>
      <c r="GT39">
        <v>0</v>
      </c>
      <c r="GU39" t="s">
        <v>3</v>
      </c>
      <c r="GV39">
        <f t="shared" si="65"/>
        <v>0</v>
      </c>
      <c r="GW39">
        <v>1</v>
      </c>
      <c r="GX39">
        <f t="shared" si="66"/>
        <v>0</v>
      </c>
      <c r="HA39">
        <v>0</v>
      </c>
      <c r="HB39">
        <v>0</v>
      </c>
      <c r="HC39">
        <f t="shared" si="67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ROW(SmtRes!A29)</f>
        <v>29</v>
      </c>
      <c r="D40">
        <f>ROW(EtalonRes!A27)</f>
        <v>27</v>
      </c>
      <c r="E40" t="s">
        <v>56</v>
      </c>
      <c r="F40" t="s">
        <v>57</v>
      </c>
      <c r="G40" t="s">
        <v>58</v>
      </c>
      <c r="H40" t="s">
        <v>32</v>
      </c>
      <c r="I40">
        <f>ROUND(1.6/100,9)</f>
        <v>1.6E-2</v>
      </c>
      <c r="J40">
        <v>0</v>
      </c>
      <c r="K40">
        <f>ROUND(1.6/100,9)</f>
        <v>1.6E-2</v>
      </c>
      <c r="O40">
        <f t="shared" si="28"/>
        <v>196.54</v>
      </c>
      <c r="P40">
        <f t="shared" si="29"/>
        <v>82.33</v>
      </c>
      <c r="Q40">
        <f t="shared" si="30"/>
        <v>0</v>
      </c>
      <c r="R40">
        <f t="shared" si="31"/>
        <v>0</v>
      </c>
      <c r="S40">
        <f t="shared" si="32"/>
        <v>114.21</v>
      </c>
      <c r="T40">
        <f t="shared" si="33"/>
        <v>0</v>
      </c>
      <c r="U40">
        <f t="shared" si="34"/>
        <v>0.20608000000000001</v>
      </c>
      <c r="V40">
        <f t="shared" si="35"/>
        <v>0</v>
      </c>
      <c r="W40">
        <f t="shared" si="36"/>
        <v>0</v>
      </c>
      <c r="X40">
        <f t="shared" si="37"/>
        <v>79.95</v>
      </c>
      <c r="Y40">
        <f t="shared" si="38"/>
        <v>11.42</v>
      </c>
      <c r="AA40">
        <v>75700856</v>
      </c>
      <c r="AB40">
        <f t="shared" si="39"/>
        <v>12283.96</v>
      </c>
      <c r="AC40">
        <f t="shared" si="40"/>
        <v>5145.8599999999997</v>
      </c>
      <c r="AD40">
        <f t="shared" si="41"/>
        <v>0</v>
      </c>
      <c r="AE40">
        <f t="shared" si="42"/>
        <v>0</v>
      </c>
      <c r="AF40">
        <f t="shared" si="43"/>
        <v>7138.1</v>
      </c>
      <c r="AG40">
        <f t="shared" si="44"/>
        <v>0</v>
      </c>
      <c r="AH40">
        <f t="shared" si="45"/>
        <v>12.88</v>
      </c>
      <c r="AI40">
        <f t="shared" si="46"/>
        <v>0</v>
      </c>
      <c r="AJ40">
        <f t="shared" si="47"/>
        <v>0</v>
      </c>
      <c r="AK40">
        <v>12283.96</v>
      </c>
      <c r="AL40">
        <v>5145.8599999999997</v>
      </c>
      <c r="AM40">
        <v>0</v>
      </c>
      <c r="AN40">
        <v>0</v>
      </c>
      <c r="AO40">
        <v>7138.1</v>
      </c>
      <c r="AP40">
        <v>0</v>
      </c>
      <c r="AQ40">
        <v>12.88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59</v>
      </c>
      <c r="BM40">
        <v>0</v>
      </c>
      <c r="BN40">
        <v>75371441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8"/>
        <v>196.54</v>
      </c>
      <c r="CQ40">
        <f t="shared" si="49"/>
        <v>5145.8599999999997</v>
      </c>
      <c r="CR40">
        <f t="shared" si="50"/>
        <v>0</v>
      </c>
      <c r="CS40">
        <f t="shared" si="51"/>
        <v>0</v>
      </c>
      <c r="CT40">
        <f t="shared" si="52"/>
        <v>7138.1</v>
      </c>
      <c r="CU40">
        <f t="shared" si="53"/>
        <v>0</v>
      </c>
      <c r="CV40">
        <f t="shared" si="54"/>
        <v>12.88</v>
      </c>
      <c r="CW40">
        <f t="shared" si="55"/>
        <v>0</v>
      </c>
      <c r="CX40">
        <f t="shared" si="56"/>
        <v>0</v>
      </c>
      <c r="CY40">
        <f t="shared" si="57"/>
        <v>79.947000000000003</v>
      </c>
      <c r="CZ40">
        <f t="shared" si="58"/>
        <v>11.420999999999999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32</v>
      </c>
      <c r="DW40" t="s">
        <v>32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75371444</v>
      </c>
      <c r="EF40">
        <v>1</v>
      </c>
      <c r="EG40" t="s">
        <v>22</v>
      </c>
      <c r="EH40">
        <v>0</v>
      </c>
      <c r="EI40" t="s">
        <v>3</v>
      </c>
      <c r="EJ40">
        <v>4</v>
      </c>
      <c r="EK40">
        <v>0</v>
      </c>
      <c r="EL40" t="s">
        <v>23</v>
      </c>
      <c r="EM40" t="s">
        <v>24</v>
      </c>
      <c r="EO40" t="s">
        <v>3</v>
      </c>
      <c r="EQ40">
        <v>0</v>
      </c>
      <c r="ER40">
        <v>12283.96</v>
      </c>
      <c r="ES40">
        <v>5145.8599999999997</v>
      </c>
      <c r="ET40">
        <v>0</v>
      </c>
      <c r="EU40">
        <v>0</v>
      </c>
      <c r="EV40">
        <v>7138.1</v>
      </c>
      <c r="EW40">
        <v>12.88</v>
      </c>
      <c r="EX40">
        <v>0</v>
      </c>
      <c r="EY40">
        <v>0</v>
      </c>
      <c r="FQ40">
        <v>0</v>
      </c>
      <c r="FR40">
        <f t="shared" si="59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-1550398421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60"/>
        <v>0</v>
      </c>
      <c r="GM40">
        <f t="shared" si="61"/>
        <v>287.91000000000003</v>
      </c>
      <c r="GN40">
        <f t="shared" si="62"/>
        <v>0</v>
      </c>
      <c r="GO40">
        <f t="shared" si="63"/>
        <v>0</v>
      </c>
      <c r="GP40">
        <f t="shared" si="64"/>
        <v>287.91000000000003</v>
      </c>
      <c r="GR40">
        <v>0</v>
      </c>
      <c r="GS40">
        <v>3</v>
      </c>
      <c r="GT40">
        <v>0</v>
      </c>
      <c r="GU40" t="s">
        <v>3</v>
      </c>
      <c r="GV40">
        <f t="shared" si="65"/>
        <v>0</v>
      </c>
      <c r="GW40">
        <v>1</v>
      </c>
      <c r="GX40">
        <f t="shared" si="66"/>
        <v>0</v>
      </c>
      <c r="HA40">
        <v>0</v>
      </c>
      <c r="HB40">
        <v>0</v>
      </c>
      <c r="HC40">
        <f t="shared" si="67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18</v>
      </c>
      <c r="B41">
        <v>1</v>
      </c>
      <c r="C41">
        <v>29</v>
      </c>
      <c r="E41" t="s">
        <v>60</v>
      </c>
      <c r="F41" t="s">
        <v>61</v>
      </c>
      <c r="G41" t="s">
        <v>62</v>
      </c>
      <c r="H41" t="s">
        <v>63</v>
      </c>
      <c r="I41">
        <f>I40*J41</f>
        <v>0.4</v>
      </c>
      <c r="J41">
        <v>25</v>
      </c>
      <c r="K41">
        <v>25</v>
      </c>
      <c r="O41">
        <f t="shared" si="28"/>
        <v>123.77</v>
      </c>
      <c r="P41">
        <f t="shared" si="29"/>
        <v>123.77</v>
      </c>
      <c r="Q41">
        <f t="shared" si="30"/>
        <v>0</v>
      </c>
      <c r="R41">
        <f t="shared" si="31"/>
        <v>0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75700856</v>
      </c>
      <c r="AB41">
        <f t="shared" si="39"/>
        <v>309.42</v>
      </c>
      <c r="AC41">
        <f t="shared" si="40"/>
        <v>309.42</v>
      </c>
      <c r="AD41">
        <f t="shared" si="41"/>
        <v>0</v>
      </c>
      <c r="AE41">
        <f t="shared" si="42"/>
        <v>0</v>
      </c>
      <c r="AF41">
        <f t="shared" si="43"/>
        <v>0</v>
      </c>
      <c r="AG41">
        <f t="shared" si="44"/>
        <v>0</v>
      </c>
      <c r="AH41">
        <f t="shared" si="45"/>
        <v>0</v>
      </c>
      <c r="AI41">
        <f t="shared" si="46"/>
        <v>0</v>
      </c>
      <c r="AJ41">
        <f t="shared" si="47"/>
        <v>0</v>
      </c>
      <c r="AK41">
        <v>309.42</v>
      </c>
      <c r="AL41">
        <v>309.42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4</v>
      </c>
      <c r="BJ41" t="s">
        <v>64</v>
      </c>
      <c r="BM41">
        <v>0</v>
      </c>
      <c r="BN41">
        <v>75371441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8"/>
        <v>123.77</v>
      </c>
      <c r="CQ41">
        <f t="shared" si="49"/>
        <v>309.42</v>
      </c>
      <c r="CR41">
        <f t="shared" si="50"/>
        <v>0</v>
      </c>
      <c r="CS41">
        <f t="shared" si="51"/>
        <v>0</v>
      </c>
      <c r="CT41">
        <f t="shared" si="52"/>
        <v>0</v>
      </c>
      <c r="CU41">
        <f t="shared" si="53"/>
        <v>0</v>
      </c>
      <c r="CV41">
        <f t="shared" si="54"/>
        <v>0</v>
      </c>
      <c r="CW41">
        <f t="shared" si="55"/>
        <v>0</v>
      </c>
      <c r="CX41">
        <f t="shared" si="56"/>
        <v>0</v>
      </c>
      <c r="CY41">
        <f t="shared" si="57"/>
        <v>0</v>
      </c>
      <c r="CZ41">
        <f t="shared" si="58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1009</v>
      </c>
      <c r="DV41" t="s">
        <v>63</v>
      </c>
      <c r="DW41" t="s">
        <v>63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75371444</v>
      </c>
      <c r="EF41">
        <v>1</v>
      </c>
      <c r="EG41" t="s">
        <v>22</v>
      </c>
      <c r="EH41">
        <v>0</v>
      </c>
      <c r="EI41" t="s">
        <v>3</v>
      </c>
      <c r="EJ41">
        <v>4</v>
      </c>
      <c r="EK41">
        <v>0</v>
      </c>
      <c r="EL41" t="s">
        <v>23</v>
      </c>
      <c r="EM41" t="s">
        <v>24</v>
      </c>
      <c r="EO41" t="s">
        <v>3</v>
      </c>
      <c r="EQ41">
        <v>0</v>
      </c>
      <c r="ER41">
        <v>309.42</v>
      </c>
      <c r="ES41">
        <v>309.42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9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1429785642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60"/>
        <v>0</v>
      </c>
      <c r="GM41">
        <f t="shared" si="61"/>
        <v>123.77</v>
      </c>
      <c r="GN41">
        <f t="shared" si="62"/>
        <v>0</v>
      </c>
      <c r="GO41">
        <f t="shared" si="63"/>
        <v>0</v>
      </c>
      <c r="GP41">
        <f t="shared" si="64"/>
        <v>123.77</v>
      </c>
      <c r="GR41">
        <v>0</v>
      </c>
      <c r="GS41">
        <v>3</v>
      </c>
      <c r="GT41">
        <v>0</v>
      </c>
      <c r="GU41" t="s">
        <v>3</v>
      </c>
      <c r="GV41">
        <f t="shared" si="65"/>
        <v>0</v>
      </c>
      <c r="GW41">
        <v>1</v>
      </c>
      <c r="GX41">
        <f t="shared" si="66"/>
        <v>0</v>
      </c>
      <c r="HA41">
        <v>0</v>
      </c>
      <c r="HB41">
        <v>0</v>
      </c>
      <c r="HC41">
        <f t="shared" si="67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18</v>
      </c>
      <c r="B42">
        <v>1</v>
      </c>
      <c r="C42">
        <v>28</v>
      </c>
      <c r="E42" t="s">
        <v>65</v>
      </c>
      <c r="F42" t="s">
        <v>66</v>
      </c>
      <c r="G42" t="s">
        <v>67</v>
      </c>
      <c r="H42" t="s">
        <v>68</v>
      </c>
      <c r="I42">
        <f>I40*J42</f>
        <v>-3.3300000000000002E-4</v>
      </c>
      <c r="J42">
        <v>-2.0812500000000001E-2</v>
      </c>
      <c r="K42">
        <v>-2.0799999999999999E-2</v>
      </c>
      <c r="O42">
        <f t="shared" si="28"/>
        <v>-82.38</v>
      </c>
      <c r="P42">
        <f t="shared" si="29"/>
        <v>-82.38</v>
      </c>
      <c r="Q42">
        <f t="shared" si="30"/>
        <v>0</v>
      </c>
      <c r="R42">
        <f t="shared" si="31"/>
        <v>0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75700856</v>
      </c>
      <c r="AB42">
        <f t="shared" si="39"/>
        <v>247397.04</v>
      </c>
      <c r="AC42">
        <f t="shared" si="40"/>
        <v>247397.04</v>
      </c>
      <c r="AD42">
        <f t="shared" si="41"/>
        <v>0</v>
      </c>
      <c r="AE42">
        <f t="shared" si="42"/>
        <v>0</v>
      </c>
      <c r="AF42">
        <f t="shared" si="43"/>
        <v>0</v>
      </c>
      <c r="AG42">
        <f t="shared" si="44"/>
        <v>0</v>
      </c>
      <c r="AH42">
        <f t="shared" si="45"/>
        <v>0</v>
      </c>
      <c r="AI42">
        <f t="shared" si="46"/>
        <v>0</v>
      </c>
      <c r="AJ42">
        <f t="shared" si="47"/>
        <v>0</v>
      </c>
      <c r="AK42">
        <v>247397.04</v>
      </c>
      <c r="AL42">
        <v>247397.04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4</v>
      </c>
      <c r="BJ42" t="s">
        <v>69</v>
      </c>
      <c r="BM42">
        <v>0</v>
      </c>
      <c r="BN42">
        <v>75371441</v>
      </c>
      <c r="BO42" t="s">
        <v>3</v>
      </c>
      <c r="BP42">
        <v>0</v>
      </c>
      <c r="BQ42">
        <v>1</v>
      </c>
      <c r="BR42">
        <v>1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8"/>
        <v>-82.38</v>
      </c>
      <c r="CQ42">
        <f t="shared" si="49"/>
        <v>247397.04</v>
      </c>
      <c r="CR42">
        <f t="shared" si="50"/>
        <v>0</v>
      </c>
      <c r="CS42">
        <f t="shared" si="51"/>
        <v>0</v>
      </c>
      <c r="CT42">
        <f t="shared" si="52"/>
        <v>0</v>
      </c>
      <c r="CU42">
        <f t="shared" si="53"/>
        <v>0</v>
      </c>
      <c r="CV42">
        <f t="shared" si="54"/>
        <v>0</v>
      </c>
      <c r="CW42">
        <f t="shared" si="55"/>
        <v>0</v>
      </c>
      <c r="CX42">
        <f t="shared" si="56"/>
        <v>0</v>
      </c>
      <c r="CY42">
        <f t="shared" si="57"/>
        <v>0</v>
      </c>
      <c r="CZ42">
        <f t="shared" si="58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1009</v>
      </c>
      <c r="DV42" t="s">
        <v>68</v>
      </c>
      <c r="DW42" t="s">
        <v>68</v>
      </c>
      <c r="DX42">
        <v>1000</v>
      </c>
      <c r="DZ42" t="s">
        <v>3</v>
      </c>
      <c r="EA42" t="s">
        <v>3</v>
      </c>
      <c r="EB42" t="s">
        <v>3</v>
      </c>
      <c r="EC42" t="s">
        <v>3</v>
      </c>
      <c r="EE42">
        <v>75371444</v>
      </c>
      <c r="EF42">
        <v>1</v>
      </c>
      <c r="EG42" t="s">
        <v>22</v>
      </c>
      <c r="EH42">
        <v>0</v>
      </c>
      <c r="EI42" t="s">
        <v>3</v>
      </c>
      <c r="EJ42">
        <v>4</v>
      </c>
      <c r="EK42">
        <v>0</v>
      </c>
      <c r="EL42" t="s">
        <v>23</v>
      </c>
      <c r="EM42" t="s">
        <v>24</v>
      </c>
      <c r="EO42" t="s">
        <v>3</v>
      </c>
      <c r="EQ42">
        <v>0</v>
      </c>
      <c r="ER42">
        <v>247397.04</v>
      </c>
      <c r="ES42">
        <v>247397.04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59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-1906236598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60"/>
        <v>0</v>
      </c>
      <c r="GM42">
        <f t="shared" si="61"/>
        <v>-82.38</v>
      </c>
      <c r="GN42">
        <f t="shared" si="62"/>
        <v>0</v>
      </c>
      <c r="GO42">
        <f t="shared" si="63"/>
        <v>0</v>
      </c>
      <c r="GP42">
        <f t="shared" si="64"/>
        <v>-82.38</v>
      </c>
      <c r="GR42">
        <v>0</v>
      </c>
      <c r="GS42">
        <v>3</v>
      </c>
      <c r="GT42">
        <v>0</v>
      </c>
      <c r="GU42" t="s">
        <v>3</v>
      </c>
      <c r="GV42">
        <f t="shared" si="65"/>
        <v>0</v>
      </c>
      <c r="GW42">
        <v>1</v>
      </c>
      <c r="GX42">
        <f t="shared" si="66"/>
        <v>0</v>
      </c>
      <c r="HA42">
        <v>0</v>
      </c>
      <c r="HB42">
        <v>0</v>
      </c>
      <c r="HC42">
        <f t="shared" si="67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C43">
        <f>ROW(SmtRes!A35)</f>
        <v>35</v>
      </c>
      <c r="D43">
        <f>ROW(EtalonRes!A33)</f>
        <v>33</v>
      </c>
      <c r="E43" t="s">
        <v>70</v>
      </c>
      <c r="F43" t="s">
        <v>71</v>
      </c>
      <c r="G43" t="s">
        <v>72</v>
      </c>
      <c r="H43" t="s">
        <v>20</v>
      </c>
      <c r="I43">
        <f>ROUND(0.9/100,9)</f>
        <v>8.9999999999999993E-3</v>
      </c>
      <c r="J43">
        <v>0</v>
      </c>
      <c r="K43">
        <f>ROUND(0.9/100,9)</f>
        <v>8.9999999999999993E-3</v>
      </c>
      <c r="O43">
        <f t="shared" si="28"/>
        <v>226.82</v>
      </c>
      <c r="P43">
        <f t="shared" si="29"/>
        <v>148.29</v>
      </c>
      <c r="Q43">
        <f t="shared" si="30"/>
        <v>0.81</v>
      </c>
      <c r="R43">
        <f t="shared" si="31"/>
        <v>0.09</v>
      </c>
      <c r="S43">
        <f t="shared" si="32"/>
        <v>77.72</v>
      </c>
      <c r="T43">
        <f t="shared" si="33"/>
        <v>0</v>
      </c>
      <c r="U43">
        <f t="shared" si="34"/>
        <v>0.17226</v>
      </c>
      <c r="V43">
        <f t="shared" si="35"/>
        <v>0</v>
      </c>
      <c r="W43">
        <f t="shared" si="36"/>
        <v>0</v>
      </c>
      <c r="X43">
        <f t="shared" si="37"/>
        <v>54.4</v>
      </c>
      <c r="Y43">
        <f t="shared" si="38"/>
        <v>7.77</v>
      </c>
      <c r="AA43">
        <v>75700856</v>
      </c>
      <c r="AB43">
        <f t="shared" si="39"/>
        <v>25201.35</v>
      </c>
      <c r="AC43">
        <f t="shared" si="40"/>
        <v>16476.439999999999</v>
      </c>
      <c r="AD43">
        <f t="shared" si="41"/>
        <v>89.91</v>
      </c>
      <c r="AE43">
        <f t="shared" si="42"/>
        <v>10.32</v>
      </c>
      <c r="AF43">
        <f t="shared" si="43"/>
        <v>8635</v>
      </c>
      <c r="AG43">
        <f t="shared" si="44"/>
        <v>0</v>
      </c>
      <c r="AH43">
        <f t="shared" si="45"/>
        <v>19.14</v>
      </c>
      <c r="AI43">
        <f t="shared" si="46"/>
        <v>0</v>
      </c>
      <c r="AJ43">
        <f t="shared" si="47"/>
        <v>0</v>
      </c>
      <c r="AK43">
        <v>25201.35</v>
      </c>
      <c r="AL43">
        <v>16476.439999999999</v>
      </c>
      <c r="AM43">
        <v>89.91</v>
      </c>
      <c r="AN43">
        <v>10.32</v>
      </c>
      <c r="AO43">
        <v>8635</v>
      </c>
      <c r="AP43">
        <v>0</v>
      </c>
      <c r="AQ43">
        <v>19.14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73</v>
      </c>
      <c r="BM43">
        <v>0</v>
      </c>
      <c r="BN43">
        <v>75371441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8"/>
        <v>226.82</v>
      </c>
      <c r="CQ43">
        <f t="shared" si="49"/>
        <v>16476.439999999999</v>
      </c>
      <c r="CR43">
        <f t="shared" si="50"/>
        <v>89.91</v>
      </c>
      <c r="CS43">
        <f t="shared" si="51"/>
        <v>10.32</v>
      </c>
      <c r="CT43">
        <f t="shared" si="52"/>
        <v>8635</v>
      </c>
      <c r="CU43">
        <f t="shared" si="53"/>
        <v>0</v>
      </c>
      <c r="CV43">
        <f t="shared" si="54"/>
        <v>19.14</v>
      </c>
      <c r="CW43">
        <f t="shared" si="55"/>
        <v>0</v>
      </c>
      <c r="CX43">
        <f t="shared" si="56"/>
        <v>0</v>
      </c>
      <c r="CY43">
        <f t="shared" si="57"/>
        <v>54.403999999999996</v>
      </c>
      <c r="CZ43">
        <f t="shared" si="58"/>
        <v>7.7720000000000002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20</v>
      </c>
      <c r="DW43" t="s">
        <v>20</v>
      </c>
      <c r="DX43">
        <v>100</v>
      </c>
      <c r="DZ43" t="s">
        <v>3</v>
      </c>
      <c r="EA43" t="s">
        <v>3</v>
      </c>
      <c r="EB43" t="s">
        <v>3</v>
      </c>
      <c r="EC43" t="s">
        <v>3</v>
      </c>
      <c r="EE43">
        <v>75371444</v>
      </c>
      <c r="EF43">
        <v>1</v>
      </c>
      <c r="EG43" t="s">
        <v>22</v>
      </c>
      <c r="EH43">
        <v>0</v>
      </c>
      <c r="EI43" t="s">
        <v>3</v>
      </c>
      <c r="EJ43">
        <v>4</v>
      </c>
      <c r="EK43">
        <v>0</v>
      </c>
      <c r="EL43" t="s">
        <v>23</v>
      </c>
      <c r="EM43" t="s">
        <v>24</v>
      </c>
      <c r="EO43" t="s">
        <v>3</v>
      </c>
      <c r="EQ43">
        <v>0</v>
      </c>
      <c r="ER43">
        <v>25201.35</v>
      </c>
      <c r="ES43">
        <v>16476.439999999999</v>
      </c>
      <c r="ET43">
        <v>89.91</v>
      </c>
      <c r="EU43">
        <v>10.32</v>
      </c>
      <c r="EV43">
        <v>8635</v>
      </c>
      <c r="EW43">
        <v>19.14</v>
      </c>
      <c r="EX43">
        <v>0</v>
      </c>
      <c r="EY43">
        <v>0</v>
      </c>
      <c r="FQ43">
        <v>0</v>
      </c>
      <c r="FR43">
        <f t="shared" si="59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2067592017</v>
      </c>
      <c r="GG43">
        <v>2</v>
      </c>
      <c r="GH43">
        <v>1</v>
      </c>
      <c r="GI43">
        <v>-2</v>
      </c>
      <c r="GJ43">
        <v>0</v>
      </c>
      <c r="GK43">
        <f>ROUND(R43*(R12)/100,2)</f>
        <v>0.1</v>
      </c>
      <c r="GL43">
        <f t="shared" si="60"/>
        <v>0</v>
      </c>
      <c r="GM43">
        <f t="shared" si="61"/>
        <v>289.08999999999997</v>
      </c>
      <c r="GN43">
        <f t="shared" si="62"/>
        <v>0</v>
      </c>
      <c r="GO43">
        <f t="shared" si="63"/>
        <v>0</v>
      </c>
      <c r="GP43">
        <f t="shared" si="64"/>
        <v>289.08999999999997</v>
      </c>
      <c r="GR43">
        <v>0</v>
      </c>
      <c r="GS43">
        <v>3</v>
      </c>
      <c r="GT43">
        <v>0</v>
      </c>
      <c r="GU43" t="s">
        <v>3</v>
      </c>
      <c r="GV43">
        <f t="shared" si="65"/>
        <v>0</v>
      </c>
      <c r="GW43">
        <v>1</v>
      </c>
      <c r="GX43">
        <f t="shared" si="66"/>
        <v>0</v>
      </c>
      <c r="HA43">
        <v>0</v>
      </c>
      <c r="HB43">
        <v>0</v>
      </c>
      <c r="HC43">
        <f t="shared" si="67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5" spans="1:245" x14ac:dyDescent="0.2">
      <c r="A45" s="2">
        <v>51</v>
      </c>
      <c r="B45" s="2">
        <f>B28</f>
        <v>1</v>
      </c>
      <c r="C45" s="2">
        <f>A28</f>
        <v>5</v>
      </c>
      <c r="D45" s="2">
        <f>ROW(A28)</f>
        <v>28</v>
      </c>
      <c r="E45" s="2"/>
      <c r="F45" s="2" t="str">
        <f>IF(F28&lt;&gt;"",F28,"")</f>
        <v>Новый подраздел</v>
      </c>
      <c r="G45" s="2" t="str">
        <f>IF(G28&lt;&gt;"",G28,"")</f>
        <v>Полы</v>
      </c>
      <c r="H45" s="2">
        <v>0</v>
      </c>
      <c r="I45" s="2"/>
      <c r="J45" s="2"/>
      <c r="K45" s="2"/>
      <c r="L45" s="2"/>
      <c r="M45" s="2"/>
      <c r="N45" s="2"/>
      <c r="O45" s="2">
        <f t="shared" ref="O45:T45" si="68">ROUND(AB45,2)</f>
        <v>136504.79999999999</v>
      </c>
      <c r="P45" s="2">
        <f t="shared" si="68"/>
        <v>105878.42</v>
      </c>
      <c r="Q45" s="2">
        <f t="shared" si="68"/>
        <v>376.43</v>
      </c>
      <c r="R45" s="2">
        <f t="shared" si="68"/>
        <v>16.239999999999998</v>
      </c>
      <c r="S45" s="2">
        <f t="shared" si="68"/>
        <v>30249.95</v>
      </c>
      <c r="T45" s="2">
        <f t="shared" si="68"/>
        <v>0</v>
      </c>
      <c r="U45" s="2">
        <f>AH45</f>
        <v>65.583239999999989</v>
      </c>
      <c r="V45" s="2">
        <f>AI45</f>
        <v>0</v>
      </c>
      <c r="W45" s="2">
        <f>ROUND(AJ45,2)</f>
        <v>0</v>
      </c>
      <c r="X45" s="2">
        <f>ROUND(AK45,2)</f>
        <v>21174.959999999999</v>
      </c>
      <c r="Y45" s="2">
        <f>ROUND(AL45,2)</f>
        <v>3025</v>
      </c>
      <c r="Z45" s="2"/>
      <c r="AA45" s="2"/>
      <c r="AB45" s="2">
        <f>ROUND(SUMIF(AA32:AA43,"=75700856",O32:O43),2)</f>
        <v>136504.79999999999</v>
      </c>
      <c r="AC45" s="2">
        <f>ROUND(SUMIF(AA32:AA43,"=75700856",P32:P43),2)</f>
        <v>105878.42</v>
      </c>
      <c r="AD45" s="2">
        <f>ROUND(SUMIF(AA32:AA43,"=75700856",Q32:Q43),2)</f>
        <v>376.43</v>
      </c>
      <c r="AE45" s="2">
        <f>ROUND(SUMIF(AA32:AA43,"=75700856",R32:R43),2)</f>
        <v>16.239999999999998</v>
      </c>
      <c r="AF45" s="2">
        <f>ROUND(SUMIF(AA32:AA43,"=75700856",S32:S43),2)</f>
        <v>30249.95</v>
      </c>
      <c r="AG45" s="2">
        <f>ROUND(SUMIF(AA32:AA43,"=75700856",T32:T43),2)</f>
        <v>0</v>
      </c>
      <c r="AH45" s="2">
        <f>SUMIF(AA32:AA43,"=75700856",U32:U43)</f>
        <v>65.583239999999989</v>
      </c>
      <c r="AI45" s="2">
        <f>SUMIF(AA32:AA43,"=75700856",V32:V43)</f>
        <v>0</v>
      </c>
      <c r="AJ45" s="2">
        <f>ROUND(SUMIF(AA32:AA43,"=75700856",W32:W43),2)</f>
        <v>0</v>
      </c>
      <c r="AK45" s="2">
        <f>ROUND(SUMIF(AA32:AA43,"=75700856",X32:X43),2)</f>
        <v>21174.959999999999</v>
      </c>
      <c r="AL45" s="2">
        <f>ROUND(SUMIF(AA32:AA43,"=75700856",Y32:Y43),2)</f>
        <v>3025</v>
      </c>
      <c r="AM45" s="2"/>
      <c r="AN45" s="2"/>
      <c r="AO45" s="2">
        <f t="shared" ref="AO45:BD45" si="69">ROUND(BX45,2)</f>
        <v>0</v>
      </c>
      <c r="AP45" s="2">
        <f t="shared" si="69"/>
        <v>0</v>
      </c>
      <c r="AQ45" s="2">
        <f t="shared" si="69"/>
        <v>0</v>
      </c>
      <c r="AR45" s="2">
        <f t="shared" si="69"/>
        <v>160722.29999999999</v>
      </c>
      <c r="AS45" s="2">
        <f t="shared" si="69"/>
        <v>0</v>
      </c>
      <c r="AT45" s="2">
        <f t="shared" si="69"/>
        <v>0</v>
      </c>
      <c r="AU45" s="2">
        <f t="shared" si="69"/>
        <v>160722.29999999999</v>
      </c>
      <c r="AV45" s="2">
        <f t="shared" si="69"/>
        <v>105878.42</v>
      </c>
      <c r="AW45" s="2">
        <f t="shared" si="69"/>
        <v>105878.42</v>
      </c>
      <c r="AX45" s="2">
        <f t="shared" si="69"/>
        <v>0</v>
      </c>
      <c r="AY45" s="2">
        <f t="shared" si="69"/>
        <v>105878.42</v>
      </c>
      <c r="AZ45" s="2">
        <f t="shared" si="69"/>
        <v>0</v>
      </c>
      <c r="BA45" s="2">
        <f t="shared" si="69"/>
        <v>0</v>
      </c>
      <c r="BB45" s="2">
        <f t="shared" si="69"/>
        <v>0</v>
      </c>
      <c r="BC45" s="2">
        <f t="shared" si="69"/>
        <v>0</v>
      </c>
      <c r="BD45" s="2">
        <f t="shared" si="69"/>
        <v>0</v>
      </c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>
        <f>ROUND(SUMIF(AA32:AA43,"=75700856",FQ32:FQ43),2)</f>
        <v>0</v>
      </c>
      <c r="BY45" s="2">
        <f>ROUND(SUMIF(AA32:AA43,"=75700856",FR32:FR43),2)</f>
        <v>0</v>
      </c>
      <c r="BZ45" s="2">
        <f>ROUND(SUMIF(AA32:AA43,"=75700856",GL32:GL43),2)</f>
        <v>0</v>
      </c>
      <c r="CA45" s="2">
        <f>ROUND(SUMIF(AA32:AA43,"=75700856",GM32:GM43),2)</f>
        <v>160722.29999999999</v>
      </c>
      <c r="CB45" s="2">
        <f>ROUND(SUMIF(AA32:AA43,"=75700856",GN32:GN43),2)</f>
        <v>0</v>
      </c>
      <c r="CC45" s="2">
        <f>ROUND(SUMIF(AA32:AA43,"=75700856",GO32:GO43),2)</f>
        <v>0</v>
      </c>
      <c r="CD45" s="2">
        <f>ROUND(SUMIF(AA32:AA43,"=75700856",GP32:GP43),2)</f>
        <v>160722.29999999999</v>
      </c>
      <c r="CE45" s="2">
        <f>AC45-BX45</f>
        <v>105878.42</v>
      </c>
      <c r="CF45" s="2">
        <f>AC45-BY45</f>
        <v>105878.42</v>
      </c>
      <c r="CG45" s="2">
        <f>BX45-BZ45</f>
        <v>0</v>
      </c>
      <c r="CH45" s="2">
        <f>AC45-BX45-BY45+BZ45</f>
        <v>105878.42</v>
      </c>
      <c r="CI45" s="2">
        <f>BY45-BZ45</f>
        <v>0</v>
      </c>
      <c r="CJ45" s="2">
        <f>ROUND(SUMIF(AA32:AA43,"=75700856",GX32:GX43),2)</f>
        <v>0</v>
      </c>
      <c r="CK45" s="2">
        <f>ROUND(SUMIF(AA32:AA43,"=75700856",GY32:GY43),2)</f>
        <v>0</v>
      </c>
      <c r="CL45" s="2">
        <f>ROUND(SUMIF(AA32:AA43,"=75700856",GZ32:GZ43),2)</f>
        <v>0</v>
      </c>
      <c r="CM45" s="2">
        <f>ROUND(SUMIF(AA32:AA43,"=75700856",HD32:HD43),2)</f>
        <v>0</v>
      </c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>
        <v>0</v>
      </c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201</v>
      </c>
      <c r="F47" s="4">
        <f>ROUND(Source!O45,O47)</f>
        <v>136504.79999999999</v>
      </c>
      <c r="G47" s="4" t="s">
        <v>74</v>
      </c>
      <c r="H47" s="4" t="s">
        <v>75</v>
      </c>
      <c r="I47" s="4"/>
      <c r="J47" s="4"/>
      <c r="K47" s="4">
        <v>201</v>
      </c>
      <c r="L47" s="4">
        <v>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136504.79999999999</v>
      </c>
      <c r="X47" s="4">
        <v>1</v>
      </c>
      <c r="Y47" s="4">
        <v>136504.79999999999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202</v>
      </c>
      <c r="F48" s="4">
        <f>ROUND(Source!P45,O48)</f>
        <v>105878.42</v>
      </c>
      <c r="G48" s="4" t="s">
        <v>76</v>
      </c>
      <c r="H48" s="4" t="s">
        <v>77</v>
      </c>
      <c r="I48" s="4"/>
      <c r="J48" s="4"/>
      <c r="K48" s="4">
        <v>202</v>
      </c>
      <c r="L48" s="4">
        <v>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105878.42</v>
      </c>
      <c r="X48" s="4">
        <v>1</v>
      </c>
      <c r="Y48" s="4">
        <v>105878.42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222</v>
      </c>
      <c r="F49" s="4">
        <f>ROUND(Source!AO45,O49)</f>
        <v>0</v>
      </c>
      <c r="G49" s="4" t="s">
        <v>78</v>
      </c>
      <c r="H49" s="4" t="s">
        <v>79</v>
      </c>
      <c r="I49" s="4"/>
      <c r="J49" s="4"/>
      <c r="K49" s="4">
        <v>222</v>
      </c>
      <c r="L49" s="4">
        <v>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225</v>
      </c>
      <c r="F50" s="4">
        <f>ROUND(Source!AV45,O50)</f>
        <v>105878.42</v>
      </c>
      <c r="G50" s="4" t="s">
        <v>80</v>
      </c>
      <c r="H50" s="4" t="s">
        <v>81</v>
      </c>
      <c r="I50" s="4"/>
      <c r="J50" s="4"/>
      <c r="K50" s="4">
        <v>225</v>
      </c>
      <c r="L50" s="4">
        <v>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105878.42</v>
      </c>
      <c r="X50" s="4">
        <v>1</v>
      </c>
      <c r="Y50" s="4">
        <v>105878.42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226</v>
      </c>
      <c r="F51" s="4">
        <f>ROUND(Source!AW45,O51)</f>
        <v>105878.42</v>
      </c>
      <c r="G51" s="4" t="s">
        <v>82</v>
      </c>
      <c r="H51" s="4" t="s">
        <v>83</v>
      </c>
      <c r="I51" s="4"/>
      <c r="J51" s="4"/>
      <c r="K51" s="4">
        <v>226</v>
      </c>
      <c r="L51" s="4">
        <v>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105878.42</v>
      </c>
      <c r="X51" s="4">
        <v>1</v>
      </c>
      <c r="Y51" s="4">
        <v>105878.42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227</v>
      </c>
      <c r="F52" s="4">
        <f>ROUND(Source!AX45,O52)</f>
        <v>0</v>
      </c>
      <c r="G52" s="4" t="s">
        <v>84</v>
      </c>
      <c r="H52" s="4" t="s">
        <v>85</v>
      </c>
      <c r="I52" s="4"/>
      <c r="J52" s="4"/>
      <c r="K52" s="4">
        <v>227</v>
      </c>
      <c r="L52" s="4">
        <v>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228</v>
      </c>
      <c r="F53" s="4">
        <f>ROUND(Source!AY45,O53)</f>
        <v>105878.42</v>
      </c>
      <c r="G53" s="4" t="s">
        <v>86</v>
      </c>
      <c r="H53" s="4" t="s">
        <v>87</v>
      </c>
      <c r="I53" s="4"/>
      <c r="J53" s="4"/>
      <c r="K53" s="4">
        <v>228</v>
      </c>
      <c r="L53" s="4">
        <v>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105878.42</v>
      </c>
      <c r="X53" s="4">
        <v>1</v>
      </c>
      <c r="Y53" s="4">
        <v>105878.42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216</v>
      </c>
      <c r="F54" s="4">
        <f>ROUND(Source!AP45,O54)</f>
        <v>0</v>
      </c>
      <c r="G54" s="4" t="s">
        <v>88</v>
      </c>
      <c r="H54" s="4" t="s">
        <v>89</v>
      </c>
      <c r="I54" s="4"/>
      <c r="J54" s="4"/>
      <c r="K54" s="4">
        <v>216</v>
      </c>
      <c r="L54" s="4">
        <v>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223</v>
      </c>
      <c r="F55" s="4">
        <f>ROUND(Source!AQ45,O55)</f>
        <v>0</v>
      </c>
      <c r="G55" s="4" t="s">
        <v>90</v>
      </c>
      <c r="H55" s="4" t="s">
        <v>91</v>
      </c>
      <c r="I55" s="4"/>
      <c r="J55" s="4"/>
      <c r="K55" s="4">
        <v>223</v>
      </c>
      <c r="L55" s="4">
        <v>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229</v>
      </c>
      <c r="F56" s="4">
        <f>ROUND(Source!AZ45,O56)</f>
        <v>0</v>
      </c>
      <c r="G56" s="4" t="s">
        <v>92</v>
      </c>
      <c r="H56" s="4" t="s">
        <v>93</v>
      </c>
      <c r="I56" s="4"/>
      <c r="J56" s="4"/>
      <c r="K56" s="4">
        <v>229</v>
      </c>
      <c r="L56" s="4">
        <v>10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203</v>
      </c>
      <c r="F57" s="4">
        <f>ROUND(Source!Q45,O57)</f>
        <v>376.43</v>
      </c>
      <c r="G57" s="4" t="s">
        <v>94</v>
      </c>
      <c r="H57" s="4" t="s">
        <v>95</v>
      </c>
      <c r="I57" s="4"/>
      <c r="J57" s="4"/>
      <c r="K57" s="4">
        <v>203</v>
      </c>
      <c r="L57" s="4">
        <v>11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376.43</v>
      </c>
      <c r="X57" s="4">
        <v>1</v>
      </c>
      <c r="Y57" s="4">
        <v>376.43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231</v>
      </c>
      <c r="F58" s="4">
        <f>ROUND(Source!BB45,O58)</f>
        <v>0</v>
      </c>
      <c r="G58" s="4" t="s">
        <v>96</v>
      </c>
      <c r="H58" s="4" t="s">
        <v>97</v>
      </c>
      <c r="I58" s="4"/>
      <c r="J58" s="4"/>
      <c r="K58" s="4">
        <v>231</v>
      </c>
      <c r="L58" s="4">
        <v>12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204</v>
      </c>
      <c r="F59" s="4">
        <f>ROUND(Source!R45,O59)</f>
        <v>16.239999999999998</v>
      </c>
      <c r="G59" s="4" t="s">
        <v>98</v>
      </c>
      <c r="H59" s="4" t="s">
        <v>99</v>
      </c>
      <c r="I59" s="4"/>
      <c r="J59" s="4"/>
      <c r="K59" s="4">
        <v>204</v>
      </c>
      <c r="L59" s="4">
        <v>13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16.239999999999998</v>
      </c>
      <c r="X59" s="4">
        <v>1</v>
      </c>
      <c r="Y59" s="4">
        <v>16.239999999999998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205</v>
      </c>
      <c r="F60" s="4">
        <f>ROUND(Source!S45,O60)</f>
        <v>30249.95</v>
      </c>
      <c r="G60" s="4" t="s">
        <v>100</v>
      </c>
      <c r="H60" s="4" t="s">
        <v>101</v>
      </c>
      <c r="I60" s="4"/>
      <c r="J60" s="4"/>
      <c r="K60" s="4">
        <v>205</v>
      </c>
      <c r="L60" s="4">
        <v>14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30249.95</v>
      </c>
      <c r="X60" s="4">
        <v>1</v>
      </c>
      <c r="Y60" s="4">
        <v>30249.95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232</v>
      </c>
      <c r="F61" s="4">
        <f>ROUND(Source!BC45,O61)</f>
        <v>0</v>
      </c>
      <c r="G61" s="4" t="s">
        <v>102</v>
      </c>
      <c r="H61" s="4" t="s">
        <v>103</v>
      </c>
      <c r="I61" s="4"/>
      <c r="J61" s="4"/>
      <c r="K61" s="4">
        <v>232</v>
      </c>
      <c r="L61" s="4">
        <v>15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214</v>
      </c>
      <c r="F62" s="4">
        <f>ROUND(Source!AS45,O62)</f>
        <v>0</v>
      </c>
      <c r="G62" s="4" t="s">
        <v>104</v>
      </c>
      <c r="H62" s="4" t="s">
        <v>105</v>
      </c>
      <c r="I62" s="4"/>
      <c r="J62" s="4"/>
      <c r="K62" s="4">
        <v>214</v>
      </c>
      <c r="L62" s="4">
        <v>16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215</v>
      </c>
      <c r="F63" s="4">
        <f>ROUND(Source!AT45,O63)</f>
        <v>0</v>
      </c>
      <c r="G63" s="4" t="s">
        <v>106</v>
      </c>
      <c r="H63" s="4" t="s">
        <v>107</v>
      </c>
      <c r="I63" s="4"/>
      <c r="J63" s="4"/>
      <c r="K63" s="4">
        <v>215</v>
      </c>
      <c r="L63" s="4">
        <v>17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217</v>
      </c>
      <c r="F64" s="4">
        <f>ROUND(Source!AU45,O64)</f>
        <v>160722.29999999999</v>
      </c>
      <c r="G64" s="4" t="s">
        <v>108</v>
      </c>
      <c r="H64" s="4" t="s">
        <v>109</v>
      </c>
      <c r="I64" s="4"/>
      <c r="J64" s="4"/>
      <c r="K64" s="4">
        <v>217</v>
      </c>
      <c r="L64" s="4">
        <v>18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160722.29999999999</v>
      </c>
      <c r="X64" s="4">
        <v>1</v>
      </c>
      <c r="Y64" s="4">
        <v>160722.29999999999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230</v>
      </c>
      <c r="F65" s="4">
        <f>ROUND(Source!BA45,O65)</f>
        <v>0</v>
      </c>
      <c r="G65" s="4" t="s">
        <v>110</v>
      </c>
      <c r="H65" s="4" t="s">
        <v>111</v>
      </c>
      <c r="I65" s="4"/>
      <c r="J65" s="4"/>
      <c r="K65" s="4">
        <v>230</v>
      </c>
      <c r="L65" s="4">
        <v>19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206</v>
      </c>
      <c r="F66" s="4">
        <f>ROUND(Source!T45,O66)</f>
        <v>0</v>
      </c>
      <c r="G66" s="4" t="s">
        <v>112</v>
      </c>
      <c r="H66" s="4" t="s">
        <v>113</v>
      </c>
      <c r="I66" s="4"/>
      <c r="J66" s="4"/>
      <c r="K66" s="4">
        <v>206</v>
      </c>
      <c r="L66" s="4">
        <v>20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207</v>
      </c>
      <c r="F67" s="4">
        <f>Source!U45</f>
        <v>65.583239999999989</v>
      </c>
      <c r="G67" s="4" t="s">
        <v>114</v>
      </c>
      <c r="H67" s="4" t="s">
        <v>115</v>
      </c>
      <c r="I67" s="4"/>
      <c r="J67" s="4"/>
      <c r="K67" s="4">
        <v>207</v>
      </c>
      <c r="L67" s="4">
        <v>21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65.583239999999989</v>
      </c>
      <c r="X67" s="4">
        <v>1</v>
      </c>
      <c r="Y67" s="4">
        <v>65.583239999999989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208</v>
      </c>
      <c r="F68" s="4">
        <f>Source!V45</f>
        <v>0</v>
      </c>
      <c r="G68" s="4" t="s">
        <v>116</v>
      </c>
      <c r="H68" s="4" t="s">
        <v>117</v>
      </c>
      <c r="I68" s="4"/>
      <c r="J68" s="4"/>
      <c r="K68" s="4">
        <v>208</v>
      </c>
      <c r="L68" s="4">
        <v>22</v>
      </c>
      <c r="M68" s="4">
        <v>3</v>
      </c>
      <c r="N68" s="4" t="s">
        <v>3</v>
      </c>
      <c r="O68" s="4">
        <v>-1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209</v>
      </c>
      <c r="F69" s="4">
        <f>ROUND(Source!W45,O69)</f>
        <v>0</v>
      </c>
      <c r="G69" s="4" t="s">
        <v>118</v>
      </c>
      <c r="H69" s="4" t="s">
        <v>119</v>
      </c>
      <c r="I69" s="4"/>
      <c r="J69" s="4"/>
      <c r="K69" s="4">
        <v>209</v>
      </c>
      <c r="L69" s="4">
        <v>23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233</v>
      </c>
      <c r="F70" s="4">
        <f>ROUND(Source!BD45,O70)</f>
        <v>0</v>
      </c>
      <c r="G70" s="4" t="s">
        <v>120</v>
      </c>
      <c r="H70" s="4" t="s">
        <v>121</v>
      </c>
      <c r="I70" s="4"/>
      <c r="J70" s="4"/>
      <c r="K70" s="4">
        <v>233</v>
      </c>
      <c r="L70" s="4">
        <v>24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210</v>
      </c>
      <c r="F71" s="4">
        <f>ROUND(Source!X45,O71)</f>
        <v>21174.959999999999</v>
      </c>
      <c r="G71" s="4" t="s">
        <v>122</v>
      </c>
      <c r="H71" s="4" t="s">
        <v>123</v>
      </c>
      <c r="I71" s="4"/>
      <c r="J71" s="4"/>
      <c r="K71" s="4">
        <v>210</v>
      </c>
      <c r="L71" s="4">
        <v>25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21174.959999999999</v>
      </c>
      <c r="X71" s="4">
        <v>1</v>
      </c>
      <c r="Y71" s="4">
        <v>21174.959999999999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211</v>
      </c>
      <c r="F72" s="4">
        <f>ROUND(Source!Y45,O72)</f>
        <v>3025</v>
      </c>
      <c r="G72" s="4" t="s">
        <v>124</v>
      </c>
      <c r="H72" s="4" t="s">
        <v>125</v>
      </c>
      <c r="I72" s="4"/>
      <c r="J72" s="4"/>
      <c r="K72" s="4">
        <v>211</v>
      </c>
      <c r="L72" s="4">
        <v>26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3025</v>
      </c>
      <c r="X72" s="4">
        <v>1</v>
      </c>
      <c r="Y72" s="4">
        <v>3025</v>
      </c>
      <c r="Z72" s="4"/>
      <c r="AA72" s="4"/>
      <c r="AB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224</v>
      </c>
      <c r="F73" s="4">
        <f>ROUND(Source!AR45,O73)</f>
        <v>160722.29999999999</v>
      </c>
      <c r="G73" s="4" t="s">
        <v>126</v>
      </c>
      <c r="H73" s="4" t="s">
        <v>127</v>
      </c>
      <c r="I73" s="4"/>
      <c r="J73" s="4"/>
      <c r="K73" s="4">
        <v>224</v>
      </c>
      <c r="L73" s="4">
        <v>27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160722.29999999999</v>
      </c>
      <c r="X73" s="4">
        <v>1</v>
      </c>
      <c r="Y73" s="4">
        <v>160722.29999999999</v>
      </c>
      <c r="Z73" s="4"/>
      <c r="AA73" s="4"/>
      <c r="AB73" s="4"/>
    </row>
    <row r="75" spans="1:245" x14ac:dyDescent="0.2">
      <c r="A75" s="1">
        <v>5</v>
      </c>
      <c r="B75" s="1">
        <v>1</v>
      </c>
      <c r="C75" s="1"/>
      <c r="D75" s="1">
        <f>ROW(A85)</f>
        <v>85</v>
      </c>
      <c r="E75" s="1"/>
      <c r="F75" s="1" t="s">
        <v>15</v>
      </c>
      <c r="G75" s="1" t="s">
        <v>128</v>
      </c>
      <c r="H75" s="1" t="s">
        <v>3</v>
      </c>
      <c r="I75" s="1">
        <v>0</v>
      </c>
      <c r="J75" s="1"/>
      <c r="K75" s="1">
        <v>0</v>
      </c>
      <c r="L75" s="1"/>
      <c r="M75" s="1" t="s">
        <v>3</v>
      </c>
      <c r="N75" s="1"/>
      <c r="O75" s="1"/>
      <c r="P75" s="1"/>
      <c r="Q75" s="1"/>
      <c r="R75" s="1"/>
      <c r="S75" s="1">
        <v>0</v>
      </c>
      <c r="T75" s="1"/>
      <c r="U75" s="1" t="s">
        <v>3</v>
      </c>
      <c r="V75" s="1">
        <v>0</v>
      </c>
      <c r="W75" s="1"/>
      <c r="X75" s="1"/>
      <c r="Y75" s="1"/>
      <c r="Z75" s="1"/>
      <c r="AA75" s="1"/>
      <c r="AB75" s="1" t="s">
        <v>3</v>
      </c>
      <c r="AC75" s="1" t="s">
        <v>3</v>
      </c>
      <c r="AD75" s="1" t="s">
        <v>3</v>
      </c>
      <c r="AE75" s="1" t="s">
        <v>3</v>
      </c>
      <c r="AF75" s="1" t="s">
        <v>3</v>
      </c>
      <c r="AG75" s="1" t="s">
        <v>3</v>
      </c>
      <c r="AH75" s="1"/>
      <c r="AI75" s="1"/>
      <c r="AJ75" s="1"/>
      <c r="AK75" s="1"/>
      <c r="AL75" s="1"/>
      <c r="AM75" s="1"/>
      <c r="AN75" s="1"/>
      <c r="AO75" s="1"/>
      <c r="AP75" s="1" t="s">
        <v>3</v>
      </c>
      <c r="AQ75" s="1" t="s">
        <v>3</v>
      </c>
      <c r="AR75" s="1" t="s">
        <v>3</v>
      </c>
      <c r="AS75" s="1"/>
      <c r="AT75" s="1"/>
      <c r="AU75" s="1"/>
      <c r="AV75" s="1"/>
      <c r="AW75" s="1"/>
      <c r="AX75" s="1"/>
      <c r="AY75" s="1"/>
      <c r="AZ75" s="1" t="s">
        <v>3</v>
      </c>
      <c r="BA75" s="1"/>
      <c r="BB75" s="1" t="s">
        <v>3</v>
      </c>
      <c r="BC75" s="1" t="s">
        <v>3</v>
      </c>
      <c r="BD75" s="1" t="s">
        <v>3</v>
      </c>
      <c r="BE75" s="1" t="s">
        <v>3</v>
      </c>
      <c r="BF75" s="1" t="s">
        <v>3</v>
      </c>
      <c r="BG75" s="1" t="s">
        <v>3</v>
      </c>
      <c r="BH75" s="1" t="s">
        <v>3</v>
      </c>
      <c r="BI75" s="1" t="s">
        <v>3</v>
      </c>
      <c r="BJ75" s="1" t="s">
        <v>3</v>
      </c>
      <c r="BK75" s="1" t="s">
        <v>3</v>
      </c>
      <c r="BL75" s="1" t="s">
        <v>3</v>
      </c>
      <c r="BM75" s="1" t="s">
        <v>3</v>
      </c>
      <c r="BN75" s="1" t="s">
        <v>3</v>
      </c>
      <c r="BO75" s="1" t="s">
        <v>3</v>
      </c>
      <c r="BP75" s="1" t="s">
        <v>3</v>
      </c>
      <c r="BQ75" s="1"/>
      <c r="BR75" s="1"/>
      <c r="BS75" s="1"/>
      <c r="BT75" s="1"/>
      <c r="BU75" s="1"/>
      <c r="BV75" s="1"/>
      <c r="BW75" s="1"/>
      <c r="BX75" s="1">
        <v>0</v>
      </c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>
        <v>0</v>
      </c>
    </row>
    <row r="77" spans="1:245" x14ac:dyDescent="0.2">
      <c r="A77" s="2">
        <v>52</v>
      </c>
      <c r="B77" s="2">
        <f t="shared" ref="B77:G77" si="70">B85</f>
        <v>1</v>
      </c>
      <c r="C77" s="2">
        <f t="shared" si="70"/>
        <v>5</v>
      </c>
      <c r="D77" s="2">
        <f t="shared" si="70"/>
        <v>75</v>
      </c>
      <c r="E77" s="2">
        <f t="shared" si="70"/>
        <v>0</v>
      </c>
      <c r="F77" s="2" t="str">
        <f t="shared" si="70"/>
        <v>Новый подраздел</v>
      </c>
      <c r="G77" s="2" t="str">
        <f t="shared" si="70"/>
        <v>Стены</v>
      </c>
      <c r="H77" s="2"/>
      <c r="I77" s="2"/>
      <c r="J77" s="2"/>
      <c r="K77" s="2"/>
      <c r="L77" s="2"/>
      <c r="M77" s="2"/>
      <c r="N77" s="2"/>
      <c r="O77" s="2">
        <f t="shared" ref="O77:AT77" si="71">O85</f>
        <v>28095.43</v>
      </c>
      <c r="P77" s="2">
        <f t="shared" si="71"/>
        <v>7911.32</v>
      </c>
      <c r="Q77" s="2">
        <f t="shared" si="71"/>
        <v>1.8</v>
      </c>
      <c r="R77" s="2">
        <f t="shared" si="71"/>
        <v>0</v>
      </c>
      <c r="S77" s="2">
        <f t="shared" si="71"/>
        <v>20182.310000000001</v>
      </c>
      <c r="T77" s="2">
        <f t="shared" si="71"/>
        <v>0</v>
      </c>
      <c r="U77" s="2">
        <f t="shared" si="71"/>
        <v>45.157880000000006</v>
      </c>
      <c r="V77" s="2">
        <f t="shared" si="71"/>
        <v>0</v>
      </c>
      <c r="W77" s="2">
        <f t="shared" si="71"/>
        <v>0</v>
      </c>
      <c r="X77" s="2">
        <f t="shared" si="71"/>
        <v>14127.62</v>
      </c>
      <c r="Y77" s="2">
        <f t="shared" si="71"/>
        <v>2018.23</v>
      </c>
      <c r="Z77" s="2">
        <f t="shared" si="71"/>
        <v>0</v>
      </c>
      <c r="AA77" s="2">
        <f t="shared" si="71"/>
        <v>0</v>
      </c>
      <c r="AB77" s="2">
        <f t="shared" si="71"/>
        <v>28095.43</v>
      </c>
      <c r="AC77" s="2">
        <f t="shared" si="71"/>
        <v>7911.32</v>
      </c>
      <c r="AD77" s="2">
        <f t="shared" si="71"/>
        <v>1.8</v>
      </c>
      <c r="AE77" s="2">
        <f t="shared" si="71"/>
        <v>0</v>
      </c>
      <c r="AF77" s="2">
        <f t="shared" si="71"/>
        <v>20182.310000000001</v>
      </c>
      <c r="AG77" s="2">
        <f t="shared" si="71"/>
        <v>0</v>
      </c>
      <c r="AH77" s="2">
        <f t="shared" si="71"/>
        <v>45.157880000000006</v>
      </c>
      <c r="AI77" s="2">
        <f t="shared" si="71"/>
        <v>0</v>
      </c>
      <c r="AJ77" s="2">
        <f t="shared" si="71"/>
        <v>0</v>
      </c>
      <c r="AK77" s="2">
        <f t="shared" si="71"/>
        <v>14127.62</v>
      </c>
      <c r="AL77" s="2">
        <f t="shared" si="71"/>
        <v>2018.23</v>
      </c>
      <c r="AM77" s="2">
        <f t="shared" si="71"/>
        <v>0</v>
      </c>
      <c r="AN77" s="2">
        <f t="shared" si="71"/>
        <v>0</v>
      </c>
      <c r="AO77" s="2">
        <f t="shared" si="71"/>
        <v>0</v>
      </c>
      <c r="AP77" s="2">
        <f t="shared" si="71"/>
        <v>0</v>
      </c>
      <c r="AQ77" s="2">
        <f t="shared" si="71"/>
        <v>0</v>
      </c>
      <c r="AR77" s="2">
        <f t="shared" si="71"/>
        <v>44241.279999999999</v>
      </c>
      <c r="AS77" s="2">
        <f t="shared" si="71"/>
        <v>0</v>
      </c>
      <c r="AT77" s="2">
        <f t="shared" si="71"/>
        <v>0</v>
      </c>
      <c r="AU77" s="2">
        <f t="shared" ref="AU77:BZ77" si="72">AU85</f>
        <v>44241.279999999999</v>
      </c>
      <c r="AV77" s="2">
        <f t="shared" si="72"/>
        <v>7911.32</v>
      </c>
      <c r="AW77" s="2">
        <f t="shared" si="72"/>
        <v>7911.32</v>
      </c>
      <c r="AX77" s="2">
        <f t="shared" si="72"/>
        <v>0</v>
      </c>
      <c r="AY77" s="2">
        <f t="shared" si="72"/>
        <v>7911.32</v>
      </c>
      <c r="AZ77" s="2">
        <f t="shared" si="72"/>
        <v>0</v>
      </c>
      <c r="BA77" s="2">
        <f t="shared" si="72"/>
        <v>0</v>
      </c>
      <c r="BB77" s="2">
        <f t="shared" si="72"/>
        <v>0</v>
      </c>
      <c r="BC77" s="2">
        <f t="shared" si="72"/>
        <v>0</v>
      </c>
      <c r="BD77" s="2">
        <f t="shared" si="72"/>
        <v>0</v>
      </c>
      <c r="BE77" s="2">
        <f t="shared" si="72"/>
        <v>0</v>
      </c>
      <c r="BF77" s="2">
        <f t="shared" si="72"/>
        <v>0</v>
      </c>
      <c r="BG77" s="2">
        <f t="shared" si="72"/>
        <v>0</v>
      </c>
      <c r="BH77" s="2">
        <f t="shared" si="72"/>
        <v>0</v>
      </c>
      <c r="BI77" s="2">
        <f t="shared" si="72"/>
        <v>0</v>
      </c>
      <c r="BJ77" s="2">
        <f t="shared" si="72"/>
        <v>0</v>
      </c>
      <c r="BK77" s="2">
        <f t="shared" si="72"/>
        <v>0</v>
      </c>
      <c r="BL77" s="2">
        <f t="shared" si="72"/>
        <v>0</v>
      </c>
      <c r="BM77" s="2">
        <f t="shared" si="72"/>
        <v>0</v>
      </c>
      <c r="BN77" s="2">
        <f t="shared" si="72"/>
        <v>0</v>
      </c>
      <c r="BO77" s="2">
        <f t="shared" si="72"/>
        <v>0</v>
      </c>
      <c r="BP77" s="2">
        <f t="shared" si="72"/>
        <v>0</v>
      </c>
      <c r="BQ77" s="2">
        <f t="shared" si="72"/>
        <v>0</v>
      </c>
      <c r="BR77" s="2">
        <f t="shared" si="72"/>
        <v>0</v>
      </c>
      <c r="BS77" s="2">
        <f t="shared" si="72"/>
        <v>0</v>
      </c>
      <c r="BT77" s="2">
        <f t="shared" si="72"/>
        <v>0</v>
      </c>
      <c r="BU77" s="2">
        <f t="shared" si="72"/>
        <v>0</v>
      </c>
      <c r="BV77" s="2">
        <f t="shared" si="72"/>
        <v>0</v>
      </c>
      <c r="BW77" s="2">
        <f t="shared" si="72"/>
        <v>0</v>
      </c>
      <c r="BX77" s="2">
        <f t="shared" si="72"/>
        <v>0</v>
      </c>
      <c r="BY77" s="2">
        <f t="shared" si="72"/>
        <v>0</v>
      </c>
      <c r="BZ77" s="2">
        <f t="shared" si="72"/>
        <v>0</v>
      </c>
      <c r="CA77" s="2">
        <f t="shared" ref="CA77:DF77" si="73">CA85</f>
        <v>44241.279999999999</v>
      </c>
      <c r="CB77" s="2">
        <f t="shared" si="73"/>
        <v>0</v>
      </c>
      <c r="CC77" s="2">
        <f t="shared" si="73"/>
        <v>0</v>
      </c>
      <c r="CD77" s="2">
        <f t="shared" si="73"/>
        <v>44241.279999999999</v>
      </c>
      <c r="CE77" s="2">
        <f t="shared" si="73"/>
        <v>7911.32</v>
      </c>
      <c r="CF77" s="2">
        <f t="shared" si="73"/>
        <v>7911.32</v>
      </c>
      <c r="CG77" s="2">
        <f t="shared" si="73"/>
        <v>0</v>
      </c>
      <c r="CH77" s="2">
        <f t="shared" si="73"/>
        <v>7911.32</v>
      </c>
      <c r="CI77" s="2">
        <f t="shared" si="73"/>
        <v>0</v>
      </c>
      <c r="CJ77" s="2">
        <f t="shared" si="73"/>
        <v>0</v>
      </c>
      <c r="CK77" s="2">
        <f t="shared" si="73"/>
        <v>0</v>
      </c>
      <c r="CL77" s="2">
        <f t="shared" si="73"/>
        <v>0</v>
      </c>
      <c r="CM77" s="2">
        <f t="shared" si="73"/>
        <v>0</v>
      </c>
      <c r="CN77" s="2">
        <f t="shared" si="73"/>
        <v>0</v>
      </c>
      <c r="CO77" s="2">
        <f t="shared" si="73"/>
        <v>0</v>
      </c>
      <c r="CP77" s="2">
        <f t="shared" si="73"/>
        <v>0</v>
      </c>
      <c r="CQ77" s="2">
        <f t="shared" si="73"/>
        <v>0</v>
      </c>
      <c r="CR77" s="2">
        <f t="shared" si="73"/>
        <v>0</v>
      </c>
      <c r="CS77" s="2">
        <f t="shared" si="73"/>
        <v>0</v>
      </c>
      <c r="CT77" s="2">
        <f t="shared" si="73"/>
        <v>0</v>
      </c>
      <c r="CU77" s="2">
        <f t="shared" si="73"/>
        <v>0</v>
      </c>
      <c r="CV77" s="2">
        <f t="shared" si="73"/>
        <v>0</v>
      </c>
      <c r="CW77" s="2">
        <f t="shared" si="73"/>
        <v>0</v>
      </c>
      <c r="CX77" s="2">
        <f t="shared" si="73"/>
        <v>0</v>
      </c>
      <c r="CY77" s="2">
        <f t="shared" si="73"/>
        <v>0</v>
      </c>
      <c r="CZ77" s="2">
        <f t="shared" si="73"/>
        <v>0</v>
      </c>
      <c r="DA77" s="2">
        <f t="shared" si="73"/>
        <v>0</v>
      </c>
      <c r="DB77" s="2">
        <f t="shared" si="73"/>
        <v>0</v>
      </c>
      <c r="DC77" s="2">
        <f t="shared" si="73"/>
        <v>0</v>
      </c>
      <c r="DD77" s="2">
        <f t="shared" si="73"/>
        <v>0</v>
      </c>
      <c r="DE77" s="2">
        <f t="shared" si="73"/>
        <v>0</v>
      </c>
      <c r="DF77" s="2">
        <f t="shared" si="73"/>
        <v>0</v>
      </c>
      <c r="DG77" s="3">
        <f t="shared" ref="DG77:EL77" si="74">DG85</f>
        <v>0</v>
      </c>
      <c r="DH77" s="3">
        <f t="shared" si="74"/>
        <v>0</v>
      </c>
      <c r="DI77" s="3">
        <f t="shared" si="74"/>
        <v>0</v>
      </c>
      <c r="DJ77" s="3">
        <f t="shared" si="74"/>
        <v>0</v>
      </c>
      <c r="DK77" s="3">
        <f t="shared" si="74"/>
        <v>0</v>
      </c>
      <c r="DL77" s="3">
        <f t="shared" si="74"/>
        <v>0</v>
      </c>
      <c r="DM77" s="3">
        <f t="shared" si="74"/>
        <v>0</v>
      </c>
      <c r="DN77" s="3">
        <f t="shared" si="74"/>
        <v>0</v>
      </c>
      <c r="DO77" s="3">
        <f t="shared" si="74"/>
        <v>0</v>
      </c>
      <c r="DP77" s="3">
        <f t="shared" si="74"/>
        <v>0</v>
      </c>
      <c r="DQ77" s="3">
        <f t="shared" si="74"/>
        <v>0</v>
      </c>
      <c r="DR77" s="3">
        <f t="shared" si="74"/>
        <v>0</v>
      </c>
      <c r="DS77" s="3">
        <f t="shared" si="74"/>
        <v>0</v>
      </c>
      <c r="DT77" s="3">
        <f t="shared" si="74"/>
        <v>0</v>
      </c>
      <c r="DU77" s="3">
        <f t="shared" si="74"/>
        <v>0</v>
      </c>
      <c r="DV77" s="3">
        <f t="shared" si="74"/>
        <v>0</v>
      </c>
      <c r="DW77" s="3">
        <f t="shared" si="74"/>
        <v>0</v>
      </c>
      <c r="DX77" s="3">
        <f t="shared" si="74"/>
        <v>0</v>
      </c>
      <c r="DY77" s="3">
        <f t="shared" si="74"/>
        <v>0</v>
      </c>
      <c r="DZ77" s="3">
        <f t="shared" si="74"/>
        <v>0</v>
      </c>
      <c r="EA77" s="3">
        <f t="shared" si="74"/>
        <v>0</v>
      </c>
      <c r="EB77" s="3">
        <f t="shared" si="74"/>
        <v>0</v>
      </c>
      <c r="EC77" s="3">
        <f t="shared" si="74"/>
        <v>0</v>
      </c>
      <c r="ED77" s="3">
        <f t="shared" si="74"/>
        <v>0</v>
      </c>
      <c r="EE77" s="3">
        <f t="shared" si="74"/>
        <v>0</v>
      </c>
      <c r="EF77" s="3">
        <f t="shared" si="74"/>
        <v>0</v>
      </c>
      <c r="EG77" s="3">
        <f t="shared" si="74"/>
        <v>0</v>
      </c>
      <c r="EH77" s="3">
        <f t="shared" si="74"/>
        <v>0</v>
      </c>
      <c r="EI77" s="3">
        <f t="shared" si="74"/>
        <v>0</v>
      </c>
      <c r="EJ77" s="3">
        <f t="shared" si="74"/>
        <v>0</v>
      </c>
      <c r="EK77" s="3">
        <f t="shared" si="74"/>
        <v>0</v>
      </c>
      <c r="EL77" s="3">
        <f t="shared" si="74"/>
        <v>0</v>
      </c>
      <c r="EM77" s="3">
        <f t="shared" ref="EM77:FR77" si="75">EM85</f>
        <v>0</v>
      </c>
      <c r="EN77" s="3">
        <f t="shared" si="75"/>
        <v>0</v>
      </c>
      <c r="EO77" s="3">
        <f t="shared" si="75"/>
        <v>0</v>
      </c>
      <c r="EP77" s="3">
        <f t="shared" si="75"/>
        <v>0</v>
      </c>
      <c r="EQ77" s="3">
        <f t="shared" si="75"/>
        <v>0</v>
      </c>
      <c r="ER77" s="3">
        <f t="shared" si="75"/>
        <v>0</v>
      </c>
      <c r="ES77" s="3">
        <f t="shared" si="75"/>
        <v>0</v>
      </c>
      <c r="ET77" s="3">
        <f t="shared" si="75"/>
        <v>0</v>
      </c>
      <c r="EU77" s="3">
        <f t="shared" si="75"/>
        <v>0</v>
      </c>
      <c r="EV77" s="3">
        <f t="shared" si="75"/>
        <v>0</v>
      </c>
      <c r="EW77" s="3">
        <f t="shared" si="75"/>
        <v>0</v>
      </c>
      <c r="EX77" s="3">
        <f t="shared" si="75"/>
        <v>0</v>
      </c>
      <c r="EY77" s="3">
        <f t="shared" si="75"/>
        <v>0</v>
      </c>
      <c r="EZ77" s="3">
        <f t="shared" si="75"/>
        <v>0</v>
      </c>
      <c r="FA77" s="3">
        <f t="shared" si="75"/>
        <v>0</v>
      </c>
      <c r="FB77" s="3">
        <f t="shared" si="75"/>
        <v>0</v>
      </c>
      <c r="FC77" s="3">
        <f t="shared" si="75"/>
        <v>0</v>
      </c>
      <c r="FD77" s="3">
        <f t="shared" si="75"/>
        <v>0</v>
      </c>
      <c r="FE77" s="3">
        <f t="shared" si="75"/>
        <v>0</v>
      </c>
      <c r="FF77" s="3">
        <f t="shared" si="75"/>
        <v>0</v>
      </c>
      <c r="FG77" s="3">
        <f t="shared" si="75"/>
        <v>0</v>
      </c>
      <c r="FH77" s="3">
        <f t="shared" si="75"/>
        <v>0</v>
      </c>
      <c r="FI77" s="3">
        <f t="shared" si="75"/>
        <v>0</v>
      </c>
      <c r="FJ77" s="3">
        <f t="shared" si="75"/>
        <v>0</v>
      </c>
      <c r="FK77" s="3">
        <f t="shared" si="75"/>
        <v>0</v>
      </c>
      <c r="FL77" s="3">
        <f t="shared" si="75"/>
        <v>0</v>
      </c>
      <c r="FM77" s="3">
        <f t="shared" si="75"/>
        <v>0</v>
      </c>
      <c r="FN77" s="3">
        <f t="shared" si="75"/>
        <v>0</v>
      </c>
      <c r="FO77" s="3">
        <f t="shared" si="75"/>
        <v>0</v>
      </c>
      <c r="FP77" s="3">
        <f t="shared" si="75"/>
        <v>0</v>
      </c>
      <c r="FQ77" s="3">
        <f t="shared" si="75"/>
        <v>0</v>
      </c>
      <c r="FR77" s="3">
        <f t="shared" si="75"/>
        <v>0</v>
      </c>
      <c r="FS77" s="3">
        <f t="shared" ref="FS77:GX77" si="76">FS85</f>
        <v>0</v>
      </c>
      <c r="FT77" s="3">
        <f t="shared" si="76"/>
        <v>0</v>
      </c>
      <c r="FU77" s="3">
        <f t="shared" si="76"/>
        <v>0</v>
      </c>
      <c r="FV77" s="3">
        <f t="shared" si="76"/>
        <v>0</v>
      </c>
      <c r="FW77" s="3">
        <f t="shared" si="76"/>
        <v>0</v>
      </c>
      <c r="FX77" s="3">
        <f t="shared" si="76"/>
        <v>0</v>
      </c>
      <c r="FY77" s="3">
        <f t="shared" si="76"/>
        <v>0</v>
      </c>
      <c r="FZ77" s="3">
        <f t="shared" si="76"/>
        <v>0</v>
      </c>
      <c r="GA77" s="3">
        <f t="shared" si="76"/>
        <v>0</v>
      </c>
      <c r="GB77" s="3">
        <f t="shared" si="76"/>
        <v>0</v>
      </c>
      <c r="GC77" s="3">
        <f t="shared" si="76"/>
        <v>0</v>
      </c>
      <c r="GD77" s="3">
        <f t="shared" si="76"/>
        <v>0</v>
      </c>
      <c r="GE77" s="3">
        <f t="shared" si="76"/>
        <v>0</v>
      </c>
      <c r="GF77" s="3">
        <f t="shared" si="76"/>
        <v>0</v>
      </c>
      <c r="GG77" s="3">
        <f t="shared" si="76"/>
        <v>0</v>
      </c>
      <c r="GH77" s="3">
        <f t="shared" si="76"/>
        <v>0</v>
      </c>
      <c r="GI77" s="3">
        <f t="shared" si="76"/>
        <v>0</v>
      </c>
      <c r="GJ77" s="3">
        <f t="shared" si="76"/>
        <v>0</v>
      </c>
      <c r="GK77" s="3">
        <f t="shared" si="76"/>
        <v>0</v>
      </c>
      <c r="GL77" s="3">
        <f t="shared" si="76"/>
        <v>0</v>
      </c>
      <c r="GM77" s="3">
        <f t="shared" si="76"/>
        <v>0</v>
      </c>
      <c r="GN77" s="3">
        <f t="shared" si="76"/>
        <v>0</v>
      </c>
      <c r="GO77" s="3">
        <f t="shared" si="76"/>
        <v>0</v>
      </c>
      <c r="GP77" s="3">
        <f t="shared" si="76"/>
        <v>0</v>
      </c>
      <c r="GQ77" s="3">
        <f t="shared" si="76"/>
        <v>0</v>
      </c>
      <c r="GR77" s="3">
        <f t="shared" si="76"/>
        <v>0</v>
      </c>
      <c r="GS77" s="3">
        <f t="shared" si="76"/>
        <v>0</v>
      </c>
      <c r="GT77" s="3">
        <f t="shared" si="76"/>
        <v>0</v>
      </c>
      <c r="GU77" s="3">
        <f t="shared" si="76"/>
        <v>0</v>
      </c>
      <c r="GV77" s="3">
        <f t="shared" si="76"/>
        <v>0</v>
      </c>
      <c r="GW77" s="3">
        <f t="shared" si="76"/>
        <v>0</v>
      </c>
      <c r="GX77" s="3">
        <f t="shared" si="76"/>
        <v>0</v>
      </c>
    </row>
    <row r="79" spans="1:245" x14ac:dyDescent="0.2">
      <c r="A79">
        <v>17</v>
      </c>
      <c r="B79">
        <v>1</v>
      </c>
      <c r="C79">
        <f>ROW(SmtRes!A37)</f>
        <v>37</v>
      </c>
      <c r="D79">
        <f>ROW(EtalonRes!A35)</f>
        <v>35</v>
      </c>
      <c r="E79" t="s">
        <v>129</v>
      </c>
      <c r="F79" t="s">
        <v>130</v>
      </c>
      <c r="G79" t="s">
        <v>131</v>
      </c>
      <c r="H79" t="s">
        <v>132</v>
      </c>
      <c r="I79">
        <v>12</v>
      </c>
      <c r="J79">
        <v>0</v>
      </c>
      <c r="K79">
        <v>12</v>
      </c>
      <c r="O79">
        <f>ROUND(CP79,2)</f>
        <v>2395.1999999999998</v>
      </c>
      <c r="P79">
        <f>ROUND(CQ79*I79,2)</f>
        <v>0</v>
      </c>
      <c r="Q79">
        <f>ROUND(CR79*I79,2)</f>
        <v>1.8</v>
      </c>
      <c r="R79">
        <f>ROUND(CS79*I79,2)</f>
        <v>0</v>
      </c>
      <c r="S79">
        <f>ROUND(CT79*I79,2)</f>
        <v>2393.4</v>
      </c>
      <c r="T79">
        <f>ROUND(CU79*I79,2)</f>
        <v>0</v>
      </c>
      <c r="U79">
        <f>CV79*I79</f>
        <v>6.12</v>
      </c>
      <c r="V79">
        <f>CW79*I79</f>
        <v>0</v>
      </c>
      <c r="W79">
        <f>ROUND(CX79*I79,2)</f>
        <v>0</v>
      </c>
      <c r="X79">
        <f t="shared" ref="X79:Y83" si="77">ROUND(CY79,2)</f>
        <v>1675.38</v>
      </c>
      <c r="Y79">
        <f t="shared" si="77"/>
        <v>239.34</v>
      </c>
      <c r="AA79">
        <v>75700856</v>
      </c>
      <c r="AB79">
        <f>ROUND((AC79+AD79+AF79),6)</f>
        <v>199.6</v>
      </c>
      <c r="AC79">
        <f>ROUND((ES79),6)</f>
        <v>0</v>
      </c>
      <c r="AD79">
        <f>ROUND((((ET79)-(EU79))+AE79),6)</f>
        <v>0.15</v>
      </c>
      <c r="AE79">
        <f t="shared" ref="AE79:AF83" si="78">ROUND((EU79),6)</f>
        <v>0</v>
      </c>
      <c r="AF79">
        <f t="shared" si="78"/>
        <v>199.45</v>
      </c>
      <c r="AG79">
        <f>ROUND((AP79),6)</f>
        <v>0</v>
      </c>
      <c r="AH79">
        <f t="shared" ref="AH79:AI83" si="79">(EW79)</f>
        <v>0.51</v>
      </c>
      <c r="AI79">
        <f t="shared" si="79"/>
        <v>0</v>
      </c>
      <c r="AJ79">
        <f>(AS79)</f>
        <v>0</v>
      </c>
      <c r="AK79">
        <v>199.6</v>
      </c>
      <c r="AL79">
        <v>0</v>
      </c>
      <c r="AM79">
        <v>0.15</v>
      </c>
      <c r="AN79">
        <v>0</v>
      </c>
      <c r="AO79">
        <v>199.45</v>
      </c>
      <c r="AP79">
        <v>0</v>
      </c>
      <c r="AQ79">
        <v>0.51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133</v>
      </c>
      <c r="BM79">
        <v>0</v>
      </c>
      <c r="BN79">
        <v>75371441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>(P79+Q79+S79)</f>
        <v>2395.2000000000003</v>
      </c>
      <c r="CQ79">
        <f>(AC79*BC79*AW79)</f>
        <v>0</v>
      </c>
      <c r="CR79">
        <f>((((ET79)*BB79-(EU79)*BS79)+AE79*BS79)*AV79)</f>
        <v>0.15</v>
      </c>
      <c r="CS79">
        <f>(AE79*BS79*AV79)</f>
        <v>0</v>
      </c>
      <c r="CT79">
        <f>(AF79*BA79*AV79)</f>
        <v>199.45</v>
      </c>
      <c r="CU79">
        <f>AG79</f>
        <v>0</v>
      </c>
      <c r="CV79">
        <f>(AH79*AV79)</f>
        <v>0.51</v>
      </c>
      <c r="CW79">
        <f t="shared" ref="CW79:CX83" si="80">AI79</f>
        <v>0</v>
      </c>
      <c r="CX79">
        <f t="shared" si="80"/>
        <v>0</v>
      </c>
      <c r="CY79">
        <f>((S79*BZ79)/100)</f>
        <v>1675.38</v>
      </c>
      <c r="CZ79">
        <f>((S79*CA79)/100)</f>
        <v>239.34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132</v>
      </c>
      <c r="DW79" t="s">
        <v>132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75371444</v>
      </c>
      <c r="EF79">
        <v>1</v>
      </c>
      <c r="EG79" t="s">
        <v>22</v>
      </c>
      <c r="EH79">
        <v>0</v>
      </c>
      <c r="EI79" t="s">
        <v>3</v>
      </c>
      <c r="EJ79">
        <v>4</v>
      </c>
      <c r="EK79">
        <v>0</v>
      </c>
      <c r="EL79" t="s">
        <v>23</v>
      </c>
      <c r="EM79" t="s">
        <v>24</v>
      </c>
      <c r="EO79" t="s">
        <v>3</v>
      </c>
      <c r="EQ79">
        <v>0</v>
      </c>
      <c r="ER79">
        <v>199.6</v>
      </c>
      <c r="ES79">
        <v>0</v>
      </c>
      <c r="ET79">
        <v>0.15</v>
      </c>
      <c r="EU79">
        <v>0</v>
      </c>
      <c r="EV79">
        <v>199.45</v>
      </c>
      <c r="EW79">
        <v>0.51</v>
      </c>
      <c r="EX79">
        <v>0</v>
      </c>
      <c r="EY79">
        <v>0</v>
      </c>
      <c r="FQ79">
        <v>0</v>
      </c>
      <c r="FR79">
        <f>ROUND(IF(BI79=3,GM79,0),2)</f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2047712068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>ROUND(IF(AND(BH79=3,BI79=3,FS79&lt;&gt;0),P79,0),2)</f>
        <v>0</v>
      </c>
      <c r="GM79">
        <f>ROUND(O79+X79+Y79+GK79,2)+GX79</f>
        <v>4309.92</v>
      </c>
      <c r="GN79">
        <f>IF(OR(BI79=0,BI79=1),GM79-GX79,0)</f>
        <v>0</v>
      </c>
      <c r="GO79">
        <f>IF(BI79=2,GM79-GX79,0)</f>
        <v>0</v>
      </c>
      <c r="GP79">
        <f>IF(BI79=4,GM79-GX79,0)</f>
        <v>4309.92</v>
      </c>
      <c r="GR79">
        <v>0</v>
      </c>
      <c r="GS79">
        <v>3</v>
      </c>
      <c r="GT79">
        <v>0</v>
      </c>
      <c r="GU79" t="s">
        <v>3</v>
      </c>
      <c r="GV79">
        <f>ROUND((GT79),6)</f>
        <v>0</v>
      </c>
      <c r="GW79">
        <v>1</v>
      </c>
      <c r="GX79">
        <f>ROUND(HC79*I79,2)</f>
        <v>0</v>
      </c>
      <c r="HA79">
        <v>0</v>
      </c>
      <c r="HB79">
        <v>0</v>
      </c>
      <c r="HC79">
        <f>GV79*GW79</f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C80">
        <f>ROW(SmtRes!A39)</f>
        <v>39</v>
      </c>
      <c r="D80">
        <f>ROW(EtalonRes!A37)</f>
        <v>37</v>
      </c>
      <c r="E80" t="s">
        <v>134</v>
      </c>
      <c r="F80" t="s">
        <v>135</v>
      </c>
      <c r="G80" t="s">
        <v>136</v>
      </c>
      <c r="H80" t="s">
        <v>32</v>
      </c>
      <c r="I80">
        <f>ROUND(74.9/100,9)</f>
        <v>0.749</v>
      </c>
      <c r="J80">
        <v>0</v>
      </c>
      <c r="K80">
        <f>ROUND(74.9/100,9)</f>
        <v>0.749</v>
      </c>
      <c r="O80">
        <f>ROUND(CP80,2)</f>
        <v>2969.77</v>
      </c>
      <c r="P80">
        <f>ROUND(CQ80*I80,2)</f>
        <v>0</v>
      </c>
      <c r="Q80">
        <f>ROUND(CR80*I80,2)</f>
        <v>0</v>
      </c>
      <c r="R80">
        <f>ROUND(CS80*I80,2)</f>
        <v>0</v>
      </c>
      <c r="S80">
        <f>ROUND(CT80*I80,2)</f>
        <v>2969.77</v>
      </c>
      <c r="T80">
        <f>ROUND(CU80*I80,2)</f>
        <v>0</v>
      </c>
      <c r="U80">
        <f>CV80*I80</f>
        <v>7.4525499999999996</v>
      </c>
      <c r="V80">
        <f>CW80*I80</f>
        <v>0</v>
      </c>
      <c r="W80">
        <f>ROUND(CX80*I80,2)</f>
        <v>0</v>
      </c>
      <c r="X80">
        <f t="shared" si="77"/>
        <v>2078.84</v>
      </c>
      <c r="Y80">
        <f t="shared" si="77"/>
        <v>296.98</v>
      </c>
      <c r="AA80">
        <v>75700856</v>
      </c>
      <c r="AB80">
        <f>ROUND((AC80+AD80+AF80),6)</f>
        <v>3964.98</v>
      </c>
      <c r="AC80">
        <f>ROUND((ES80),6)</f>
        <v>0</v>
      </c>
      <c r="AD80">
        <f>ROUND((((ET80)-(EU80))+AE80),6)</f>
        <v>0</v>
      </c>
      <c r="AE80">
        <f t="shared" si="78"/>
        <v>0</v>
      </c>
      <c r="AF80">
        <f t="shared" si="78"/>
        <v>3964.98</v>
      </c>
      <c r="AG80">
        <f>ROUND((AP80),6)</f>
        <v>0</v>
      </c>
      <c r="AH80">
        <f t="shared" si="79"/>
        <v>9.9499999999999993</v>
      </c>
      <c r="AI80">
        <f t="shared" si="79"/>
        <v>0</v>
      </c>
      <c r="AJ80">
        <f>(AS80)</f>
        <v>0</v>
      </c>
      <c r="AK80">
        <v>3964.98</v>
      </c>
      <c r="AL80">
        <v>0</v>
      </c>
      <c r="AM80">
        <v>0</v>
      </c>
      <c r="AN80">
        <v>0</v>
      </c>
      <c r="AO80">
        <v>3964.98</v>
      </c>
      <c r="AP80">
        <v>0</v>
      </c>
      <c r="AQ80">
        <v>9.9499999999999993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137</v>
      </c>
      <c r="BM80">
        <v>0</v>
      </c>
      <c r="BN80">
        <v>75371441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>(P80+Q80+S80)</f>
        <v>2969.77</v>
      </c>
      <c r="CQ80">
        <f>(AC80*BC80*AW80)</f>
        <v>0</v>
      </c>
      <c r="CR80">
        <f>((((ET80)*BB80-(EU80)*BS80)+AE80*BS80)*AV80)</f>
        <v>0</v>
      </c>
      <c r="CS80">
        <f>(AE80*BS80*AV80)</f>
        <v>0</v>
      </c>
      <c r="CT80">
        <f>(AF80*BA80*AV80)</f>
        <v>3964.98</v>
      </c>
      <c r="CU80">
        <f>AG80</f>
        <v>0</v>
      </c>
      <c r="CV80">
        <f>(AH80*AV80)</f>
        <v>9.9499999999999993</v>
      </c>
      <c r="CW80">
        <f t="shared" si="80"/>
        <v>0</v>
      </c>
      <c r="CX80">
        <f t="shared" si="80"/>
        <v>0</v>
      </c>
      <c r="CY80">
        <f>((S80*BZ80)/100)</f>
        <v>2078.8389999999999</v>
      </c>
      <c r="CZ80">
        <f>((S80*CA80)/100)</f>
        <v>296.97700000000003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1005</v>
      </c>
      <c r="DV80" t="s">
        <v>32</v>
      </c>
      <c r="DW80" t="s">
        <v>32</v>
      </c>
      <c r="DX80">
        <v>100</v>
      </c>
      <c r="DZ80" t="s">
        <v>3</v>
      </c>
      <c r="EA80" t="s">
        <v>3</v>
      </c>
      <c r="EB80" t="s">
        <v>3</v>
      </c>
      <c r="EC80" t="s">
        <v>3</v>
      </c>
      <c r="EE80">
        <v>75371444</v>
      </c>
      <c r="EF80">
        <v>1</v>
      </c>
      <c r="EG80" t="s">
        <v>22</v>
      </c>
      <c r="EH80">
        <v>0</v>
      </c>
      <c r="EI80" t="s">
        <v>3</v>
      </c>
      <c r="EJ80">
        <v>4</v>
      </c>
      <c r="EK80">
        <v>0</v>
      </c>
      <c r="EL80" t="s">
        <v>23</v>
      </c>
      <c r="EM80" t="s">
        <v>24</v>
      </c>
      <c r="EO80" t="s">
        <v>3</v>
      </c>
      <c r="EQ80">
        <v>0</v>
      </c>
      <c r="ER80">
        <v>3964.98</v>
      </c>
      <c r="ES80">
        <v>0</v>
      </c>
      <c r="ET80">
        <v>0</v>
      </c>
      <c r="EU80">
        <v>0</v>
      </c>
      <c r="EV80">
        <v>3964.98</v>
      </c>
      <c r="EW80">
        <v>9.9499999999999993</v>
      </c>
      <c r="EX80">
        <v>0</v>
      </c>
      <c r="EY80">
        <v>0</v>
      </c>
      <c r="FQ80">
        <v>0</v>
      </c>
      <c r="FR80">
        <f>ROUND(IF(BI80=3,GM80,0),2)</f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62629316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>ROUND(IF(AND(BH80=3,BI80=3,FS80&lt;&gt;0),P80,0),2)</f>
        <v>0</v>
      </c>
      <c r="GM80">
        <f>ROUND(O80+X80+Y80+GK80,2)+GX80</f>
        <v>5345.59</v>
      </c>
      <c r="GN80">
        <f>IF(OR(BI80=0,BI80=1),GM80-GX80,0)</f>
        <v>0</v>
      </c>
      <c r="GO80">
        <f>IF(BI80=2,GM80-GX80,0)</f>
        <v>0</v>
      </c>
      <c r="GP80">
        <f>IF(BI80=4,GM80-GX80,0)</f>
        <v>5345.59</v>
      </c>
      <c r="GR80">
        <v>0</v>
      </c>
      <c r="GS80">
        <v>3</v>
      </c>
      <c r="GT80">
        <v>0</v>
      </c>
      <c r="GU80" t="s">
        <v>3</v>
      </c>
      <c r="GV80">
        <f>ROUND((GT80),6)</f>
        <v>0</v>
      </c>
      <c r="GW80">
        <v>1</v>
      </c>
      <c r="GX80">
        <f>ROUND(HC80*I80,2)</f>
        <v>0</v>
      </c>
      <c r="HA80">
        <v>0</v>
      </c>
      <c r="HB80">
        <v>0</v>
      </c>
      <c r="HC80">
        <f>GV80*GW80</f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C81">
        <f>ROW(SmtRes!A42)</f>
        <v>42</v>
      </c>
      <c r="D81">
        <f>ROW(EtalonRes!A40)</f>
        <v>40</v>
      </c>
      <c r="E81" t="s">
        <v>3</v>
      </c>
      <c r="F81" t="s">
        <v>138</v>
      </c>
      <c r="G81" t="s">
        <v>139</v>
      </c>
      <c r="H81" t="s">
        <v>32</v>
      </c>
      <c r="I81">
        <v>0</v>
      </c>
      <c r="J81">
        <v>0</v>
      </c>
      <c r="K81">
        <v>0</v>
      </c>
      <c r="O81">
        <f>ROUND(CP81,2)</f>
        <v>0</v>
      </c>
      <c r="P81">
        <f>ROUND(CQ81*I81,2)</f>
        <v>0</v>
      </c>
      <c r="Q81">
        <f>ROUND(CR81*I81,2)</f>
        <v>0</v>
      </c>
      <c r="R81">
        <f>ROUND(CS81*I81,2)</f>
        <v>0</v>
      </c>
      <c r="S81">
        <f>ROUND(CT81*I81,2)</f>
        <v>0</v>
      </c>
      <c r="T81">
        <f>ROUND(CU81*I81,2)</f>
        <v>0</v>
      </c>
      <c r="U81">
        <f>CV81*I81</f>
        <v>0</v>
      </c>
      <c r="V81">
        <f>CW81*I81</f>
        <v>0</v>
      </c>
      <c r="W81">
        <f>ROUND(CX81*I81,2)</f>
        <v>0</v>
      </c>
      <c r="X81">
        <f t="shared" si="77"/>
        <v>0</v>
      </c>
      <c r="Y81">
        <f t="shared" si="77"/>
        <v>0</v>
      </c>
      <c r="AA81">
        <v>-1</v>
      </c>
      <c r="AB81">
        <f>ROUND((AC81+AD81+AF81),6)</f>
        <v>3655.07</v>
      </c>
      <c r="AC81">
        <f>ROUND((ES81),6)</f>
        <v>1325.71</v>
      </c>
      <c r="AD81">
        <f>ROUND((((ET81)-(EU81))+AE81),6)</f>
        <v>0.49</v>
      </c>
      <c r="AE81">
        <f t="shared" si="78"/>
        <v>0.01</v>
      </c>
      <c r="AF81">
        <f t="shared" si="78"/>
        <v>2328.87</v>
      </c>
      <c r="AG81">
        <f>ROUND((AP81),6)</f>
        <v>0</v>
      </c>
      <c r="AH81">
        <f t="shared" si="79"/>
        <v>5.35</v>
      </c>
      <c r="AI81">
        <f t="shared" si="79"/>
        <v>0</v>
      </c>
      <c r="AJ81">
        <f>(AS81)</f>
        <v>0</v>
      </c>
      <c r="AK81">
        <v>3655.07</v>
      </c>
      <c r="AL81">
        <v>1325.71</v>
      </c>
      <c r="AM81">
        <v>0.49</v>
      </c>
      <c r="AN81">
        <v>0.01</v>
      </c>
      <c r="AO81">
        <v>2328.87</v>
      </c>
      <c r="AP81">
        <v>0</v>
      </c>
      <c r="AQ81">
        <v>5.35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140</v>
      </c>
      <c r="BM81">
        <v>0</v>
      </c>
      <c r="BN81">
        <v>75371441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>(P81+Q81+S81)</f>
        <v>0</v>
      </c>
      <c r="CQ81">
        <f>(AC81*BC81*AW81)</f>
        <v>1325.71</v>
      </c>
      <c r="CR81">
        <f>((((ET81)*BB81-(EU81)*BS81)+AE81*BS81)*AV81)</f>
        <v>0.49</v>
      </c>
      <c r="CS81">
        <f>(AE81*BS81*AV81)</f>
        <v>0.01</v>
      </c>
      <c r="CT81">
        <f>(AF81*BA81*AV81)</f>
        <v>2328.87</v>
      </c>
      <c r="CU81">
        <f>AG81</f>
        <v>0</v>
      </c>
      <c r="CV81">
        <f>(AH81*AV81)</f>
        <v>5.35</v>
      </c>
      <c r="CW81">
        <f t="shared" si="80"/>
        <v>0</v>
      </c>
      <c r="CX81">
        <f t="shared" si="80"/>
        <v>0</v>
      </c>
      <c r="CY81">
        <f>((S81*BZ81)/100)</f>
        <v>0</v>
      </c>
      <c r="CZ81">
        <f>((S81*CA81)/100)</f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1005</v>
      </c>
      <c r="DV81" t="s">
        <v>32</v>
      </c>
      <c r="DW81" t="s">
        <v>32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75371444</v>
      </c>
      <c r="EF81">
        <v>1</v>
      </c>
      <c r="EG81" t="s">
        <v>22</v>
      </c>
      <c r="EH81">
        <v>0</v>
      </c>
      <c r="EI81" t="s">
        <v>3</v>
      </c>
      <c r="EJ81">
        <v>4</v>
      </c>
      <c r="EK81">
        <v>0</v>
      </c>
      <c r="EL81" t="s">
        <v>23</v>
      </c>
      <c r="EM81" t="s">
        <v>24</v>
      </c>
      <c r="EO81" t="s">
        <v>3</v>
      </c>
      <c r="EQ81">
        <v>1024</v>
      </c>
      <c r="ER81">
        <v>3655.07</v>
      </c>
      <c r="ES81">
        <v>1325.71</v>
      </c>
      <c r="ET81">
        <v>0.49</v>
      </c>
      <c r="EU81">
        <v>0.01</v>
      </c>
      <c r="EV81">
        <v>2328.87</v>
      </c>
      <c r="EW81">
        <v>5.35</v>
      </c>
      <c r="EX81">
        <v>0</v>
      </c>
      <c r="EY81">
        <v>0</v>
      </c>
      <c r="FQ81">
        <v>0</v>
      </c>
      <c r="FR81">
        <f>ROUND(IF(BI81=3,GM81,0),2)</f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1633222827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>ROUND(IF(AND(BH81=3,BI81=3,FS81&lt;&gt;0),P81,0),2)</f>
        <v>0</v>
      </c>
      <c r="GM81">
        <f>ROUND(O81+X81+Y81+GK81,2)+GX81</f>
        <v>0</v>
      </c>
      <c r="GN81">
        <f>IF(OR(BI81=0,BI81=1),GM81-GX81,0)</f>
        <v>0</v>
      </c>
      <c r="GO81">
        <f>IF(BI81=2,GM81-GX81,0)</f>
        <v>0</v>
      </c>
      <c r="GP81">
        <f>IF(BI81=4,GM81-GX81,0)</f>
        <v>0</v>
      </c>
      <c r="GR81">
        <v>0</v>
      </c>
      <c r="GS81">
        <v>3</v>
      </c>
      <c r="GT81">
        <v>0</v>
      </c>
      <c r="GU81" t="s">
        <v>3</v>
      </c>
      <c r="GV81">
        <f>ROUND((GT81),6)</f>
        <v>0</v>
      </c>
      <c r="GW81">
        <v>1</v>
      </c>
      <c r="GX81">
        <f>ROUND(HC81*I81,2)</f>
        <v>0</v>
      </c>
      <c r="HA81">
        <v>0</v>
      </c>
      <c r="HB81">
        <v>0</v>
      </c>
      <c r="HC81">
        <f>GV81*GW81</f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C82">
        <f>ROW(SmtRes!A50)</f>
        <v>50</v>
      </c>
      <c r="D82">
        <f>ROW(EtalonRes!A47)</f>
        <v>47</v>
      </c>
      <c r="E82" t="s">
        <v>141</v>
      </c>
      <c r="F82" t="s">
        <v>142</v>
      </c>
      <c r="G82" t="s">
        <v>143</v>
      </c>
      <c r="H82" t="s">
        <v>32</v>
      </c>
      <c r="I82">
        <f>ROUND(74.9/100,9)</f>
        <v>0.749</v>
      </c>
      <c r="J82">
        <v>0</v>
      </c>
      <c r="K82">
        <f>ROUND(74.9/100,9)</f>
        <v>0.749</v>
      </c>
      <c r="O82">
        <f>ROUND(CP82,2)</f>
        <v>22477.14</v>
      </c>
      <c r="P82">
        <f>ROUND(CQ82*I82,2)</f>
        <v>7658</v>
      </c>
      <c r="Q82">
        <f>ROUND(CR82*I82,2)</f>
        <v>0</v>
      </c>
      <c r="R82">
        <f>ROUND(CS82*I82,2)</f>
        <v>0</v>
      </c>
      <c r="S82">
        <f>ROUND(CT82*I82,2)</f>
        <v>14819.14</v>
      </c>
      <c r="T82">
        <f>ROUND(CU82*I82,2)</f>
        <v>0</v>
      </c>
      <c r="U82">
        <f>CV82*I82</f>
        <v>31.585330000000003</v>
      </c>
      <c r="V82">
        <f>CW82*I82</f>
        <v>0</v>
      </c>
      <c r="W82">
        <f>ROUND(CX82*I82,2)</f>
        <v>0</v>
      </c>
      <c r="X82">
        <f t="shared" si="77"/>
        <v>10373.4</v>
      </c>
      <c r="Y82">
        <f t="shared" si="77"/>
        <v>1481.91</v>
      </c>
      <c r="AA82">
        <v>75700856</v>
      </c>
      <c r="AB82">
        <f>ROUND((AC82+AD82+AF82),6)</f>
        <v>30009.54</v>
      </c>
      <c r="AC82">
        <f>ROUND((ES82),6)</f>
        <v>10224.299999999999</v>
      </c>
      <c r="AD82">
        <f>ROUND((((ET82)-(EU82))+AE82),6)</f>
        <v>0</v>
      </c>
      <c r="AE82">
        <f t="shared" si="78"/>
        <v>0</v>
      </c>
      <c r="AF82">
        <f t="shared" si="78"/>
        <v>19785.240000000002</v>
      </c>
      <c r="AG82">
        <f>ROUND((AP82),6)</f>
        <v>0</v>
      </c>
      <c r="AH82">
        <f t="shared" si="79"/>
        <v>42.17</v>
      </c>
      <c r="AI82">
        <f t="shared" si="79"/>
        <v>0</v>
      </c>
      <c r="AJ82">
        <f>(AS82)</f>
        <v>0</v>
      </c>
      <c r="AK82">
        <v>30009.54</v>
      </c>
      <c r="AL82">
        <v>10224.299999999999</v>
      </c>
      <c r="AM82">
        <v>0</v>
      </c>
      <c r="AN82">
        <v>0</v>
      </c>
      <c r="AO82">
        <v>19785.240000000002</v>
      </c>
      <c r="AP82">
        <v>0</v>
      </c>
      <c r="AQ82">
        <v>42.17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144</v>
      </c>
      <c r="BM82">
        <v>0</v>
      </c>
      <c r="BN82">
        <v>75371441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>(P82+Q82+S82)</f>
        <v>22477.14</v>
      </c>
      <c r="CQ82">
        <f>(AC82*BC82*AW82)</f>
        <v>10224.299999999999</v>
      </c>
      <c r="CR82">
        <f>((((ET82)*BB82-(EU82)*BS82)+AE82*BS82)*AV82)</f>
        <v>0</v>
      </c>
      <c r="CS82">
        <f>(AE82*BS82*AV82)</f>
        <v>0</v>
      </c>
      <c r="CT82">
        <f>(AF82*BA82*AV82)</f>
        <v>19785.240000000002</v>
      </c>
      <c r="CU82">
        <f>AG82</f>
        <v>0</v>
      </c>
      <c r="CV82">
        <f>(AH82*AV82)</f>
        <v>42.17</v>
      </c>
      <c r="CW82">
        <f t="shared" si="80"/>
        <v>0</v>
      </c>
      <c r="CX82">
        <f t="shared" si="80"/>
        <v>0</v>
      </c>
      <c r="CY82">
        <f>((S82*BZ82)/100)</f>
        <v>10373.397999999999</v>
      </c>
      <c r="CZ82">
        <f>((S82*CA82)/100)</f>
        <v>1481.914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1005</v>
      </c>
      <c r="DV82" t="s">
        <v>32</v>
      </c>
      <c r="DW82" t="s">
        <v>32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75371444</v>
      </c>
      <c r="EF82">
        <v>1</v>
      </c>
      <c r="EG82" t="s">
        <v>22</v>
      </c>
      <c r="EH82">
        <v>0</v>
      </c>
      <c r="EI82" t="s">
        <v>3</v>
      </c>
      <c r="EJ82">
        <v>4</v>
      </c>
      <c r="EK82">
        <v>0</v>
      </c>
      <c r="EL82" t="s">
        <v>23</v>
      </c>
      <c r="EM82" t="s">
        <v>24</v>
      </c>
      <c r="EO82" t="s">
        <v>3</v>
      </c>
      <c r="EQ82">
        <v>0</v>
      </c>
      <c r="ER82">
        <v>30009.54</v>
      </c>
      <c r="ES82">
        <v>10224.299999999999</v>
      </c>
      <c r="ET82">
        <v>0</v>
      </c>
      <c r="EU82">
        <v>0</v>
      </c>
      <c r="EV82">
        <v>19785.240000000002</v>
      </c>
      <c r="EW82">
        <v>42.17</v>
      </c>
      <c r="EX82">
        <v>0</v>
      </c>
      <c r="EY82">
        <v>0</v>
      </c>
      <c r="FQ82">
        <v>0</v>
      </c>
      <c r="FR82">
        <f>ROUND(IF(BI82=3,GM82,0),2)</f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247593071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>ROUND(IF(AND(BH82=3,BI82=3,FS82&lt;&gt;0),P82,0),2)</f>
        <v>0</v>
      </c>
      <c r="GM82">
        <f>ROUND(O82+X82+Y82+GK82,2)+GX82</f>
        <v>34332.449999999997</v>
      </c>
      <c r="GN82">
        <f>IF(OR(BI82=0,BI82=1),GM82-GX82,0)</f>
        <v>0</v>
      </c>
      <c r="GO82">
        <f>IF(BI82=2,GM82-GX82,0)</f>
        <v>0</v>
      </c>
      <c r="GP82">
        <f>IF(BI82=4,GM82-GX82,0)</f>
        <v>34332.449999999997</v>
      </c>
      <c r="GR82">
        <v>0</v>
      </c>
      <c r="GS82">
        <v>3</v>
      </c>
      <c r="GT82">
        <v>0</v>
      </c>
      <c r="GU82" t="s">
        <v>3</v>
      </c>
      <c r="GV82">
        <f>ROUND((GT82),6)</f>
        <v>0</v>
      </c>
      <c r="GW82">
        <v>1</v>
      </c>
      <c r="GX82">
        <f>ROUND(HC82*I82,2)</f>
        <v>0</v>
      </c>
      <c r="HA82">
        <v>0</v>
      </c>
      <c r="HB82">
        <v>0</v>
      </c>
      <c r="HC82">
        <f>GV82*GW82</f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18</v>
      </c>
      <c r="B83">
        <v>1</v>
      </c>
      <c r="C83">
        <v>48</v>
      </c>
      <c r="E83" t="s">
        <v>145</v>
      </c>
      <c r="F83" t="s">
        <v>146</v>
      </c>
      <c r="G83" t="s">
        <v>147</v>
      </c>
      <c r="H83" t="s">
        <v>68</v>
      </c>
      <c r="I83">
        <f>I82*J83</f>
        <v>1.273E-3</v>
      </c>
      <c r="J83">
        <v>1.6995994659546063E-3</v>
      </c>
      <c r="K83">
        <v>1.6999999999999999E-3</v>
      </c>
      <c r="O83">
        <f>ROUND(CP83,2)</f>
        <v>253.32</v>
      </c>
      <c r="P83">
        <f>ROUND(CQ83*I83,2)</f>
        <v>253.32</v>
      </c>
      <c r="Q83">
        <f>ROUND(CR83*I83,2)</f>
        <v>0</v>
      </c>
      <c r="R83">
        <f>ROUND(CS83*I83,2)</f>
        <v>0</v>
      </c>
      <c r="S83">
        <f>ROUND(CT83*I83,2)</f>
        <v>0</v>
      </c>
      <c r="T83">
        <f>ROUND(CU83*I83,2)</f>
        <v>0</v>
      </c>
      <c r="U83">
        <f>CV83*I83</f>
        <v>0</v>
      </c>
      <c r="V83">
        <f>CW83*I83</f>
        <v>0</v>
      </c>
      <c r="W83">
        <f>ROUND(CX83*I83,2)</f>
        <v>0</v>
      </c>
      <c r="X83">
        <f t="shared" si="77"/>
        <v>0</v>
      </c>
      <c r="Y83">
        <f t="shared" si="77"/>
        <v>0</v>
      </c>
      <c r="AA83">
        <v>75700856</v>
      </c>
      <c r="AB83">
        <f>ROUND((AC83+AD83+AF83),6)</f>
        <v>198992.34</v>
      </c>
      <c r="AC83">
        <f>ROUND((ES83),6)</f>
        <v>198992.34</v>
      </c>
      <c r="AD83">
        <f>ROUND((((ET83)-(EU83))+AE83),6)</f>
        <v>0</v>
      </c>
      <c r="AE83">
        <f t="shared" si="78"/>
        <v>0</v>
      </c>
      <c r="AF83">
        <f t="shared" si="78"/>
        <v>0</v>
      </c>
      <c r="AG83">
        <f>ROUND((AP83),6)</f>
        <v>0</v>
      </c>
      <c r="AH83">
        <f t="shared" si="79"/>
        <v>0</v>
      </c>
      <c r="AI83">
        <f t="shared" si="79"/>
        <v>0</v>
      </c>
      <c r="AJ83">
        <f>(AS83)</f>
        <v>0</v>
      </c>
      <c r="AK83">
        <v>198992.34</v>
      </c>
      <c r="AL83">
        <v>198992.34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4</v>
      </c>
      <c r="BJ83" t="s">
        <v>148</v>
      </c>
      <c r="BM83">
        <v>0</v>
      </c>
      <c r="BN83">
        <v>75371441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>(P83+Q83+S83)</f>
        <v>253.32</v>
      </c>
      <c r="CQ83">
        <f>(AC83*BC83*AW83)</f>
        <v>198992.34</v>
      </c>
      <c r="CR83">
        <f>((((ET83)*BB83-(EU83)*BS83)+AE83*BS83)*AV83)</f>
        <v>0</v>
      </c>
      <c r="CS83">
        <f>(AE83*BS83*AV83)</f>
        <v>0</v>
      </c>
      <c r="CT83">
        <f>(AF83*BA83*AV83)</f>
        <v>0</v>
      </c>
      <c r="CU83">
        <f>AG83</f>
        <v>0</v>
      </c>
      <c r="CV83">
        <f>(AH83*AV83)</f>
        <v>0</v>
      </c>
      <c r="CW83">
        <f t="shared" si="80"/>
        <v>0</v>
      </c>
      <c r="CX83">
        <f t="shared" si="80"/>
        <v>0</v>
      </c>
      <c r="CY83">
        <f>((S83*BZ83)/100)</f>
        <v>0</v>
      </c>
      <c r="CZ83">
        <f>((S83*CA83)/100)</f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68</v>
      </c>
      <c r="DW83" t="s">
        <v>68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75371444</v>
      </c>
      <c r="EF83">
        <v>1</v>
      </c>
      <c r="EG83" t="s">
        <v>22</v>
      </c>
      <c r="EH83">
        <v>0</v>
      </c>
      <c r="EI83" t="s">
        <v>3</v>
      </c>
      <c r="EJ83">
        <v>4</v>
      </c>
      <c r="EK83">
        <v>0</v>
      </c>
      <c r="EL83" t="s">
        <v>23</v>
      </c>
      <c r="EM83" t="s">
        <v>24</v>
      </c>
      <c r="EO83" t="s">
        <v>3</v>
      </c>
      <c r="EQ83">
        <v>0</v>
      </c>
      <c r="ER83">
        <v>198992.34</v>
      </c>
      <c r="ES83">
        <v>198992.34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>ROUND(IF(BI83=3,GM83,0),2)</f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812432982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>ROUND(IF(AND(BH83=3,BI83=3,FS83&lt;&gt;0),P83,0),2)</f>
        <v>0</v>
      </c>
      <c r="GM83">
        <f>ROUND(O83+X83+Y83+GK83,2)+GX83</f>
        <v>253.32</v>
      </c>
      <c r="GN83">
        <f>IF(OR(BI83=0,BI83=1),GM83-GX83,0)</f>
        <v>0</v>
      </c>
      <c r="GO83">
        <f>IF(BI83=2,GM83-GX83,0)</f>
        <v>0</v>
      </c>
      <c r="GP83">
        <f>IF(BI83=4,GM83-GX83,0)</f>
        <v>253.32</v>
      </c>
      <c r="GR83">
        <v>0</v>
      </c>
      <c r="GS83">
        <v>3</v>
      </c>
      <c r="GT83">
        <v>0</v>
      </c>
      <c r="GU83" t="s">
        <v>3</v>
      </c>
      <c r="GV83">
        <f>ROUND((GT83),6)</f>
        <v>0</v>
      </c>
      <c r="GW83">
        <v>1</v>
      </c>
      <c r="GX83">
        <f>ROUND(HC83*I83,2)</f>
        <v>0</v>
      </c>
      <c r="HA83">
        <v>0</v>
      </c>
      <c r="HB83">
        <v>0</v>
      </c>
      <c r="HC83">
        <f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5" spans="1:245" x14ac:dyDescent="0.2">
      <c r="A85" s="2">
        <v>51</v>
      </c>
      <c r="B85" s="2">
        <f>B75</f>
        <v>1</v>
      </c>
      <c r="C85" s="2">
        <f>A75</f>
        <v>5</v>
      </c>
      <c r="D85" s="2">
        <f>ROW(A75)</f>
        <v>75</v>
      </c>
      <c r="E85" s="2"/>
      <c r="F85" s="2" t="str">
        <f>IF(F75&lt;&gt;"",F75,"")</f>
        <v>Новый подраздел</v>
      </c>
      <c r="G85" s="2" t="str">
        <f>IF(G75&lt;&gt;"",G75,"")</f>
        <v>Стены</v>
      </c>
      <c r="H85" s="2">
        <v>0</v>
      </c>
      <c r="I85" s="2"/>
      <c r="J85" s="2"/>
      <c r="K85" s="2"/>
      <c r="L85" s="2"/>
      <c r="M85" s="2"/>
      <c r="N85" s="2"/>
      <c r="O85" s="2">
        <f t="shared" ref="O85:T85" si="81">ROUND(AB85,2)</f>
        <v>28095.43</v>
      </c>
      <c r="P85" s="2">
        <f t="shared" si="81"/>
        <v>7911.32</v>
      </c>
      <c r="Q85" s="2">
        <f t="shared" si="81"/>
        <v>1.8</v>
      </c>
      <c r="R85" s="2">
        <f t="shared" si="81"/>
        <v>0</v>
      </c>
      <c r="S85" s="2">
        <f t="shared" si="81"/>
        <v>20182.310000000001</v>
      </c>
      <c r="T85" s="2">
        <f t="shared" si="81"/>
        <v>0</v>
      </c>
      <c r="U85" s="2">
        <f>AH85</f>
        <v>45.157880000000006</v>
      </c>
      <c r="V85" s="2">
        <f>AI85</f>
        <v>0</v>
      </c>
      <c r="W85" s="2">
        <f>ROUND(AJ85,2)</f>
        <v>0</v>
      </c>
      <c r="X85" s="2">
        <f>ROUND(AK85,2)</f>
        <v>14127.62</v>
      </c>
      <c r="Y85" s="2">
        <f>ROUND(AL85,2)</f>
        <v>2018.23</v>
      </c>
      <c r="Z85" s="2"/>
      <c r="AA85" s="2"/>
      <c r="AB85" s="2">
        <f>ROUND(SUMIF(AA79:AA83,"=75700856",O79:O83),2)</f>
        <v>28095.43</v>
      </c>
      <c r="AC85" s="2">
        <f>ROUND(SUMIF(AA79:AA83,"=75700856",P79:P83),2)</f>
        <v>7911.32</v>
      </c>
      <c r="AD85" s="2">
        <f>ROUND(SUMIF(AA79:AA83,"=75700856",Q79:Q83),2)</f>
        <v>1.8</v>
      </c>
      <c r="AE85" s="2">
        <f>ROUND(SUMIF(AA79:AA83,"=75700856",R79:R83),2)</f>
        <v>0</v>
      </c>
      <c r="AF85" s="2">
        <f>ROUND(SUMIF(AA79:AA83,"=75700856",S79:S83),2)</f>
        <v>20182.310000000001</v>
      </c>
      <c r="AG85" s="2">
        <f>ROUND(SUMIF(AA79:AA83,"=75700856",T79:T83),2)</f>
        <v>0</v>
      </c>
      <c r="AH85" s="2">
        <f>SUMIF(AA79:AA83,"=75700856",U79:U83)</f>
        <v>45.157880000000006</v>
      </c>
      <c r="AI85" s="2">
        <f>SUMIF(AA79:AA83,"=75700856",V79:V83)</f>
        <v>0</v>
      </c>
      <c r="AJ85" s="2">
        <f>ROUND(SUMIF(AA79:AA83,"=75700856",W79:W83),2)</f>
        <v>0</v>
      </c>
      <c r="AK85" s="2">
        <f>ROUND(SUMIF(AA79:AA83,"=75700856",X79:X83),2)</f>
        <v>14127.62</v>
      </c>
      <c r="AL85" s="2">
        <f>ROUND(SUMIF(AA79:AA83,"=75700856",Y79:Y83),2)</f>
        <v>2018.23</v>
      </c>
      <c r="AM85" s="2"/>
      <c r="AN85" s="2"/>
      <c r="AO85" s="2">
        <f t="shared" ref="AO85:BD85" si="82">ROUND(BX85,2)</f>
        <v>0</v>
      </c>
      <c r="AP85" s="2">
        <f t="shared" si="82"/>
        <v>0</v>
      </c>
      <c r="AQ85" s="2">
        <f t="shared" si="82"/>
        <v>0</v>
      </c>
      <c r="AR85" s="2">
        <f t="shared" si="82"/>
        <v>44241.279999999999</v>
      </c>
      <c r="AS85" s="2">
        <f t="shared" si="82"/>
        <v>0</v>
      </c>
      <c r="AT85" s="2">
        <f t="shared" si="82"/>
        <v>0</v>
      </c>
      <c r="AU85" s="2">
        <f t="shared" si="82"/>
        <v>44241.279999999999</v>
      </c>
      <c r="AV85" s="2">
        <f t="shared" si="82"/>
        <v>7911.32</v>
      </c>
      <c r="AW85" s="2">
        <f t="shared" si="82"/>
        <v>7911.32</v>
      </c>
      <c r="AX85" s="2">
        <f t="shared" si="82"/>
        <v>0</v>
      </c>
      <c r="AY85" s="2">
        <f t="shared" si="82"/>
        <v>7911.32</v>
      </c>
      <c r="AZ85" s="2">
        <f t="shared" si="82"/>
        <v>0</v>
      </c>
      <c r="BA85" s="2">
        <f t="shared" si="82"/>
        <v>0</v>
      </c>
      <c r="BB85" s="2">
        <f t="shared" si="82"/>
        <v>0</v>
      </c>
      <c r="BC85" s="2">
        <f t="shared" si="82"/>
        <v>0</v>
      </c>
      <c r="BD85" s="2">
        <f t="shared" si="82"/>
        <v>0</v>
      </c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>
        <f>ROUND(SUMIF(AA79:AA83,"=75700856",FQ79:FQ83),2)</f>
        <v>0</v>
      </c>
      <c r="BY85" s="2">
        <f>ROUND(SUMIF(AA79:AA83,"=75700856",FR79:FR83),2)</f>
        <v>0</v>
      </c>
      <c r="BZ85" s="2">
        <f>ROUND(SUMIF(AA79:AA83,"=75700856",GL79:GL83),2)</f>
        <v>0</v>
      </c>
      <c r="CA85" s="2">
        <f>ROUND(SUMIF(AA79:AA83,"=75700856",GM79:GM83),2)</f>
        <v>44241.279999999999</v>
      </c>
      <c r="CB85" s="2">
        <f>ROUND(SUMIF(AA79:AA83,"=75700856",GN79:GN83),2)</f>
        <v>0</v>
      </c>
      <c r="CC85" s="2">
        <f>ROUND(SUMIF(AA79:AA83,"=75700856",GO79:GO83),2)</f>
        <v>0</v>
      </c>
      <c r="CD85" s="2">
        <f>ROUND(SUMIF(AA79:AA83,"=75700856",GP79:GP83),2)</f>
        <v>44241.279999999999</v>
      </c>
      <c r="CE85" s="2">
        <f>AC85-BX85</f>
        <v>7911.32</v>
      </c>
      <c r="CF85" s="2">
        <f>AC85-BY85</f>
        <v>7911.32</v>
      </c>
      <c r="CG85" s="2">
        <f>BX85-BZ85</f>
        <v>0</v>
      </c>
      <c r="CH85" s="2">
        <f>AC85-BX85-BY85+BZ85</f>
        <v>7911.32</v>
      </c>
      <c r="CI85" s="2">
        <f>BY85-BZ85</f>
        <v>0</v>
      </c>
      <c r="CJ85" s="2">
        <f>ROUND(SUMIF(AA79:AA83,"=75700856",GX79:GX83),2)</f>
        <v>0</v>
      </c>
      <c r="CK85" s="2">
        <f>ROUND(SUMIF(AA79:AA83,"=75700856",GY79:GY83),2)</f>
        <v>0</v>
      </c>
      <c r="CL85" s="2">
        <f>ROUND(SUMIF(AA79:AA83,"=75700856",GZ79:GZ83),2)</f>
        <v>0</v>
      </c>
      <c r="CM85" s="2">
        <f>ROUND(SUMIF(AA79:AA83,"=75700856",HD79:HD83),2)</f>
        <v>0</v>
      </c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>
        <v>0</v>
      </c>
    </row>
    <row r="87" spans="1:245" x14ac:dyDescent="0.2">
      <c r="A87" s="4">
        <v>50</v>
      </c>
      <c r="B87" s="4">
        <v>0</v>
      </c>
      <c r="C87" s="4">
        <v>0</v>
      </c>
      <c r="D87" s="4">
        <v>1</v>
      </c>
      <c r="E87" s="4">
        <v>201</v>
      </c>
      <c r="F87" s="4">
        <f>ROUND(Source!O85,O87)</f>
        <v>28095.43</v>
      </c>
      <c r="G87" s="4" t="s">
        <v>74</v>
      </c>
      <c r="H87" s="4" t="s">
        <v>75</v>
      </c>
      <c r="I87" s="4"/>
      <c r="J87" s="4"/>
      <c r="K87" s="4">
        <v>201</v>
      </c>
      <c r="L87" s="4">
        <v>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28095.43</v>
      </c>
      <c r="X87" s="4">
        <v>1</v>
      </c>
      <c r="Y87" s="4">
        <v>28095.43</v>
      </c>
      <c r="Z87" s="4"/>
      <c r="AA87" s="4"/>
      <c r="AB87" s="4"/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202</v>
      </c>
      <c r="F88" s="4">
        <f>ROUND(Source!P85,O88)</f>
        <v>7911.32</v>
      </c>
      <c r="G88" s="4" t="s">
        <v>76</v>
      </c>
      <c r="H88" s="4" t="s">
        <v>77</v>
      </c>
      <c r="I88" s="4"/>
      <c r="J88" s="4"/>
      <c r="K88" s="4">
        <v>202</v>
      </c>
      <c r="L88" s="4">
        <v>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7911.32</v>
      </c>
      <c r="X88" s="4">
        <v>1</v>
      </c>
      <c r="Y88" s="4">
        <v>7911.32</v>
      </c>
      <c r="Z88" s="4"/>
      <c r="AA88" s="4"/>
      <c r="AB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222</v>
      </c>
      <c r="F89" s="4">
        <f>ROUND(Source!AO85,O89)</f>
        <v>0</v>
      </c>
      <c r="G89" s="4" t="s">
        <v>78</v>
      </c>
      <c r="H89" s="4" t="s">
        <v>79</v>
      </c>
      <c r="I89" s="4"/>
      <c r="J89" s="4"/>
      <c r="K89" s="4">
        <v>222</v>
      </c>
      <c r="L89" s="4">
        <v>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225</v>
      </c>
      <c r="F90" s="4">
        <f>ROUND(Source!AV85,O90)</f>
        <v>7911.32</v>
      </c>
      <c r="G90" s="4" t="s">
        <v>80</v>
      </c>
      <c r="H90" s="4" t="s">
        <v>81</v>
      </c>
      <c r="I90" s="4"/>
      <c r="J90" s="4"/>
      <c r="K90" s="4">
        <v>225</v>
      </c>
      <c r="L90" s="4">
        <v>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7911.32</v>
      </c>
      <c r="X90" s="4">
        <v>1</v>
      </c>
      <c r="Y90" s="4">
        <v>7911.32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226</v>
      </c>
      <c r="F91" s="4">
        <f>ROUND(Source!AW85,O91)</f>
        <v>7911.32</v>
      </c>
      <c r="G91" s="4" t="s">
        <v>82</v>
      </c>
      <c r="H91" s="4" t="s">
        <v>83</v>
      </c>
      <c r="I91" s="4"/>
      <c r="J91" s="4"/>
      <c r="K91" s="4">
        <v>226</v>
      </c>
      <c r="L91" s="4">
        <v>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7911.32</v>
      </c>
      <c r="X91" s="4">
        <v>1</v>
      </c>
      <c r="Y91" s="4">
        <v>7911.32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227</v>
      </c>
      <c r="F92" s="4">
        <f>ROUND(Source!AX85,O92)</f>
        <v>0</v>
      </c>
      <c r="G92" s="4" t="s">
        <v>84</v>
      </c>
      <c r="H92" s="4" t="s">
        <v>85</v>
      </c>
      <c r="I92" s="4"/>
      <c r="J92" s="4"/>
      <c r="K92" s="4">
        <v>227</v>
      </c>
      <c r="L92" s="4">
        <v>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228</v>
      </c>
      <c r="F93" s="4">
        <f>ROUND(Source!AY85,O93)</f>
        <v>7911.32</v>
      </c>
      <c r="G93" s="4" t="s">
        <v>86</v>
      </c>
      <c r="H93" s="4" t="s">
        <v>87</v>
      </c>
      <c r="I93" s="4"/>
      <c r="J93" s="4"/>
      <c r="K93" s="4">
        <v>228</v>
      </c>
      <c r="L93" s="4">
        <v>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7911.32</v>
      </c>
      <c r="X93" s="4">
        <v>1</v>
      </c>
      <c r="Y93" s="4">
        <v>7911.32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216</v>
      </c>
      <c r="F94" s="4">
        <f>ROUND(Source!AP85,O94)</f>
        <v>0</v>
      </c>
      <c r="G94" s="4" t="s">
        <v>88</v>
      </c>
      <c r="H94" s="4" t="s">
        <v>89</v>
      </c>
      <c r="I94" s="4"/>
      <c r="J94" s="4"/>
      <c r="K94" s="4">
        <v>216</v>
      </c>
      <c r="L94" s="4">
        <v>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223</v>
      </c>
      <c r="F95" s="4">
        <f>ROUND(Source!AQ85,O95)</f>
        <v>0</v>
      </c>
      <c r="G95" s="4" t="s">
        <v>90</v>
      </c>
      <c r="H95" s="4" t="s">
        <v>91</v>
      </c>
      <c r="I95" s="4"/>
      <c r="J95" s="4"/>
      <c r="K95" s="4">
        <v>223</v>
      </c>
      <c r="L95" s="4">
        <v>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229</v>
      </c>
      <c r="F96" s="4">
        <f>ROUND(Source!AZ85,O96)</f>
        <v>0</v>
      </c>
      <c r="G96" s="4" t="s">
        <v>92</v>
      </c>
      <c r="H96" s="4" t="s">
        <v>93</v>
      </c>
      <c r="I96" s="4"/>
      <c r="J96" s="4"/>
      <c r="K96" s="4">
        <v>229</v>
      </c>
      <c r="L96" s="4">
        <v>10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203</v>
      </c>
      <c r="F97" s="4">
        <f>ROUND(Source!Q85,O97)</f>
        <v>1.8</v>
      </c>
      <c r="G97" s="4" t="s">
        <v>94</v>
      </c>
      <c r="H97" s="4" t="s">
        <v>95</v>
      </c>
      <c r="I97" s="4"/>
      <c r="J97" s="4"/>
      <c r="K97" s="4">
        <v>203</v>
      </c>
      <c r="L97" s="4">
        <v>11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1.8</v>
      </c>
      <c r="X97" s="4">
        <v>1</v>
      </c>
      <c r="Y97" s="4">
        <v>1.8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231</v>
      </c>
      <c r="F98" s="4">
        <f>ROUND(Source!BB85,O98)</f>
        <v>0</v>
      </c>
      <c r="G98" s="4" t="s">
        <v>96</v>
      </c>
      <c r="H98" s="4" t="s">
        <v>97</v>
      </c>
      <c r="I98" s="4"/>
      <c r="J98" s="4"/>
      <c r="K98" s="4">
        <v>231</v>
      </c>
      <c r="L98" s="4">
        <v>12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204</v>
      </c>
      <c r="F99" s="4">
        <f>ROUND(Source!R85,O99)</f>
        <v>0</v>
      </c>
      <c r="G99" s="4" t="s">
        <v>98</v>
      </c>
      <c r="H99" s="4" t="s">
        <v>99</v>
      </c>
      <c r="I99" s="4"/>
      <c r="J99" s="4"/>
      <c r="K99" s="4">
        <v>204</v>
      </c>
      <c r="L99" s="4">
        <v>13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205</v>
      </c>
      <c r="F100" s="4">
        <f>ROUND(Source!S85,O100)</f>
        <v>20182.310000000001</v>
      </c>
      <c r="G100" s="4" t="s">
        <v>100</v>
      </c>
      <c r="H100" s="4" t="s">
        <v>101</v>
      </c>
      <c r="I100" s="4"/>
      <c r="J100" s="4"/>
      <c r="K100" s="4">
        <v>205</v>
      </c>
      <c r="L100" s="4">
        <v>14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20182.310000000001</v>
      </c>
      <c r="X100" s="4">
        <v>1</v>
      </c>
      <c r="Y100" s="4">
        <v>20182.310000000001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232</v>
      </c>
      <c r="F101" s="4">
        <f>ROUND(Source!BC85,O101)</f>
        <v>0</v>
      </c>
      <c r="G101" s="4" t="s">
        <v>102</v>
      </c>
      <c r="H101" s="4" t="s">
        <v>103</v>
      </c>
      <c r="I101" s="4"/>
      <c r="J101" s="4"/>
      <c r="K101" s="4">
        <v>232</v>
      </c>
      <c r="L101" s="4">
        <v>15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214</v>
      </c>
      <c r="F102" s="4">
        <f>ROUND(Source!AS85,O102)</f>
        <v>0</v>
      </c>
      <c r="G102" s="4" t="s">
        <v>104</v>
      </c>
      <c r="H102" s="4" t="s">
        <v>105</v>
      </c>
      <c r="I102" s="4"/>
      <c r="J102" s="4"/>
      <c r="K102" s="4">
        <v>214</v>
      </c>
      <c r="L102" s="4">
        <v>16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215</v>
      </c>
      <c r="F103" s="4">
        <f>ROUND(Source!AT85,O103)</f>
        <v>0</v>
      </c>
      <c r="G103" s="4" t="s">
        <v>106</v>
      </c>
      <c r="H103" s="4" t="s">
        <v>107</v>
      </c>
      <c r="I103" s="4"/>
      <c r="J103" s="4"/>
      <c r="K103" s="4">
        <v>215</v>
      </c>
      <c r="L103" s="4">
        <v>17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217</v>
      </c>
      <c r="F104" s="4">
        <f>ROUND(Source!AU85,O104)</f>
        <v>44241.279999999999</v>
      </c>
      <c r="G104" s="4" t="s">
        <v>108</v>
      </c>
      <c r="H104" s="4" t="s">
        <v>109</v>
      </c>
      <c r="I104" s="4"/>
      <c r="J104" s="4"/>
      <c r="K104" s="4">
        <v>217</v>
      </c>
      <c r="L104" s="4">
        <v>18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44241.279999999999</v>
      </c>
      <c r="X104" s="4">
        <v>1</v>
      </c>
      <c r="Y104" s="4">
        <v>44241.279999999999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230</v>
      </c>
      <c r="F105" s="4">
        <f>ROUND(Source!BA85,O105)</f>
        <v>0</v>
      </c>
      <c r="G105" s="4" t="s">
        <v>110</v>
      </c>
      <c r="H105" s="4" t="s">
        <v>111</v>
      </c>
      <c r="I105" s="4"/>
      <c r="J105" s="4"/>
      <c r="K105" s="4">
        <v>230</v>
      </c>
      <c r="L105" s="4">
        <v>19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206</v>
      </c>
      <c r="F106" s="4">
        <f>ROUND(Source!T85,O106)</f>
        <v>0</v>
      </c>
      <c r="G106" s="4" t="s">
        <v>112</v>
      </c>
      <c r="H106" s="4" t="s">
        <v>113</v>
      </c>
      <c r="I106" s="4"/>
      <c r="J106" s="4"/>
      <c r="K106" s="4">
        <v>206</v>
      </c>
      <c r="L106" s="4">
        <v>20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207</v>
      </c>
      <c r="F107" s="4">
        <f>Source!U85</f>
        <v>45.157880000000006</v>
      </c>
      <c r="G107" s="4" t="s">
        <v>114</v>
      </c>
      <c r="H107" s="4" t="s">
        <v>115</v>
      </c>
      <c r="I107" s="4"/>
      <c r="J107" s="4"/>
      <c r="K107" s="4">
        <v>207</v>
      </c>
      <c r="L107" s="4">
        <v>21</v>
      </c>
      <c r="M107" s="4">
        <v>3</v>
      </c>
      <c r="N107" s="4" t="s">
        <v>3</v>
      </c>
      <c r="O107" s="4">
        <v>-1</v>
      </c>
      <c r="P107" s="4"/>
      <c r="Q107" s="4"/>
      <c r="R107" s="4"/>
      <c r="S107" s="4"/>
      <c r="T107" s="4"/>
      <c r="U107" s="4"/>
      <c r="V107" s="4"/>
      <c r="W107" s="4">
        <v>45.157879999999999</v>
      </c>
      <c r="X107" s="4">
        <v>1</v>
      </c>
      <c r="Y107" s="4">
        <v>45.157879999999999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208</v>
      </c>
      <c r="F108" s="4">
        <f>Source!V85</f>
        <v>0</v>
      </c>
      <c r="G108" s="4" t="s">
        <v>116</v>
      </c>
      <c r="H108" s="4" t="s">
        <v>117</v>
      </c>
      <c r="I108" s="4"/>
      <c r="J108" s="4"/>
      <c r="K108" s="4">
        <v>208</v>
      </c>
      <c r="L108" s="4">
        <v>22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209</v>
      </c>
      <c r="F109" s="4">
        <f>ROUND(Source!W85,O109)</f>
        <v>0</v>
      </c>
      <c r="G109" s="4" t="s">
        <v>118</v>
      </c>
      <c r="H109" s="4" t="s">
        <v>119</v>
      </c>
      <c r="I109" s="4"/>
      <c r="J109" s="4"/>
      <c r="K109" s="4">
        <v>209</v>
      </c>
      <c r="L109" s="4">
        <v>23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233</v>
      </c>
      <c r="F110" s="4">
        <f>ROUND(Source!BD85,O110)</f>
        <v>0</v>
      </c>
      <c r="G110" s="4" t="s">
        <v>120</v>
      </c>
      <c r="H110" s="4" t="s">
        <v>121</v>
      </c>
      <c r="I110" s="4"/>
      <c r="J110" s="4"/>
      <c r="K110" s="4">
        <v>233</v>
      </c>
      <c r="L110" s="4">
        <v>24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210</v>
      </c>
      <c r="F111" s="4">
        <f>ROUND(Source!X85,O111)</f>
        <v>14127.62</v>
      </c>
      <c r="G111" s="4" t="s">
        <v>122</v>
      </c>
      <c r="H111" s="4" t="s">
        <v>123</v>
      </c>
      <c r="I111" s="4"/>
      <c r="J111" s="4"/>
      <c r="K111" s="4">
        <v>210</v>
      </c>
      <c r="L111" s="4">
        <v>25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14127.62</v>
      </c>
      <c r="X111" s="4">
        <v>1</v>
      </c>
      <c r="Y111" s="4">
        <v>14127.62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211</v>
      </c>
      <c r="F112" s="4">
        <f>ROUND(Source!Y85,O112)</f>
        <v>2018.23</v>
      </c>
      <c r="G112" s="4" t="s">
        <v>124</v>
      </c>
      <c r="H112" s="4" t="s">
        <v>125</v>
      </c>
      <c r="I112" s="4"/>
      <c r="J112" s="4"/>
      <c r="K112" s="4">
        <v>211</v>
      </c>
      <c r="L112" s="4">
        <v>26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2018.23</v>
      </c>
      <c r="X112" s="4">
        <v>1</v>
      </c>
      <c r="Y112" s="4">
        <v>2018.23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224</v>
      </c>
      <c r="F113" s="4">
        <f>ROUND(Source!AR85,O113)</f>
        <v>44241.279999999999</v>
      </c>
      <c r="G113" s="4" t="s">
        <v>126</v>
      </c>
      <c r="H113" s="4" t="s">
        <v>127</v>
      </c>
      <c r="I113" s="4"/>
      <c r="J113" s="4"/>
      <c r="K113" s="4">
        <v>224</v>
      </c>
      <c r="L113" s="4">
        <v>27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44241.279999999999</v>
      </c>
      <c r="X113" s="4">
        <v>1</v>
      </c>
      <c r="Y113" s="4">
        <v>44241.279999999999</v>
      </c>
      <c r="Z113" s="4"/>
      <c r="AA113" s="4"/>
      <c r="AB113" s="4"/>
    </row>
    <row r="115" spans="1:245" x14ac:dyDescent="0.2">
      <c r="A115" s="1">
        <v>5</v>
      </c>
      <c r="B115" s="1">
        <v>1</v>
      </c>
      <c r="C115" s="1"/>
      <c r="D115" s="1">
        <f>ROW(A133)</f>
        <v>133</v>
      </c>
      <c r="E115" s="1"/>
      <c r="F115" s="1" t="s">
        <v>15</v>
      </c>
      <c r="G115" s="1" t="s">
        <v>149</v>
      </c>
      <c r="H115" s="1" t="s">
        <v>3</v>
      </c>
      <c r="I115" s="1">
        <v>0</v>
      </c>
      <c r="J115" s="1"/>
      <c r="K115" s="1">
        <v>0</v>
      </c>
      <c r="L115" s="1"/>
      <c r="M115" s="1" t="s">
        <v>3</v>
      </c>
      <c r="N115" s="1"/>
      <c r="O115" s="1"/>
      <c r="P115" s="1"/>
      <c r="Q115" s="1"/>
      <c r="R115" s="1"/>
      <c r="S115" s="1">
        <v>0</v>
      </c>
      <c r="T115" s="1"/>
      <c r="U115" s="1" t="s">
        <v>3</v>
      </c>
      <c r="V115" s="1">
        <v>0</v>
      </c>
      <c r="W115" s="1"/>
      <c r="X115" s="1"/>
      <c r="Y115" s="1"/>
      <c r="Z115" s="1"/>
      <c r="AA115" s="1"/>
      <c r="AB115" s="1" t="s">
        <v>3</v>
      </c>
      <c r="AC115" s="1" t="s">
        <v>3</v>
      </c>
      <c r="AD115" s="1" t="s">
        <v>3</v>
      </c>
      <c r="AE115" s="1" t="s">
        <v>3</v>
      </c>
      <c r="AF115" s="1" t="s">
        <v>3</v>
      </c>
      <c r="AG115" s="1" t="s">
        <v>3</v>
      </c>
      <c r="AH115" s="1"/>
      <c r="AI115" s="1"/>
      <c r="AJ115" s="1"/>
      <c r="AK115" s="1"/>
      <c r="AL115" s="1"/>
      <c r="AM115" s="1"/>
      <c r="AN115" s="1"/>
      <c r="AO115" s="1"/>
      <c r="AP115" s="1" t="s">
        <v>3</v>
      </c>
      <c r="AQ115" s="1" t="s">
        <v>3</v>
      </c>
      <c r="AR115" s="1" t="s">
        <v>3</v>
      </c>
      <c r="AS115" s="1"/>
      <c r="AT115" s="1"/>
      <c r="AU115" s="1"/>
      <c r="AV115" s="1"/>
      <c r="AW115" s="1"/>
      <c r="AX115" s="1"/>
      <c r="AY115" s="1"/>
      <c r="AZ115" s="1" t="s">
        <v>3</v>
      </c>
      <c r="BA115" s="1"/>
      <c r="BB115" s="1" t="s">
        <v>3</v>
      </c>
      <c r="BC115" s="1" t="s">
        <v>3</v>
      </c>
      <c r="BD115" s="1" t="s">
        <v>3</v>
      </c>
      <c r="BE115" s="1" t="s">
        <v>3</v>
      </c>
      <c r="BF115" s="1" t="s">
        <v>3</v>
      </c>
      <c r="BG115" s="1" t="s">
        <v>3</v>
      </c>
      <c r="BH115" s="1" t="s">
        <v>3</v>
      </c>
      <c r="BI115" s="1" t="s">
        <v>3</v>
      </c>
      <c r="BJ115" s="1" t="s">
        <v>3</v>
      </c>
      <c r="BK115" s="1" t="s">
        <v>3</v>
      </c>
      <c r="BL115" s="1" t="s">
        <v>3</v>
      </c>
      <c r="BM115" s="1" t="s">
        <v>3</v>
      </c>
      <c r="BN115" s="1" t="s">
        <v>3</v>
      </c>
      <c r="BO115" s="1" t="s">
        <v>3</v>
      </c>
      <c r="BP115" s="1" t="s">
        <v>3</v>
      </c>
      <c r="BQ115" s="1"/>
      <c r="BR115" s="1"/>
      <c r="BS115" s="1"/>
      <c r="BT115" s="1"/>
      <c r="BU115" s="1"/>
      <c r="BV115" s="1"/>
      <c r="BW115" s="1"/>
      <c r="BX115" s="1">
        <v>0</v>
      </c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>
        <v>0</v>
      </c>
    </row>
    <row r="117" spans="1:245" x14ac:dyDescent="0.2">
      <c r="A117" s="2">
        <v>52</v>
      </c>
      <c r="B117" s="2">
        <f t="shared" ref="B117:G117" si="83">B133</f>
        <v>1</v>
      </c>
      <c r="C117" s="2">
        <f t="shared" si="83"/>
        <v>5</v>
      </c>
      <c r="D117" s="2">
        <f t="shared" si="83"/>
        <v>115</v>
      </c>
      <c r="E117" s="2">
        <f t="shared" si="83"/>
        <v>0</v>
      </c>
      <c r="F117" s="2" t="str">
        <f t="shared" si="83"/>
        <v>Новый подраздел</v>
      </c>
      <c r="G117" s="2" t="str">
        <f t="shared" si="83"/>
        <v>Инженерные сети</v>
      </c>
      <c r="H117" s="2"/>
      <c r="I117" s="2"/>
      <c r="J117" s="2"/>
      <c r="K117" s="2"/>
      <c r="L117" s="2"/>
      <c r="M117" s="2"/>
      <c r="N117" s="2"/>
      <c r="O117" s="2">
        <f t="shared" ref="O117:AT117" si="84">O133</f>
        <v>19529.349999999999</v>
      </c>
      <c r="P117" s="2">
        <f t="shared" si="84"/>
        <v>17171.68</v>
      </c>
      <c r="Q117" s="2">
        <f t="shared" si="84"/>
        <v>0.12</v>
      </c>
      <c r="R117" s="2">
        <f t="shared" si="84"/>
        <v>0.04</v>
      </c>
      <c r="S117" s="2">
        <f t="shared" si="84"/>
        <v>2357.5500000000002</v>
      </c>
      <c r="T117" s="2">
        <f t="shared" si="84"/>
        <v>0</v>
      </c>
      <c r="U117" s="2">
        <f t="shared" si="84"/>
        <v>4.7559200000000006</v>
      </c>
      <c r="V117" s="2">
        <f t="shared" si="84"/>
        <v>0</v>
      </c>
      <c r="W117" s="2">
        <f t="shared" si="84"/>
        <v>0</v>
      </c>
      <c r="X117" s="2">
        <f t="shared" si="84"/>
        <v>1650.3</v>
      </c>
      <c r="Y117" s="2">
        <f t="shared" si="84"/>
        <v>235.77</v>
      </c>
      <c r="Z117" s="2">
        <f t="shared" si="84"/>
        <v>0</v>
      </c>
      <c r="AA117" s="2">
        <f t="shared" si="84"/>
        <v>0</v>
      </c>
      <c r="AB117" s="2">
        <f t="shared" si="84"/>
        <v>19529.349999999999</v>
      </c>
      <c r="AC117" s="2">
        <f t="shared" si="84"/>
        <v>17171.68</v>
      </c>
      <c r="AD117" s="2">
        <f t="shared" si="84"/>
        <v>0.12</v>
      </c>
      <c r="AE117" s="2">
        <f t="shared" si="84"/>
        <v>0.04</v>
      </c>
      <c r="AF117" s="2">
        <f t="shared" si="84"/>
        <v>2357.5500000000002</v>
      </c>
      <c r="AG117" s="2">
        <f t="shared" si="84"/>
        <v>0</v>
      </c>
      <c r="AH117" s="2">
        <f t="shared" si="84"/>
        <v>4.7559200000000006</v>
      </c>
      <c r="AI117" s="2">
        <f t="shared" si="84"/>
        <v>0</v>
      </c>
      <c r="AJ117" s="2">
        <f t="shared" si="84"/>
        <v>0</v>
      </c>
      <c r="AK117" s="2">
        <f t="shared" si="84"/>
        <v>1650.3</v>
      </c>
      <c r="AL117" s="2">
        <f t="shared" si="84"/>
        <v>235.77</v>
      </c>
      <c r="AM117" s="2">
        <f t="shared" si="84"/>
        <v>0</v>
      </c>
      <c r="AN117" s="2">
        <f t="shared" si="84"/>
        <v>0</v>
      </c>
      <c r="AO117" s="2">
        <f t="shared" si="84"/>
        <v>0</v>
      </c>
      <c r="AP117" s="2">
        <f t="shared" si="84"/>
        <v>0</v>
      </c>
      <c r="AQ117" s="2">
        <f t="shared" si="84"/>
        <v>0</v>
      </c>
      <c r="AR117" s="2">
        <f t="shared" si="84"/>
        <v>21415.46</v>
      </c>
      <c r="AS117" s="2">
        <f t="shared" si="84"/>
        <v>0</v>
      </c>
      <c r="AT117" s="2">
        <f t="shared" si="84"/>
        <v>0</v>
      </c>
      <c r="AU117" s="2">
        <f t="shared" ref="AU117:BZ117" si="85">AU133</f>
        <v>21415.46</v>
      </c>
      <c r="AV117" s="2">
        <f t="shared" si="85"/>
        <v>17171.68</v>
      </c>
      <c r="AW117" s="2">
        <f t="shared" si="85"/>
        <v>17171.68</v>
      </c>
      <c r="AX117" s="2">
        <f t="shared" si="85"/>
        <v>0</v>
      </c>
      <c r="AY117" s="2">
        <f t="shared" si="85"/>
        <v>17171.68</v>
      </c>
      <c r="AZ117" s="2">
        <f t="shared" si="85"/>
        <v>0</v>
      </c>
      <c r="BA117" s="2">
        <f t="shared" si="85"/>
        <v>0</v>
      </c>
      <c r="BB117" s="2">
        <f t="shared" si="85"/>
        <v>0</v>
      </c>
      <c r="BC117" s="2">
        <f t="shared" si="85"/>
        <v>0</v>
      </c>
      <c r="BD117" s="2">
        <f t="shared" si="85"/>
        <v>0</v>
      </c>
      <c r="BE117" s="2">
        <f t="shared" si="85"/>
        <v>0</v>
      </c>
      <c r="BF117" s="2">
        <f t="shared" si="85"/>
        <v>0</v>
      </c>
      <c r="BG117" s="2">
        <f t="shared" si="85"/>
        <v>0</v>
      </c>
      <c r="BH117" s="2">
        <f t="shared" si="85"/>
        <v>0</v>
      </c>
      <c r="BI117" s="2">
        <f t="shared" si="85"/>
        <v>0</v>
      </c>
      <c r="BJ117" s="2">
        <f t="shared" si="85"/>
        <v>0</v>
      </c>
      <c r="BK117" s="2">
        <f t="shared" si="85"/>
        <v>0</v>
      </c>
      <c r="BL117" s="2">
        <f t="shared" si="85"/>
        <v>0</v>
      </c>
      <c r="BM117" s="2">
        <f t="shared" si="85"/>
        <v>0</v>
      </c>
      <c r="BN117" s="2">
        <f t="shared" si="85"/>
        <v>0</v>
      </c>
      <c r="BO117" s="2">
        <f t="shared" si="85"/>
        <v>0</v>
      </c>
      <c r="BP117" s="2">
        <f t="shared" si="85"/>
        <v>0</v>
      </c>
      <c r="BQ117" s="2">
        <f t="shared" si="85"/>
        <v>0</v>
      </c>
      <c r="BR117" s="2">
        <f t="shared" si="85"/>
        <v>0</v>
      </c>
      <c r="BS117" s="2">
        <f t="shared" si="85"/>
        <v>0</v>
      </c>
      <c r="BT117" s="2">
        <f t="shared" si="85"/>
        <v>0</v>
      </c>
      <c r="BU117" s="2">
        <f t="shared" si="85"/>
        <v>0</v>
      </c>
      <c r="BV117" s="2">
        <f t="shared" si="85"/>
        <v>0</v>
      </c>
      <c r="BW117" s="2">
        <f t="shared" si="85"/>
        <v>0</v>
      </c>
      <c r="BX117" s="2">
        <f t="shared" si="85"/>
        <v>0</v>
      </c>
      <c r="BY117" s="2">
        <f t="shared" si="85"/>
        <v>0</v>
      </c>
      <c r="BZ117" s="2">
        <f t="shared" si="85"/>
        <v>0</v>
      </c>
      <c r="CA117" s="2">
        <f t="shared" ref="CA117:DF117" si="86">CA133</f>
        <v>21415.46</v>
      </c>
      <c r="CB117" s="2">
        <f t="shared" si="86"/>
        <v>0</v>
      </c>
      <c r="CC117" s="2">
        <f t="shared" si="86"/>
        <v>0</v>
      </c>
      <c r="CD117" s="2">
        <f t="shared" si="86"/>
        <v>21415.46</v>
      </c>
      <c r="CE117" s="2">
        <f t="shared" si="86"/>
        <v>17171.68</v>
      </c>
      <c r="CF117" s="2">
        <f t="shared" si="86"/>
        <v>17171.68</v>
      </c>
      <c r="CG117" s="2">
        <f t="shared" si="86"/>
        <v>0</v>
      </c>
      <c r="CH117" s="2">
        <f t="shared" si="86"/>
        <v>17171.68</v>
      </c>
      <c r="CI117" s="2">
        <f t="shared" si="86"/>
        <v>0</v>
      </c>
      <c r="CJ117" s="2">
        <f t="shared" si="86"/>
        <v>0</v>
      </c>
      <c r="CK117" s="2">
        <f t="shared" si="86"/>
        <v>0</v>
      </c>
      <c r="CL117" s="2">
        <f t="shared" si="86"/>
        <v>0</v>
      </c>
      <c r="CM117" s="2">
        <f t="shared" si="86"/>
        <v>0</v>
      </c>
      <c r="CN117" s="2">
        <f t="shared" si="86"/>
        <v>0</v>
      </c>
      <c r="CO117" s="2">
        <f t="shared" si="86"/>
        <v>0</v>
      </c>
      <c r="CP117" s="2">
        <f t="shared" si="86"/>
        <v>0</v>
      </c>
      <c r="CQ117" s="2">
        <f t="shared" si="86"/>
        <v>0</v>
      </c>
      <c r="CR117" s="2">
        <f t="shared" si="86"/>
        <v>0</v>
      </c>
      <c r="CS117" s="2">
        <f t="shared" si="86"/>
        <v>0</v>
      </c>
      <c r="CT117" s="2">
        <f t="shared" si="86"/>
        <v>0</v>
      </c>
      <c r="CU117" s="2">
        <f t="shared" si="86"/>
        <v>0</v>
      </c>
      <c r="CV117" s="2">
        <f t="shared" si="86"/>
        <v>0</v>
      </c>
      <c r="CW117" s="2">
        <f t="shared" si="86"/>
        <v>0</v>
      </c>
      <c r="CX117" s="2">
        <f t="shared" si="86"/>
        <v>0</v>
      </c>
      <c r="CY117" s="2">
        <f t="shared" si="86"/>
        <v>0</v>
      </c>
      <c r="CZ117" s="2">
        <f t="shared" si="86"/>
        <v>0</v>
      </c>
      <c r="DA117" s="2">
        <f t="shared" si="86"/>
        <v>0</v>
      </c>
      <c r="DB117" s="2">
        <f t="shared" si="86"/>
        <v>0</v>
      </c>
      <c r="DC117" s="2">
        <f t="shared" si="86"/>
        <v>0</v>
      </c>
      <c r="DD117" s="2">
        <f t="shared" si="86"/>
        <v>0</v>
      </c>
      <c r="DE117" s="2">
        <f t="shared" si="86"/>
        <v>0</v>
      </c>
      <c r="DF117" s="2">
        <f t="shared" si="86"/>
        <v>0</v>
      </c>
      <c r="DG117" s="3">
        <f t="shared" ref="DG117:EL117" si="87">DG133</f>
        <v>0</v>
      </c>
      <c r="DH117" s="3">
        <f t="shared" si="87"/>
        <v>0</v>
      </c>
      <c r="DI117" s="3">
        <f t="shared" si="87"/>
        <v>0</v>
      </c>
      <c r="DJ117" s="3">
        <f t="shared" si="87"/>
        <v>0</v>
      </c>
      <c r="DK117" s="3">
        <f t="shared" si="87"/>
        <v>0</v>
      </c>
      <c r="DL117" s="3">
        <f t="shared" si="87"/>
        <v>0</v>
      </c>
      <c r="DM117" s="3">
        <f t="shared" si="87"/>
        <v>0</v>
      </c>
      <c r="DN117" s="3">
        <f t="shared" si="87"/>
        <v>0</v>
      </c>
      <c r="DO117" s="3">
        <f t="shared" si="87"/>
        <v>0</v>
      </c>
      <c r="DP117" s="3">
        <f t="shared" si="87"/>
        <v>0</v>
      </c>
      <c r="DQ117" s="3">
        <f t="shared" si="87"/>
        <v>0</v>
      </c>
      <c r="DR117" s="3">
        <f t="shared" si="87"/>
        <v>0</v>
      </c>
      <c r="DS117" s="3">
        <f t="shared" si="87"/>
        <v>0</v>
      </c>
      <c r="DT117" s="3">
        <f t="shared" si="87"/>
        <v>0</v>
      </c>
      <c r="DU117" s="3">
        <f t="shared" si="87"/>
        <v>0</v>
      </c>
      <c r="DV117" s="3">
        <f t="shared" si="87"/>
        <v>0</v>
      </c>
      <c r="DW117" s="3">
        <f t="shared" si="87"/>
        <v>0</v>
      </c>
      <c r="DX117" s="3">
        <f t="shared" si="87"/>
        <v>0</v>
      </c>
      <c r="DY117" s="3">
        <f t="shared" si="87"/>
        <v>0</v>
      </c>
      <c r="DZ117" s="3">
        <f t="shared" si="87"/>
        <v>0</v>
      </c>
      <c r="EA117" s="3">
        <f t="shared" si="87"/>
        <v>0</v>
      </c>
      <c r="EB117" s="3">
        <f t="shared" si="87"/>
        <v>0</v>
      </c>
      <c r="EC117" s="3">
        <f t="shared" si="87"/>
        <v>0</v>
      </c>
      <c r="ED117" s="3">
        <f t="shared" si="87"/>
        <v>0</v>
      </c>
      <c r="EE117" s="3">
        <f t="shared" si="87"/>
        <v>0</v>
      </c>
      <c r="EF117" s="3">
        <f t="shared" si="87"/>
        <v>0</v>
      </c>
      <c r="EG117" s="3">
        <f t="shared" si="87"/>
        <v>0</v>
      </c>
      <c r="EH117" s="3">
        <f t="shared" si="87"/>
        <v>0</v>
      </c>
      <c r="EI117" s="3">
        <f t="shared" si="87"/>
        <v>0</v>
      </c>
      <c r="EJ117" s="3">
        <f t="shared" si="87"/>
        <v>0</v>
      </c>
      <c r="EK117" s="3">
        <f t="shared" si="87"/>
        <v>0</v>
      </c>
      <c r="EL117" s="3">
        <f t="shared" si="87"/>
        <v>0</v>
      </c>
      <c r="EM117" s="3">
        <f t="shared" ref="EM117:FR117" si="88">EM133</f>
        <v>0</v>
      </c>
      <c r="EN117" s="3">
        <f t="shared" si="88"/>
        <v>0</v>
      </c>
      <c r="EO117" s="3">
        <f t="shared" si="88"/>
        <v>0</v>
      </c>
      <c r="EP117" s="3">
        <f t="shared" si="88"/>
        <v>0</v>
      </c>
      <c r="EQ117" s="3">
        <f t="shared" si="88"/>
        <v>0</v>
      </c>
      <c r="ER117" s="3">
        <f t="shared" si="88"/>
        <v>0</v>
      </c>
      <c r="ES117" s="3">
        <f t="shared" si="88"/>
        <v>0</v>
      </c>
      <c r="ET117" s="3">
        <f t="shared" si="88"/>
        <v>0</v>
      </c>
      <c r="EU117" s="3">
        <f t="shared" si="88"/>
        <v>0</v>
      </c>
      <c r="EV117" s="3">
        <f t="shared" si="88"/>
        <v>0</v>
      </c>
      <c r="EW117" s="3">
        <f t="shared" si="88"/>
        <v>0</v>
      </c>
      <c r="EX117" s="3">
        <f t="shared" si="88"/>
        <v>0</v>
      </c>
      <c r="EY117" s="3">
        <f t="shared" si="88"/>
        <v>0</v>
      </c>
      <c r="EZ117" s="3">
        <f t="shared" si="88"/>
        <v>0</v>
      </c>
      <c r="FA117" s="3">
        <f t="shared" si="88"/>
        <v>0</v>
      </c>
      <c r="FB117" s="3">
        <f t="shared" si="88"/>
        <v>0</v>
      </c>
      <c r="FC117" s="3">
        <f t="shared" si="88"/>
        <v>0</v>
      </c>
      <c r="FD117" s="3">
        <f t="shared" si="88"/>
        <v>0</v>
      </c>
      <c r="FE117" s="3">
        <f t="shared" si="88"/>
        <v>0</v>
      </c>
      <c r="FF117" s="3">
        <f t="shared" si="88"/>
        <v>0</v>
      </c>
      <c r="FG117" s="3">
        <f t="shared" si="88"/>
        <v>0</v>
      </c>
      <c r="FH117" s="3">
        <f t="shared" si="88"/>
        <v>0</v>
      </c>
      <c r="FI117" s="3">
        <f t="shared" si="88"/>
        <v>0</v>
      </c>
      <c r="FJ117" s="3">
        <f t="shared" si="88"/>
        <v>0</v>
      </c>
      <c r="FK117" s="3">
        <f t="shared" si="88"/>
        <v>0</v>
      </c>
      <c r="FL117" s="3">
        <f t="shared" si="88"/>
        <v>0</v>
      </c>
      <c r="FM117" s="3">
        <f t="shared" si="88"/>
        <v>0</v>
      </c>
      <c r="FN117" s="3">
        <f t="shared" si="88"/>
        <v>0</v>
      </c>
      <c r="FO117" s="3">
        <f t="shared" si="88"/>
        <v>0</v>
      </c>
      <c r="FP117" s="3">
        <f t="shared" si="88"/>
        <v>0</v>
      </c>
      <c r="FQ117" s="3">
        <f t="shared" si="88"/>
        <v>0</v>
      </c>
      <c r="FR117" s="3">
        <f t="shared" si="88"/>
        <v>0</v>
      </c>
      <c r="FS117" s="3">
        <f t="shared" ref="FS117:GX117" si="89">FS133</f>
        <v>0</v>
      </c>
      <c r="FT117" s="3">
        <f t="shared" si="89"/>
        <v>0</v>
      </c>
      <c r="FU117" s="3">
        <f t="shared" si="89"/>
        <v>0</v>
      </c>
      <c r="FV117" s="3">
        <f t="shared" si="89"/>
        <v>0</v>
      </c>
      <c r="FW117" s="3">
        <f t="shared" si="89"/>
        <v>0</v>
      </c>
      <c r="FX117" s="3">
        <f t="shared" si="89"/>
        <v>0</v>
      </c>
      <c r="FY117" s="3">
        <f t="shared" si="89"/>
        <v>0</v>
      </c>
      <c r="FZ117" s="3">
        <f t="shared" si="89"/>
        <v>0</v>
      </c>
      <c r="GA117" s="3">
        <f t="shared" si="89"/>
        <v>0</v>
      </c>
      <c r="GB117" s="3">
        <f t="shared" si="89"/>
        <v>0</v>
      </c>
      <c r="GC117" s="3">
        <f t="shared" si="89"/>
        <v>0</v>
      </c>
      <c r="GD117" s="3">
        <f t="shared" si="89"/>
        <v>0</v>
      </c>
      <c r="GE117" s="3">
        <f t="shared" si="89"/>
        <v>0</v>
      </c>
      <c r="GF117" s="3">
        <f t="shared" si="89"/>
        <v>0</v>
      </c>
      <c r="GG117" s="3">
        <f t="shared" si="89"/>
        <v>0</v>
      </c>
      <c r="GH117" s="3">
        <f t="shared" si="89"/>
        <v>0</v>
      </c>
      <c r="GI117" s="3">
        <f t="shared" si="89"/>
        <v>0</v>
      </c>
      <c r="GJ117" s="3">
        <f t="shared" si="89"/>
        <v>0</v>
      </c>
      <c r="GK117" s="3">
        <f t="shared" si="89"/>
        <v>0</v>
      </c>
      <c r="GL117" s="3">
        <f t="shared" si="89"/>
        <v>0</v>
      </c>
      <c r="GM117" s="3">
        <f t="shared" si="89"/>
        <v>0</v>
      </c>
      <c r="GN117" s="3">
        <f t="shared" si="89"/>
        <v>0</v>
      </c>
      <c r="GO117" s="3">
        <f t="shared" si="89"/>
        <v>0</v>
      </c>
      <c r="GP117" s="3">
        <f t="shared" si="89"/>
        <v>0</v>
      </c>
      <c r="GQ117" s="3">
        <f t="shared" si="89"/>
        <v>0</v>
      </c>
      <c r="GR117" s="3">
        <f t="shared" si="89"/>
        <v>0</v>
      </c>
      <c r="GS117" s="3">
        <f t="shared" si="89"/>
        <v>0</v>
      </c>
      <c r="GT117" s="3">
        <f t="shared" si="89"/>
        <v>0</v>
      </c>
      <c r="GU117" s="3">
        <f t="shared" si="89"/>
        <v>0</v>
      </c>
      <c r="GV117" s="3">
        <f t="shared" si="89"/>
        <v>0</v>
      </c>
      <c r="GW117" s="3">
        <f t="shared" si="89"/>
        <v>0</v>
      </c>
      <c r="GX117" s="3">
        <f t="shared" si="89"/>
        <v>0</v>
      </c>
    </row>
    <row r="119" spans="1:245" x14ac:dyDescent="0.2">
      <c r="A119">
        <v>17</v>
      </c>
      <c r="B119">
        <v>1</v>
      </c>
      <c r="C119">
        <f>ROW(SmtRes!A52)</f>
        <v>52</v>
      </c>
      <c r="D119">
        <f>ROW(EtalonRes!A49)</f>
        <v>49</v>
      </c>
      <c r="E119" t="s">
        <v>150</v>
      </c>
      <c r="F119" t="s">
        <v>151</v>
      </c>
      <c r="G119" t="s">
        <v>152</v>
      </c>
      <c r="H119" t="s">
        <v>153</v>
      </c>
      <c r="I119">
        <f>ROUND(1/100,9)</f>
        <v>0.01</v>
      </c>
      <c r="J119">
        <v>0</v>
      </c>
      <c r="K119">
        <f>ROUND(1/100,9)</f>
        <v>0.01</v>
      </c>
      <c r="O119">
        <f t="shared" ref="O119:O131" si="90">ROUND(CP119,2)</f>
        <v>276.27999999999997</v>
      </c>
      <c r="P119">
        <f t="shared" ref="P119:P131" si="91">ROUND(CQ119*I119,2)</f>
        <v>0</v>
      </c>
      <c r="Q119">
        <f t="shared" ref="Q119:Q131" si="92">ROUND(CR119*I119,2)</f>
        <v>0</v>
      </c>
      <c r="R119">
        <f t="shared" ref="R119:R131" si="93">ROUND(CS119*I119,2)</f>
        <v>0</v>
      </c>
      <c r="S119">
        <f t="shared" ref="S119:S131" si="94">ROUND(CT119*I119,2)</f>
        <v>276.27999999999997</v>
      </c>
      <c r="T119">
        <f t="shared" ref="T119:T131" si="95">ROUND(CU119*I119,2)</f>
        <v>0</v>
      </c>
      <c r="U119">
        <f t="shared" ref="U119:U131" si="96">CV119*I119</f>
        <v>0.60799999999999998</v>
      </c>
      <c r="V119">
        <f t="shared" ref="V119:V131" si="97">CW119*I119</f>
        <v>0</v>
      </c>
      <c r="W119">
        <f t="shared" ref="W119:W131" si="98">ROUND(CX119*I119,2)</f>
        <v>0</v>
      </c>
      <c r="X119">
        <f t="shared" ref="X119:X131" si="99">ROUND(CY119,2)</f>
        <v>193.4</v>
      </c>
      <c r="Y119">
        <f t="shared" ref="Y119:Y131" si="100">ROUND(CZ119,2)</f>
        <v>27.63</v>
      </c>
      <c r="AA119">
        <v>75700856</v>
      </c>
      <c r="AB119">
        <f t="shared" ref="AB119:AB131" si="101">ROUND((AC119+AD119+AF119),6)</f>
        <v>27627.52</v>
      </c>
      <c r="AC119">
        <f>ROUND((ES119),6)</f>
        <v>0</v>
      </c>
      <c r="AD119">
        <f>ROUND((((ET119)-(EU119))+AE119),6)</f>
        <v>0</v>
      </c>
      <c r="AE119">
        <f>ROUND((EU119),6)</f>
        <v>0</v>
      </c>
      <c r="AF119">
        <f>ROUND((EV119),6)</f>
        <v>27627.52</v>
      </c>
      <c r="AG119">
        <f t="shared" ref="AG119:AG131" si="102">ROUND((AP119),6)</f>
        <v>0</v>
      </c>
      <c r="AH119">
        <f>(EW119)</f>
        <v>60.8</v>
      </c>
      <c r="AI119">
        <f>(EX119)</f>
        <v>0</v>
      </c>
      <c r="AJ119">
        <f t="shared" ref="AJ119:AJ131" si="103">(AS119)</f>
        <v>0</v>
      </c>
      <c r="AK119">
        <v>27627.52</v>
      </c>
      <c r="AL119">
        <v>0</v>
      </c>
      <c r="AM119">
        <v>0</v>
      </c>
      <c r="AN119">
        <v>0</v>
      </c>
      <c r="AO119">
        <v>27627.52</v>
      </c>
      <c r="AP119">
        <v>0</v>
      </c>
      <c r="AQ119">
        <v>60.8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154</v>
      </c>
      <c r="BM119">
        <v>0</v>
      </c>
      <c r="BN119">
        <v>75371441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ref="CP119:CP131" si="104">(P119+Q119+S119)</f>
        <v>276.27999999999997</v>
      </c>
      <c r="CQ119">
        <f t="shared" ref="CQ119:CQ131" si="105">(AC119*BC119*AW119)</f>
        <v>0</v>
      </c>
      <c r="CR119">
        <f>((((ET119)*BB119-(EU119)*BS119)+AE119*BS119)*AV119)</f>
        <v>0</v>
      </c>
      <c r="CS119">
        <f t="shared" ref="CS119:CS131" si="106">(AE119*BS119*AV119)</f>
        <v>0</v>
      </c>
      <c r="CT119">
        <f t="shared" ref="CT119:CT131" si="107">(AF119*BA119*AV119)</f>
        <v>27627.52</v>
      </c>
      <c r="CU119">
        <f t="shared" ref="CU119:CU131" si="108">AG119</f>
        <v>0</v>
      </c>
      <c r="CV119">
        <f t="shared" ref="CV119:CV131" si="109">(AH119*AV119)</f>
        <v>60.8</v>
      </c>
      <c r="CW119">
        <f t="shared" ref="CW119:CW131" si="110">AI119</f>
        <v>0</v>
      </c>
      <c r="CX119">
        <f t="shared" ref="CX119:CX131" si="111">AJ119</f>
        <v>0</v>
      </c>
      <c r="CY119">
        <f t="shared" ref="CY119:CY131" si="112">((S119*BZ119)/100)</f>
        <v>193.39599999999999</v>
      </c>
      <c r="CZ119">
        <f t="shared" ref="CZ119:CZ131" si="113">((S119*CA119)/100)</f>
        <v>27.627999999999997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153</v>
      </c>
      <c r="DW119" t="s">
        <v>153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75371444</v>
      </c>
      <c r="EF119">
        <v>1</v>
      </c>
      <c r="EG119" t="s">
        <v>22</v>
      </c>
      <c r="EH119">
        <v>0</v>
      </c>
      <c r="EI119" t="s">
        <v>3</v>
      </c>
      <c r="EJ119">
        <v>4</v>
      </c>
      <c r="EK119">
        <v>0</v>
      </c>
      <c r="EL119" t="s">
        <v>23</v>
      </c>
      <c r="EM119" t="s">
        <v>24</v>
      </c>
      <c r="EO119" t="s">
        <v>3</v>
      </c>
      <c r="EQ119">
        <v>0</v>
      </c>
      <c r="ER119">
        <v>27627.52</v>
      </c>
      <c r="ES119">
        <v>0</v>
      </c>
      <c r="ET119">
        <v>0</v>
      </c>
      <c r="EU119">
        <v>0</v>
      </c>
      <c r="EV119">
        <v>27627.52</v>
      </c>
      <c r="EW119">
        <v>60.8</v>
      </c>
      <c r="EX119">
        <v>0</v>
      </c>
      <c r="EY119">
        <v>0</v>
      </c>
      <c r="FQ119">
        <v>0</v>
      </c>
      <c r="FR119">
        <f t="shared" ref="FR119:FR131" si="114"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1450101547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 t="shared" ref="GL119:GL131" si="115">ROUND(IF(AND(BH119=3,BI119=3,FS119&lt;&gt;0),P119,0),2)</f>
        <v>0</v>
      </c>
      <c r="GM119">
        <f t="shared" ref="GM119:GM131" si="116">ROUND(O119+X119+Y119+GK119,2)+GX119</f>
        <v>497.31</v>
      </c>
      <c r="GN119">
        <f t="shared" ref="GN119:GN131" si="117">IF(OR(BI119=0,BI119=1),GM119-GX119,0)</f>
        <v>0</v>
      </c>
      <c r="GO119">
        <f t="shared" ref="GO119:GO131" si="118">IF(BI119=2,GM119-GX119,0)</f>
        <v>0</v>
      </c>
      <c r="GP119">
        <f t="shared" ref="GP119:GP131" si="119">IF(BI119=4,GM119-GX119,0)</f>
        <v>497.31</v>
      </c>
      <c r="GR119">
        <v>0</v>
      </c>
      <c r="GS119">
        <v>3</v>
      </c>
      <c r="GT119">
        <v>0</v>
      </c>
      <c r="GU119" t="s">
        <v>3</v>
      </c>
      <c r="GV119">
        <f t="shared" ref="GV119:GV131" si="120">ROUND((GT119),6)</f>
        <v>0</v>
      </c>
      <c r="GW119">
        <v>1</v>
      </c>
      <c r="GX119">
        <f t="shared" ref="GX119:GX131" si="121">ROUND(HC119*I119,2)</f>
        <v>0</v>
      </c>
      <c r="HA119">
        <v>0</v>
      </c>
      <c r="HB119">
        <v>0</v>
      </c>
      <c r="HC119">
        <f t="shared" ref="HC119:HC131" si="122"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C120">
        <f>ROW(SmtRes!A56)</f>
        <v>56</v>
      </c>
      <c r="D120">
        <f>ROW(EtalonRes!A53)</f>
        <v>53</v>
      </c>
      <c r="E120" t="s">
        <v>155</v>
      </c>
      <c r="F120" t="s">
        <v>156</v>
      </c>
      <c r="G120" t="s">
        <v>157</v>
      </c>
      <c r="H120" t="s">
        <v>158</v>
      </c>
      <c r="I120">
        <f>ROUND(1/100,9)</f>
        <v>0.01</v>
      </c>
      <c r="J120">
        <v>0</v>
      </c>
      <c r="K120">
        <f>ROUND(1/100,9)</f>
        <v>0.01</v>
      </c>
      <c r="O120">
        <f t="shared" si="90"/>
        <v>62.77</v>
      </c>
      <c r="P120">
        <f t="shared" si="91"/>
        <v>0</v>
      </c>
      <c r="Q120">
        <f t="shared" si="92"/>
        <v>0</v>
      </c>
      <c r="R120">
        <f t="shared" si="93"/>
        <v>0</v>
      </c>
      <c r="S120">
        <f t="shared" si="94"/>
        <v>62.77</v>
      </c>
      <c r="T120">
        <f t="shared" si="95"/>
        <v>0</v>
      </c>
      <c r="U120">
        <f t="shared" si="96"/>
        <v>0.15572000000000003</v>
      </c>
      <c r="V120">
        <f t="shared" si="97"/>
        <v>0</v>
      </c>
      <c r="W120">
        <f t="shared" si="98"/>
        <v>0</v>
      </c>
      <c r="X120">
        <f t="shared" si="99"/>
        <v>43.94</v>
      </c>
      <c r="Y120">
        <f t="shared" si="100"/>
        <v>6.28</v>
      </c>
      <c r="AA120">
        <v>75700856</v>
      </c>
      <c r="AB120">
        <f t="shared" si="101"/>
        <v>6277.0739999999996</v>
      </c>
      <c r="AC120">
        <f>ROUND(((ES120*0)),6)</f>
        <v>0</v>
      </c>
      <c r="AD120">
        <f>ROUND(((((ET120*0.2))-((EU120*0.2)))+AE120),6)</f>
        <v>0</v>
      </c>
      <c r="AE120">
        <f>ROUND(((EU120*0.2)),6)</f>
        <v>0</v>
      </c>
      <c r="AF120">
        <f>ROUND(((EV120*0.2)),6)</f>
        <v>6277.0739999999996</v>
      </c>
      <c r="AG120">
        <f t="shared" si="102"/>
        <v>0</v>
      </c>
      <c r="AH120">
        <f>((EW120*0.2))</f>
        <v>15.572000000000001</v>
      </c>
      <c r="AI120">
        <f>((EX120*0.2))</f>
        <v>0</v>
      </c>
      <c r="AJ120">
        <f t="shared" si="103"/>
        <v>0</v>
      </c>
      <c r="AK120">
        <v>46449.07</v>
      </c>
      <c r="AL120">
        <v>15063.7</v>
      </c>
      <c r="AM120">
        <v>0</v>
      </c>
      <c r="AN120">
        <v>0</v>
      </c>
      <c r="AO120">
        <v>31385.37</v>
      </c>
      <c r="AP120">
        <v>0</v>
      </c>
      <c r="AQ120">
        <v>77.86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159</v>
      </c>
      <c r="BM120">
        <v>0</v>
      </c>
      <c r="BN120">
        <v>75371441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491</v>
      </c>
      <c r="CO120">
        <v>0</v>
      </c>
      <c r="CP120">
        <f t="shared" si="104"/>
        <v>62.77</v>
      </c>
      <c r="CQ120">
        <f t="shared" si="105"/>
        <v>0</v>
      </c>
      <c r="CR120">
        <f>(((((ET120*0.2))*BB120-((EU120*0.2))*BS120)+AE120*BS120)*AV120)</f>
        <v>0</v>
      </c>
      <c r="CS120">
        <f t="shared" si="106"/>
        <v>0</v>
      </c>
      <c r="CT120">
        <f t="shared" si="107"/>
        <v>6277.0739999999996</v>
      </c>
      <c r="CU120">
        <f t="shared" si="108"/>
        <v>0</v>
      </c>
      <c r="CV120">
        <f t="shared" si="109"/>
        <v>15.572000000000001</v>
      </c>
      <c r="CW120">
        <f t="shared" si="110"/>
        <v>0</v>
      </c>
      <c r="CX120">
        <f t="shared" si="111"/>
        <v>0</v>
      </c>
      <c r="CY120">
        <f t="shared" si="112"/>
        <v>43.939000000000007</v>
      </c>
      <c r="CZ120">
        <f t="shared" si="113"/>
        <v>6.2770000000000001</v>
      </c>
      <c r="DC120" t="s">
        <v>3</v>
      </c>
      <c r="DD120" t="s">
        <v>160</v>
      </c>
      <c r="DE120" t="s">
        <v>161</v>
      </c>
      <c r="DF120" t="s">
        <v>161</v>
      </c>
      <c r="DG120" t="s">
        <v>161</v>
      </c>
      <c r="DH120" t="s">
        <v>3</v>
      </c>
      <c r="DI120" t="s">
        <v>161</v>
      </c>
      <c r="DJ120" t="s">
        <v>161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1010</v>
      </c>
      <c r="DV120" t="s">
        <v>158</v>
      </c>
      <c r="DW120" t="s">
        <v>158</v>
      </c>
      <c r="DX120">
        <v>100</v>
      </c>
      <c r="DZ120" t="s">
        <v>3</v>
      </c>
      <c r="EA120" t="s">
        <v>3</v>
      </c>
      <c r="EB120" t="s">
        <v>3</v>
      </c>
      <c r="EC120" t="s">
        <v>3</v>
      </c>
      <c r="EE120">
        <v>75371444</v>
      </c>
      <c r="EF120">
        <v>1</v>
      </c>
      <c r="EG120" t="s">
        <v>22</v>
      </c>
      <c r="EH120">
        <v>0</v>
      </c>
      <c r="EI120" t="s">
        <v>3</v>
      </c>
      <c r="EJ120">
        <v>4</v>
      </c>
      <c r="EK120">
        <v>0</v>
      </c>
      <c r="EL120" t="s">
        <v>23</v>
      </c>
      <c r="EM120" t="s">
        <v>24</v>
      </c>
      <c r="EO120" t="s">
        <v>162</v>
      </c>
      <c r="EQ120">
        <v>0</v>
      </c>
      <c r="ER120">
        <v>46449.07</v>
      </c>
      <c r="ES120">
        <v>15063.7</v>
      </c>
      <c r="ET120">
        <v>0</v>
      </c>
      <c r="EU120">
        <v>0</v>
      </c>
      <c r="EV120">
        <v>31385.37</v>
      </c>
      <c r="EW120">
        <v>77.86</v>
      </c>
      <c r="EX120">
        <v>0</v>
      </c>
      <c r="EY120">
        <v>0</v>
      </c>
      <c r="FQ120">
        <v>0</v>
      </c>
      <c r="FR120">
        <f t="shared" si="114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-497449691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15"/>
        <v>0</v>
      </c>
      <c r="GM120">
        <f t="shared" si="116"/>
        <v>112.99</v>
      </c>
      <c r="GN120">
        <f t="shared" si="117"/>
        <v>0</v>
      </c>
      <c r="GO120">
        <f t="shared" si="118"/>
        <v>0</v>
      </c>
      <c r="GP120">
        <f t="shared" si="119"/>
        <v>112.99</v>
      </c>
      <c r="GR120">
        <v>0</v>
      </c>
      <c r="GS120">
        <v>3</v>
      </c>
      <c r="GT120">
        <v>0</v>
      </c>
      <c r="GU120" t="s">
        <v>3</v>
      </c>
      <c r="GV120">
        <f t="shared" si="120"/>
        <v>0</v>
      </c>
      <c r="GW120">
        <v>1</v>
      </c>
      <c r="GX120">
        <f t="shared" si="121"/>
        <v>0</v>
      </c>
      <c r="HA120">
        <v>0</v>
      </c>
      <c r="HB120">
        <v>0</v>
      </c>
      <c r="HC120">
        <f t="shared" si="122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C121">
        <f>ROW(SmtRes!A71)</f>
        <v>71</v>
      </c>
      <c r="D121">
        <f>ROW(EtalonRes!A66)</f>
        <v>66</v>
      </c>
      <c r="E121" t="s">
        <v>163</v>
      </c>
      <c r="F121" t="s">
        <v>164</v>
      </c>
      <c r="G121" t="s">
        <v>165</v>
      </c>
      <c r="H121" t="s">
        <v>166</v>
      </c>
      <c r="I121">
        <v>1</v>
      </c>
      <c r="J121">
        <v>0</v>
      </c>
      <c r="K121">
        <v>1</v>
      </c>
      <c r="O121">
        <f t="shared" si="90"/>
        <v>9103.32</v>
      </c>
      <c r="P121">
        <f t="shared" si="91"/>
        <v>7914.99</v>
      </c>
      <c r="Q121">
        <f t="shared" si="92"/>
        <v>0.12</v>
      </c>
      <c r="R121">
        <f t="shared" si="93"/>
        <v>0.04</v>
      </c>
      <c r="S121">
        <f t="shared" si="94"/>
        <v>1188.21</v>
      </c>
      <c r="T121">
        <f t="shared" si="95"/>
        <v>0</v>
      </c>
      <c r="U121">
        <f t="shared" si="96"/>
        <v>2.2400000000000002</v>
      </c>
      <c r="V121">
        <f t="shared" si="97"/>
        <v>0</v>
      </c>
      <c r="W121">
        <f t="shared" si="98"/>
        <v>0</v>
      </c>
      <c r="X121">
        <f t="shared" si="99"/>
        <v>831.75</v>
      </c>
      <c r="Y121">
        <f t="shared" si="100"/>
        <v>118.82</v>
      </c>
      <c r="AA121">
        <v>75700856</v>
      </c>
      <c r="AB121">
        <f t="shared" si="101"/>
        <v>9103.32</v>
      </c>
      <c r="AC121">
        <f t="shared" ref="AC121:AC131" si="123">ROUND((ES121),6)</f>
        <v>7914.99</v>
      </c>
      <c r="AD121">
        <f t="shared" ref="AD121:AD131" si="124">ROUND((((ET121)-(EU121))+AE121),6)</f>
        <v>0.12</v>
      </c>
      <c r="AE121">
        <f t="shared" ref="AE121:AE131" si="125">ROUND((EU121),6)</f>
        <v>0.04</v>
      </c>
      <c r="AF121">
        <f t="shared" ref="AF121:AF131" si="126">ROUND((EV121),6)</f>
        <v>1188.21</v>
      </c>
      <c r="AG121">
        <f t="shared" si="102"/>
        <v>0</v>
      </c>
      <c r="AH121">
        <f t="shared" ref="AH121:AH131" si="127">(EW121)</f>
        <v>2.2400000000000002</v>
      </c>
      <c r="AI121">
        <f t="shared" ref="AI121:AI131" si="128">(EX121)</f>
        <v>0</v>
      </c>
      <c r="AJ121">
        <f t="shared" si="103"/>
        <v>0</v>
      </c>
      <c r="AK121">
        <v>9103.32</v>
      </c>
      <c r="AL121">
        <v>7914.99</v>
      </c>
      <c r="AM121">
        <v>0.12</v>
      </c>
      <c r="AN121">
        <v>0.04</v>
      </c>
      <c r="AO121">
        <v>1188.21</v>
      </c>
      <c r="AP121">
        <v>0</v>
      </c>
      <c r="AQ121">
        <v>2.2400000000000002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167</v>
      </c>
      <c r="BM121">
        <v>0</v>
      </c>
      <c r="BN121">
        <v>75371441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04"/>
        <v>9103.32</v>
      </c>
      <c r="CQ121">
        <f t="shared" si="105"/>
        <v>7914.99</v>
      </c>
      <c r="CR121">
        <f t="shared" ref="CR121:CR131" si="129">((((ET121)*BB121-(EU121)*BS121)+AE121*BS121)*AV121)</f>
        <v>0.12</v>
      </c>
      <c r="CS121">
        <f t="shared" si="106"/>
        <v>0.04</v>
      </c>
      <c r="CT121">
        <f t="shared" si="107"/>
        <v>1188.21</v>
      </c>
      <c r="CU121">
        <f t="shared" si="108"/>
        <v>0</v>
      </c>
      <c r="CV121">
        <f t="shared" si="109"/>
        <v>2.2400000000000002</v>
      </c>
      <c r="CW121">
        <f t="shared" si="110"/>
        <v>0</v>
      </c>
      <c r="CX121">
        <f t="shared" si="111"/>
        <v>0</v>
      </c>
      <c r="CY121">
        <f t="shared" si="112"/>
        <v>831.74699999999996</v>
      </c>
      <c r="CZ121">
        <f t="shared" si="113"/>
        <v>118.821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166</v>
      </c>
      <c r="DW121" t="s">
        <v>166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75371444</v>
      </c>
      <c r="EF121">
        <v>1</v>
      </c>
      <c r="EG121" t="s">
        <v>22</v>
      </c>
      <c r="EH121">
        <v>0</v>
      </c>
      <c r="EI121" t="s">
        <v>3</v>
      </c>
      <c r="EJ121">
        <v>4</v>
      </c>
      <c r="EK121">
        <v>0</v>
      </c>
      <c r="EL121" t="s">
        <v>23</v>
      </c>
      <c r="EM121" t="s">
        <v>24</v>
      </c>
      <c r="EO121" t="s">
        <v>3</v>
      </c>
      <c r="EQ121">
        <v>0</v>
      </c>
      <c r="ER121">
        <v>9103.32</v>
      </c>
      <c r="ES121">
        <v>7914.99</v>
      </c>
      <c r="ET121">
        <v>0.12</v>
      </c>
      <c r="EU121">
        <v>0.04</v>
      </c>
      <c r="EV121">
        <v>1188.21</v>
      </c>
      <c r="EW121">
        <v>2.2400000000000002</v>
      </c>
      <c r="EX121">
        <v>0</v>
      </c>
      <c r="EY121">
        <v>0</v>
      </c>
      <c r="FQ121">
        <v>0</v>
      </c>
      <c r="FR121">
        <f t="shared" si="114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-1808202667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0.04</v>
      </c>
      <c r="GL121">
        <f t="shared" si="115"/>
        <v>0</v>
      </c>
      <c r="GM121">
        <f t="shared" si="116"/>
        <v>10053.93</v>
      </c>
      <c r="GN121">
        <f t="shared" si="117"/>
        <v>0</v>
      </c>
      <c r="GO121">
        <f t="shared" si="118"/>
        <v>0</v>
      </c>
      <c r="GP121">
        <f t="shared" si="119"/>
        <v>10053.93</v>
      </c>
      <c r="GR121">
        <v>0</v>
      </c>
      <c r="GS121">
        <v>3</v>
      </c>
      <c r="GT121">
        <v>0</v>
      </c>
      <c r="GU121" t="s">
        <v>3</v>
      </c>
      <c r="GV121">
        <f t="shared" si="120"/>
        <v>0</v>
      </c>
      <c r="GW121">
        <v>1</v>
      </c>
      <c r="GX121">
        <f t="shared" si="121"/>
        <v>0</v>
      </c>
      <c r="HA121">
        <v>0</v>
      </c>
      <c r="HB121">
        <v>0</v>
      </c>
      <c r="HC121">
        <f t="shared" si="122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18</v>
      </c>
      <c r="B122">
        <v>1</v>
      </c>
      <c r="C122">
        <v>69</v>
      </c>
      <c r="E122" t="s">
        <v>168</v>
      </c>
      <c r="F122" t="s">
        <v>169</v>
      </c>
      <c r="G122" t="s">
        <v>170</v>
      </c>
      <c r="H122" t="s">
        <v>171</v>
      </c>
      <c r="I122">
        <f>I121*J122</f>
        <v>1</v>
      </c>
      <c r="J122">
        <v>1</v>
      </c>
      <c r="K122">
        <v>1</v>
      </c>
      <c r="O122">
        <f t="shared" si="90"/>
        <v>5025.26</v>
      </c>
      <c r="P122">
        <f t="shared" si="91"/>
        <v>5025.26</v>
      </c>
      <c r="Q122">
        <f t="shared" si="92"/>
        <v>0</v>
      </c>
      <c r="R122">
        <f t="shared" si="93"/>
        <v>0</v>
      </c>
      <c r="S122">
        <f t="shared" si="94"/>
        <v>0</v>
      </c>
      <c r="T122">
        <f t="shared" si="95"/>
        <v>0</v>
      </c>
      <c r="U122">
        <f t="shared" si="96"/>
        <v>0</v>
      </c>
      <c r="V122">
        <f t="shared" si="97"/>
        <v>0</v>
      </c>
      <c r="W122">
        <f t="shared" si="98"/>
        <v>0</v>
      </c>
      <c r="X122">
        <f t="shared" si="99"/>
        <v>0</v>
      </c>
      <c r="Y122">
        <f t="shared" si="100"/>
        <v>0</v>
      </c>
      <c r="AA122">
        <v>75700856</v>
      </c>
      <c r="AB122">
        <f t="shared" si="101"/>
        <v>5025.26</v>
      </c>
      <c r="AC122">
        <f t="shared" si="123"/>
        <v>5025.26</v>
      </c>
      <c r="AD122">
        <f t="shared" si="124"/>
        <v>0</v>
      </c>
      <c r="AE122">
        <f t="shared" si="125"/>
        <v>0</v>
      </c>
      <c r="AF122">
        <f t="shared" si="126"/>
        <v>0</v>
      </c>
      <c r="AG122">
        <f t="shared" si="102"/>
        <v>0</v>
      </c>
      <c r="AH122">
        <f t="shared" si="127"/>
        <v>0</v>
      </c>
      <c r="AI122">
        <f t="shared" si="128"/>
        <v>0</v>
      </c>
      <c r="AJ122">
        <f t="shared" si="103"/>
        <v>0</v>
      </c>
      <c r="AK122">
        <v>5025.26</v>
      </c>
      <c r="AL122">
        <v>5025.26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4</v>
      </c>
      <c r="BJ122" t="s">
        <v>172</v>
      </c>
      <c r="BM122">
        <v>0</v>
      </c>
      <c r="BN122">
        <v>75371441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04"/>
        <v>5025.26</v>
      </c>
      <c r="CQ122">
        <f t="shared" si="105"/>
        <v>5025.26</v>
      </c>
      <c r="CR122">
        <f t="shared" si="129"/>
        <v>0</v>
      </c>
      <c r="CS122">
        <f t="shared" si="106"/>
        <v>0</v>
      </c>
      <c r="CT122">
        <f t="shared" si="107"/>
        <v>0</v>
      </c>
      <c r="CU122">
        <f t="shared" si="108"/>
        <v>0</v>
      </c>
      <c r="CV122">
        <f t="shared" si="109"/>
        <v>0</v>
      </c>
      <c r="CW122">
        <f t="shared" si="110"/>
        <v>0</v>
      </c>
      <c r="CX122">
        <f t="shared" si="111"/>
        <v>0</v>
      </c>
      <c r="CY122">
        <f t="shared" si="112"/>
        <v>0</v>
      </c>
      <c r="CZ122">
        <f t="shared" si="113"/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1010</v>
      </c>
      <c r="DV122" t="s">
        <v>171</v>
      </c>
      <c r="DW122" t="s">
        <v>171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75371444</v>
      </c>
      <c r="EF122">
        <v>1</v>
      </c>
      <c r="EG122" t="s">
        <v>22</v>
      </c>
      <c r="EH122">
        <v>0</v>
      </c>
      <c r="EI122" t="s">
        <v>3</v>
      </c>
      <c r="EJ122">
        <v>4</v>
      </c>
      <c r="EK122">
        <v>0</v>
      </c>
      <c r="EL122" t="s">
        <v>23</v>
      </c>
      <c r="EM122" t="s">
        <v>24</v>
      </c>
      <c r="EO122" t="s">
        <v>3</v>
      </c>
      <c r="EQ122">
        <v>0</v>
      </c>
      <c r="ER122">
        <v>5025.26</v>
      </c>
      <c r="ES122">
        <v>5025.26</v>
      </c>
      <c r="ET122">
        <v>0</v>
      </c>
      <c r="EU122">
        <v>0</v>
      </c>
      <c r="EV122">
        <v>0</v>
      </c>
      <c r="EW122">
        <v>0</v>
      </c>
      <c r="EX122">
        <v>0</v>
      </c>
      <c r="FQ122">
        <v>0</v>
      </c>
      <c r="FR122">
        <f t="shared" si="114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-125063506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</v>
      </c>
      <c r="GL122">
        <f t="shared" si="115"/>
        <v>0</v>
      </c>
      <c r="GM122">
        <f t="shared" si="116"/>
        <v>5025.26</v>
      </c>
      <c r="GN122">
        <f t="shared" si="117"/>
        <v>0</v>
      </c>
      <c r="GO122">
        <f t="shared" si="118"/>
        <v>0</v>
      </c>
      <c r="GP122">
        <f t="shared" si="119"/>
        <v>5025.26</v>
      </c>
      <c r="GR122">
        <v>0</v>
      </c>
      <c r="GS122">
        <v>3</v>
      </c>
      <c r="GT122">
        <v>0</v>
      </c>
      <c r="GU122" t="s">
        <v>3</v>
      </c>
      <c r="GV122">
        <f t="shared" si="120"/>
        <v>0</v>
      </c>
      <c r="GW122">
        <v>1</v>
      </c>
      <c r="GX122">
        <f t="shared" si="121"/>
        <v>0</v>
      </c>
      <c r="HA122">
        <v>0</v>
      </c>
      <c r="HB122">
        <v>0</v>
      </c>
      <c r="HC122">
        <f t="shared" si="122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18</v>
      </c>
      <c r="B123">
        <v>1</v>
      </c>
      <c r="C123">
        <v>71</v>
      </c>
      <c r="E123" t="s">
        <v>173</v>
      </c>
      <c r="F123" t="s">
        <v>174</v>
      </c>
      <c r="G123" t="s">
        <v>175</v>
      </c>
      <c r="H123" t="s">
        <v>171</v>
      </c>
      <c r="I123">
        <f>I121*J123</f>
        <v>1</v>
      </c>
      <c r="J123">
        <v>1</v>
      </c>
      <c r="K123">
        <v>1</v>
      </c>
      <c r="O123">
        <f t="shared" si="90"/>
        <v>37.5</v>
      </c>
      <c r="P123">
        <f t="shared" si="91"/>
        <v>37.5</v>
      </c>
      <c r="Q123">
        <f t="shared" si="92"/>
        <v>0</v>
      </c>
      <c r="R123">
        <f t="shared" si="93"/>
        <v>0</v>
      </c>
      <c r="S123">
        <f t="shared" si="94"/>
        <v>0</v>
      </c>
      <c r="T123">
        <f t="shared" si="95"/>
        <v>0</v>
      </c>
      <c r="U123">
        <f t="shared" si="96"/>
        <v>0</v>
      </c>
      <c r="V123">
        <f t="shared" si="97"/>
        <v>0</v>
      </c>
      <c r="W123">
        <f t="shared" si="98"/>
        <v>0</v>
      </c>
      <c r="X123">
        <f t="shared" si="99"/>
        <v>0</v>
      </c>
      <c r="Y123">
        <f t="shared" si="100"/>
        <v>0</v>
      </c>
      <c r="AA123">
        <v>75700856</v>
      </c>
      <c r="AB123">
        <f t="shared" si="101"/>
        <v>37.5</v>
      </c>
      <c r="AC123">
        <f t="shared" si="123"/>
        <v>37.5</v>
      </c>
      <c r="AD123">
        <f t="shared" si="124"/>
        <v>0</v>
      </c>
      <c r="AE123">
        <f t="shared" si="125"/>
        <v>0</v>
      </c>
      <c r="AF123">
        <f t="shared" si="126"/>
        <v>0</v>
      </c>
      <c r="AG123">
        <f t="shared" si="102"/>
        <v>0</v>
      </c>
      <c r="AH123">
        <f t="shared" si="127"/>
        <v>0</v>
      </c>
      <c r="AI123">
        <f t="shared" si="128"/>
        <v>0</v>
      </c>
      <c r="AJ123">
        <f t="shared" si="103"/>
        <v>0</v>
      </c>
      <c r="AK123">
        <v>37.5</v>
      </c>
      <c r="AL123">
        <v>37.5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4</v>
      </c>
      <c r="BJ123" t="s">
        <v>3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04"/>
        <v>37.5</v>
      </c>
      <c r="CQ123">
        <f t="shared" si="105"/>
        <v>37.5</v>
      </c>
      <c r="CR123">
        <f t="shared" si="129"/>
        <v>0</v>
      </c>
      <c r="CS123">
        <f t="shared" si="106"/>
        <v>0</v>
      </c>
      <c r="CT123">
        <f t="shared" si="107"/>
        <v>0</v>
      </c>
      <c r="CU123">
        <f t="shared" si="108"/>
        <v>0</v>
      </c>
      <c r="CV123">
        <f t="shared" si="109"/>
        <v>0</v>
      </c>
      <c r="CW123">
        <f t="shared" si="110"/>
        <v>0</v>
      </c>
      <c r="CX123">
        <f t="shared" si="111"/>
        <v>0</v>
      </c>
      <c r="CY123">
        <f t="shared" si="112"/>
        <v>0</v>
      </c>
      <c r="CZ123">
        <f t="shared" si="113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1010</v>
      </c>
      <c r="DV123" t="s">
        <v>171</v>
      </c>
      <c r="DW123" t="s">
        <v>171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75371444</v>
      </c>
      <c r="EF123">
        <v>1</v>
      </c>
      <c r="EG123" t="s">
        <v>22</v>
      </c>
      <c r="EH123">
        <v>0</v>
      </c>
      <c r="EI123" t="s">
        <v>3</v>
      </c>
      <c r="EJ123">
        <v>4</v>
      </c>
      <c r="EK123">
        <v>0</v>
      </c>
      <c r="EL123" t="s">
        <v>23</v>
      </c>
      <c r="EM123" t="s">
        <v>24</v>
      </c>
      <c r="EO123" t="s">
        <v>3</v>
      </c>
      <c r="EQ123">
        <v>0</v>
      </c>
      <c r="ER123">
        <v>37.5</v>
      </c>
      <c r="ES123">
        <v>37.5</v>
      </c>
      <c r="ET123">
        <v>0</v>
      </c>
      <c r="EU123">
        <v>0</v>
      </c>
      <c r="EV123">
        <v>0</v>
      </c>
      <c r="EW123">
        <v>0</v>
      </c>
      <c r="EX123">
        <v>0</v>
      </c>
      <c r="EZ123">
        <v>5</v>
      </c>
      <c r="FC123">
        <v>1</v>
      </c>
      <c r="FD123">
        <v>18</v>
      </c>
      <c r="FF123">
        <v>45</v>
      </c>
      <c r="FQ123">
        <v>0</v>
      </c>
      <c r="FR123">
        <f t="shared" si="114"/>
        <v>0</v>
      </c>
      <c r="FS123">
        <v>0</v>
      </c>
      <c r="FX123">
        <v>70</v>
      </c>
      <c r="FY123">
        <v>10</v>
      </c>
      <c r="GA123" t="s">
        <v>176</v>
      </c>
      <c r="GD123">
        <v>0</v>
      </c>
      <c r="GF123">
        <v>1407851726</v>
      </c>
      <c r="GG123">
        <v>2</v>
      </c>
      <c r="GH123">
        <v>3</v>
      </c>
      <c r="GI123">
        <v>-2</v>
      </c>
      <c r="GJ123">
        <v>0</v>
      </c>
      <c r="GK123">
        <f>ROUND(R123*(R12)/100,2)</f>
        <v>0</v>
      </c>
      <c r="GL123">
        <f t="shared" si="115"/>
        <v>0</v>
      </c>
      <c r="GM123">
        <f t="shared" si="116"/>
        <v>37.5</v>
      </c>
      <c r="GN123">
        <f t="shared" si="117"/>
        <v>0</v>
      </c>
      <c r="GO123">
        <f t="shared" si="118"/>
        <v>0</v>
      </c>
      <c r="GP123">
        <f t="shared" si="119"/>
        <v>37.5</v>
      </c>
      <c r="GR123">
        <v>1</v>
      </c>
      <c r="GS123">
        <v>1</v>
      </c>
      <c r="GT123">
        <v>0</v>
      </c>
      <c r="GU123" t="s">
        <v>3</v>
      </c>
      <c r="GV123">
        <f t="shared" si="120"/>
        <v>0</v>
      </c>
      <c r="GW123">
        <v>1</v>
      </c>
      <c r="GX123">
        <f t="shared" si="121"/>
        <v>0</v>
      </c>
      <c r="HA123">
        <v>0</v>
      </c>
      <c r="HB123">
        <v>0</v>
      </c>
      <c r="HC123">
        <f t="shared" si="122"/>
        <v>0</v>
      </c>
      <c r="HE123" t="s">
        <v>51</v>
      </c>
      <c r="HF123" t="s">
        <v>51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18</v>
      </c>
      <c r="B124">
        <v>1</v>
      </c>
      <c r="C124">
        <v>70</v>
      </c>
      <c r="E124" t="s">
        <v>177</v>
      </c>
      <c r="F124" t="s">
        <v>169</v>
      </c>
      <c r="G124" t="s">
        <v>170</v>
      </c>
      <c r="H124" t="s">
        <v>171</v>
      </c>
      <c r="I124">
        <f>I121*J124</f>
        <v>-1</v>
      </c>
      <c r="J124">
        <v>-1</v>
      </c>
      <c r="K124">
        <v>-1</v>
      </c>
      <c r="O124">
        <f t="shared" si="90"/>
        <v>-5025.26</v>
      </c>
      <c r="P124">
        <f t="shared" si="91"/>
        <v>-5025.26</v>
      </c>
      <c r="Q124">
        <f t="shared" si="92"/>
        <v>0</v>
      </c>
      <c r="R124">
        <f t="shared" si="93"/>
        <v>0</v>
      </c>
      <c r="S124">
        <f t="shared" si="94"/>
        <v>0</v>
      </c>
      <c r="T124">
        <f t="shared" si="95"/>
        <v>0</v>
      </c>
      <c r="U124">
        <f t="shared" si="96"/>
        <v>0</v>
      </c>
      <c r="V124">
        <f t="shared" si="97"/>
        <v>0</v>
      </c>
      <c r="W124">
        <f t="shared" si="98"/>
        <v>0</v>
      </c>
      <c r="X124">
        <f t="shared" si="99"/>
        <v>0</v>
      </c>
      <c r="Y124">
        <f t="shared" si="100"/>
        <v>0</v>
      </c>
      <c r="AA124">
        <v>75700856</v>
      </c>
      <c r="AB124">
        <f t="shared" si="101"/>
        <v>5025.26</v>
      </c>
      <c r="AC124">
        <f t="shared" si="123"/>
        <v>5025.26</v>
      </c>
      <c r="AD124">
        <f t="shared" si="124"/>
        <v>0</v>
      </c>
      <c r="AE124">
        <f t="shared" si="125"/>
        <v>0</v>
      </c>
      <c r="AF124">
        <f t="shared" si="126"/>
        <v>0</v>
      </c>
      <c r="AG124">
        <f t="shared" si="102"/>
        <v>0</v>
      </c>
      <c r="AH124">
        <f t="shared" si="127"/>
        <v>0</v>
      </c>
      <c r="AI124">
        <f t="shared" si="128"/>
        <v>0</v>
      </c>
      <c r="AJ124">
        <f t="shared" si="103"/>
        <v>0</v>
      </c>
      <c r="AK124">
        <v>5025.26</v>
      </c>
      <c r="AL124">
        <v>5025.26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4</v>
      </c>
      <c r="BJ124" t="s">
        <v>172</v>
      </c>
      <c r="BM124">
        <v>0</v>
      </c>
      <c r="BN124">
        <v>75371441</v>
      </c>
      <c r="BO124" t="s">
        <v>3</v>
      </c>
      <c r="BP124">
        <v>0</v>
      </c>
      <c r="BQ124">
        <v>1</v>
      </c>
      <c r="BR124">
        <v>1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04"/>
        <v>-5025.26</v>
      </c>
      <c r="CQ124">
        <f t="shared" si="105"/>
        <v>5025.26</v>
      </c>
      <c r="CR124">
        <f t="shared" si="129"/>
        <v>0</v>
      </c>
      <c r="CS124">
        <f t="shared" si="106"/>
        <v>0</v>
      </c>
      <c r="CT124">
        <f t="shared" si="107"/>
        <v>0</v>
      </c>
      <c r="CU124">
        <f t="shared" si="108"/>
        <v>0</v>
      </c>
      <c r="CV124">
        <f t="shared" si="109"/>
        <v>0</v>
      </c>
      <c r="CW124">
        <f t="shared" si="110"/>
        <v>0</v>
      </c>
      <c r="CX124">
        <f t="shared" si="111"/>
        <v>0</v>
      </c>
      <c r="CY124">
        <f t="shared" si="112"/>
        <v>0</v>
      </c>
      <c r="CZ124">
        <f t="shared" si="113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1010</v>
      </c>
      <c r="DV124" t="s">
        <v>171</v>
      </c>
      <c r="DW124" t="s">
        <v>171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75371444</v>
      </c>
      <c r="EF124">
        <v>1</v>
      </c>
      <c r="EG124" t="s">
        <v>22</v>
      </c>
      <c r="EH124">
        <v>0</v>
      </c>
      <c r="EI124" t="s">
        <v>3</v>
      </c>
      <c r="EJ124">
        <v>4</v>
      </c>
      <c r="EK124">
        <v>0</v>
      </c>
      <c r="EL124" t="s">
        <v>23</v>
      </c>
      <c r="EM124" t="s">
        <v>24</v>
      </c>
      <c r="EO124" t="s">
        <v>3</v>
      </c>
      <c r="EQ124">
        <v>0</v>
      </c>
      <c r="ER124">
        <v>5025.26</v>
      </c>
      <c r="ES124">
        <v>5025.26</v>
      </c>
      <c r="ET124">
        <v>0</v>
      </c>
      <c r="EU124">
        <v>0</v>
      </c>
      <c r="EV124">
        <v>0</v>
      </c>
      <c r="EW124">
        <v>0</v>
      </c>
      <c r="EX124">
        <v>0</v>
      </c>
      <c r="FQ124">
        <v>0</v>
      </c>
      <c r="FR124">
        <f t="shared" si="114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-125063506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115"/>
        <v>0</v>
      </c>
      <c r="GM124">
        <f t="shared" si="116"/>
        <v>-5025.26</v>
      </c>
      <c r="GN124">
        <f t="shared" si="117"/>
        <v>0</v>
      </c>
      <c r="GO124">
        <f t="shared" si="118"/>
        <v>0</v>
      </c>
      <c r="GP124">
        <f t="shared" si="119"/>
        <v>-5025.26</v>
      </c>
      <c r="GR124">
        <v>0</v>
      </c>
      <c r="GS124">
        <v>3</v>
      </c>
      <c r="GT124">
        <v>0</v>
      </c>
      <c r="GU124" t="s">
        <v>3</v>
      </c>
      <c r="GV124">
        <f t="shared" si="120"/>
        <v>0</v>
      </c>
      <c r="GW124">
        <v>1</v>
      </c>
      <c r="GX124">
        <f t="shared" si="121"/>
        <v>0</v>
      </c>
      <c r="HA124">
        <v>0</v>
      </c>
      <c r="HB124">
        <v>0</v>
      </c>
      <c r="HC124">
        <f t="shared" si="122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18</v>
      </c>
      <c r="B125">
        <v>1</v>
      </c>
      <c r="C125">
        <v>66</v>
      </c>
      <c r="E125" t="s">
        <v>178</v>
      </c>
      <c r="F125" t="s">
        <v>179</v>
      </c>
      <c r="G125" t="s">
        <v>180</v>
      </c>
      <c r="H125" t="s">
        <v>171</v>
      </c>
      <c r="I125">
        <f>I121*J125</f>
        <v>-1</v>
      </c>
      <c r="J125">
        <v>-1</v>
      </c>
      <c r="K125">
        <v>-1</v>
      </c>
      <c r="O125">
        <f t="shared" si="90"/>
        <v>-1624.55</v>
      </c>
      <c r="P125">
        <f t="shared" si="91"/>
        <v>-1624.55</v>
      </c>
      <c r="Q125">
        <f t="shared" si="92"/>
        <v>0</v>
      </c>
      <c r="R125">
        <f t="shared" si="93"/>
        <v>0</v>
      </c>
      <c r="S125">
        <f t="shared" si="94"/>
        <v>0</v>
      </c>
      <c r="T125">
        <f t="shared" si="95"/>
        <v>0</v>
      </c>
      <c r="U125">
        <f t="shared" si="96"/>
        <v>0</v>
      </c>
      <c r="V125">
        <f t="shared" si="97"/>
        <v>0</v>
      </c>
      <c r="W125">
        <f t="shared" si="98"/>
        <v>0</v>
      </c>
      <c r="X125">
        <f t="shared" si="99"/>
        <v>0</v>
      </c>
      <c r="Y125">
        <f t="shared" si="100"/>
        <v>0</v>
      </c>
      <c r="AA125">
        <v>75700856</v>
      </c>
      <c r="AB125">
        <f t="shared" si="101"/>
        <v>1624.55</v>
      </c>
      <c r="AC125">
        <f t="shared" si="123"/>
        <v>1624.55</v>
      </c>
      <c r="AD125">
        <f t="shared" si="124"/>
        <v>0</v>
      </c>
      <c r="AE125">
        <f t="shared" si="125"/>
        <v>0</v>
      </c>
      <c r="AF125">
        <f t="shared" si="126"/>
        <v>0</v>
      </c>
      <c r="AG125">
        <f t="shared" si="102"/>
        <v>0</v>
      </c>
      <c r="AH125">
        <f t="shared" si="127"/>
        <v>0</v>
      </c>
      <c r="AI125">
        <f t="shared" si="128"/>
        <v>0</v>
      </c>
      <c r="AJ125">
        <f t="shared" si="103"/>
        <v>0</v>
      </c>
      <c r="AK125">
        <v>1624.55</v>
      </c>
      <c r="AL125">
        <v>1624.55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4</v>
      </c>
      <c r="BJ125" t="s">
        <v>181</v>
      </c>
      <c r="BM125">
        <v>0</v>
      </c>
      <c r="BN125">
        <v>75371441</v>
      </c>
      <c r="BO125" t="s">
        <v>3</v>
      </c>
      <c r="BP125">
        <v>0</v>
      </c>
      <c r="BQ125">
        <v>1</v>
      </c>
      <c r="BR125">
        <v>1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04"/>
        <v>-1624.55</v>
      </c>
      <c r="CQ125">
        <f t="shared" si="105"/>
        <v>1624.55</v>
      </c>
      <c r="CR125">
        <f t="shared" si="129"/>
        <v>0</v>
      </c>
      <c r="CS125">
        <f t="shared" si="106"/>
        <v>0</v>
      </c>
      <c r="CT125">
        <f t="shared" si="107"/>
        <v>0</v>
      </c>
      <c r="CU125">
        <f t="shared" si="108"/>
        <v>0</v>
      </c>
      <c r="CV125">
        <f t="shared" si="109"/>
        <v>0</v>
      </c>
      <c r="CW125">
        <f t="shared" si="110"/>
        <v>0</v>
      </c>
      <c r="CX125">
        <f t="shared" si="111"/>
        <v>0</v>
      </c>
      <c r="CY125">
        <f t="shared" si="112"/>
        <v>0</v>
      </c>
      <c r="CZ125">
        <f t="shared" si="113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171</v>
      </c>
      <c r="DW125" t="s">
        <v>171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75371444</v>
      </c>
      <c r="EF125">
        <v>1</v>
      </c>
      <c r="EG125" t="s">
        <v>22</v>
      </c>
      <c r="EH125">
        <v>0</v>
      </c>
      <c r="EI125" t="s">
        <v>3</v>
      </c>
      <c r="EJ125">
        <v>4</v>
      </c>
      <c r="EK125">
        <v>0</v>
      </c>
      <c r="EL125" t="s">
        <v>23</v>
      </c>
      <c r="EM125" t="s">
        <v>24</v>
      </c>
      <c r="EO125" t="s">
        <v>3</v>
      </c>
      <c r="EQ125">
        <v>0</v>
      </c>
      <c r="ER125">
        <v>1624.55</v>
      </c>
      <c r="ES125">
        <v>1624.55</v>
      </c>
      <c r="ET125">
        <v>0</v>
      </c>
      <c r="EU125">
        <v>0</v>
      </c>
      <c r="EV125">
        <v>0</v>
      </c>
      <c r="EW125">
        <v>0</v>
      </c>
      <c r="EX125">
        <v>0</v>
      </c>
      <c r="FQ125">
        <v>0</v>
      </c>
      <c r="FR125">
        <f t="shared" si="114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-2016625611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115"/>
        <v>0</v>
      </c>
      <c r="GM125">
        <f t="shared" si="116"/>
        <v>-1624.55</v>
      </c>
      <c r="GN125">
        <f t="shared" si="117"/>
        <v>0</v>
      </c>
      <c r="GO125">
        <f t="shared" si="118"/>
        <v>0</v>
      </c>
      <c r="GP125">
        <f t="shared" si="119"/>
        <v>-1624.55</v>
      </c>
      <c r="GR125">
        <v>0</v>
      </c>
      <c r="GS125">
        <v>3</v>
      </c>
      <c r="GT125">
        <v>0</v>
      </c>
      <c r="GU125" t="s">
        <v>3</v>
      </c>
      <c r="GV125">
        <f t="shared" si="120"/>
        <v>0</v>
      </c>
      <c r="GW125">
        <v>1</v>
      </c>
      <c r="GX125">
        <f t="shared" si="121"/>
        <v>0</v>
      </c>
      <c r="HA125">
        <v>0</v>
      </c>
      <c r="HB125">
        <v>0</v>
      </c>
      <c r="HC125">
        <f t="shared" si="122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ROW(SmtRes!A76)</f>
        <v>76</v>
      </c>
      <c r="D126">
        <f>ROW(EtalonRes!A70)</f>
        <v>70</v>
      </c>
      <c r="E126" t="s">
        <v>182</v>
      </c>
      <c r="F126" t="s">
        <v>156</v>
      </c>
      <c r="G126" t="s">
        <v>183</v>
      </c>
      <c r="H126" t="s">
        <v>158</v>
      </c>
      <c r="I126">
        <f>ROUND(1/100,9)</f>
        <v>0.01</v>
      </c>
      <c r="J126">
        <v>0</v>
      </c>
      <c r="K126">
        <f>ROUND(1/100,9)</f>
        <v>0.01</v>
      </c>
      <c r="O126">
        <f t="shared" si="90"/>
        <v>464.49</v>
      </c>
      <c r="P126">
        <f t="shared" si="91"/>
        <v>150.63999999999999</v>
      </c>
      <c r="Q126">
        <f t="shared" si="92"/>
        <v>0</v>
      </c>
      <c r="R126">
        <f t="shared" si="93"/>
        <v>0</v>
      </c>
      <c r="S126">
        <f t="shared" si="94"/>
        <v>313.85000000000002</v>
      </c>
      <c r="T126">
        <f t="shared" si="95"/>
        <v>0</v>
      </c>
      <c r="U126">
        <f t="shared" si="96"/>
        <v>0.77859999999999996</v>
      </c>
      <c r="V126">
        <f t="shared" si="97"/>
        <v>0</v>
      </c>
      <c r="W126">
        <f t="shared" si="98"/>
        <v>0</v>
      </c>
      <c r="X126">
        <f t="shared" si="99"/>
        <v>219.7</v>
      </c>
      <c r="Y126">
        <f t="shared" si="100"/>
        <v>31.39</v>
      </c>
      <c r="AA126">
        <v>75700856</v>
      </c>
      <c r="AB126">
        <f t="shared" si="101"/>
        <v>46449.07</v>
      </c>
      <c r="AC126">
        <f t="shared" si="123"/>
        <v>15063.7</v>
      </c>
      <c r="AD126">
        <f t="shared" si="124"/>
        <v>0</v>
      </c>
      <c r="AE126">
        <f t="shared" si="125"/>
        <v>0</v>
      </c>
      <c r="AF126">
        <f t="shared" si="126"/>
        <v>31385.37</v>
      </c>
      <c r="AG126">
        <f t="shared" si="102"/>
        <v>0</v>
      </c>
      <c r="AH126">
        <f t="shared" si="127"/>
        <v>77.86</v>
      </c>
      <c r="AI126">
        <f t="shared" si="128"/>
        <v>0</v>
      </c>
      <c r="AJ126">
        <f t="shared" si="103"/>
        <v>0</v>
      </c>
      <c r="AK126">
        <v>46449.07</v>
      </c>
      <c r="AL126">
        <v>15063.7</v>
      </c>
      <c r="AM126">
        <v>0</v>
      </c>
      <c r="AN126">
        <v>0</v>
      </c>
      <c r="AO126">
        <v>31385.37</v>
      </c>
      <c r="AP126">
        <v>0</v>
      </c>
      <c r="AQ126">
        <v>77.86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159</v>
      </c>
      <c r="BM126">
        <v>0</v>
      </c>
      <c r="BN126">
        <v>75371441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04"/>
        <v>464.49</v>
      </c>
      <c r="CQ126">
        <f t="shared" si="105"/>
        <v>15063.7</v>
      </c>
      <c r="CR126">
        <f t="shared" si="129"/>
        <v>0</v>
      </c>
      <c r="CS126">
        <f t="shared" si="106"/>
        <v>0</v>
      </c>
      <c r="CT126">
        <f t="shared" si="107"/>
        <v>31385.37</v>
      </c>
      <c r="CU126">
        <f t="shared" si="108"/>
        <v>0</v>
      </c>
      <c r="CV126">
        <f t="shared" si="109"/>
        <v>77.86</v>
      </c>
      <c r="CW126">
        <f t="shared" si="110"/>
        <v>0</v>
      </c>
      <c r="CX126">
        <f t="shared" si="111"/>
        <v>0</v>
      </c>
      <c r="CY126">
        <f t="shared" si="112"/>
        <v>219.69499999999999</v>
      </c>
      <c r="CZ126">
        <f t="shared" si="113"/>
        <v>31.385000000000002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1010</v>
      </c>
      <c r="DV126" t="s">
        <v>158</v>
      </c>
      <c r="DW126" t="s">
        <v>158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75371444</v>
      </c>
      <c r="EF126">
        <v>1</v>
      </c>
      <c r="EG126" t="s">
        <v>22</v>
      </c>
      <c r="EH126">
        <v>0</v>
      </c>
      <c r="EI126" t="s">
        <v>3</v>
      </c>
      <c r="EJ126">
        <v>4</v>
      </c>
      <c r="EK126">
        <v>0</v>
      </c>
      <c r="EL126" t="s">
        <v>23</v>
      </c>
      <c r="EM126" t="s">
        <v>24</v>
      </c>
      <c r="EO126" t="s">
        <v>3</v>
      </c>
      <c r="EQ126">
        <v>0</v>
      </c>
      <c r="ER126">
        <v>46449.07</v>
      </c>
      <c r="ES126">
        <v>15063.7</v>
      </c>
      <c r="ET126">
        <v>0</v>
      </c>
      <c r="EU126">
        <v>0</v>
      </c>
      <c r="EV126">
        <v>31385.37</v>
      </c>
      <c r="EW126">
        <v>77.86</v>
      </c>
      <c r="EX126">
        <v>0</v>
      </c>
      <c r="EY126">
        <v>0</v>
      </c>
      <c r="FQ126">
        <v>0</v>
      </c>
      <c r="FR126">
        <f t="shared" si="114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-479591771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15"/>
        <v>0</v>
      </c>
      <c r="GM126">
        <f t="shared" si="116"/>
        <v>715.58</v>
      </c>
      <c r="GN126">
        <f t="shared" si="117"/>
        <v>0</v>
      </c>
      <c r="GO126">
        <f t="shared" si="118"/>
        <v>0</v>
      </c>
      <c r="GP126">
        <f t="shared" si="119"/>
        <v>715.58</v>
      </c>
      <c r="GR126">
        <v>0</v>
      </c>
      <c r="GS126">
        <v>3</v>
      </c>
      <c r="GT126">
        <v>0</v>
      </c>
      <c r="GU126" t="s">
        <v>3</v>
      </c>
      <c r="GV126">
        <f t="shared" si="120"/>
        <v>0</v>
      </c>
      <c r="GW126">
        <v>1</v>
      </c>
      <c r="GX126">
        <f t="shared" si="121"/>
        <v>0</v>
      </c>
      <c r="HA126">
        <v>0</v>
      </c>
      <c r="HB126">
        <v>0</v>
      </c>
      <c r="HC126">
        <f t="shared" si="122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18</v>
      </c>
      <c r="B127">
        <v>1</v>
      </c>
      <c r="C127">
        <v>76</v>
      </c>
      <c r="E127" t="s">
        <v>184</v>
      </c>
      <c r="F127" t="s">
        <v>174</v>
      </c>
      <c r="G127" t="s">
        <v>185</v>
      </c>
      <c r="H127" t="s">
        <v>171</v>
      </c>
      <c r="I127">
        <f>I126*J127</f>
        <v>1</v>
      </c>
      <c r="J127">
        <v>100</v>
      </c>
      <c r="K127">
        <v>1</v>
      </c>
      <c r="O127">
        <f t="shared" si="90"/>
        <v>10050.83</v>
      </c>
      <c r="P127">
        <f t="shared" si="91"/>
        <v>10050.83</v>
      </c>
      <c r="Q127">
        <f t="shared" si="92"/>
        <v>0</v>
      </c>
      <c r="R127">
        <f t="shared" si="93"/>
        <v>0</v>
      </c>
      <c r="S127">
        <f t="shared" si="94"/>
        <v>0</v>
      </c>
      <c r="T127">
        <f t="shared" si="95"/>
        <v>0</v>
      </c>
      <c r="U127">
        <f t="shared" si="96"/>
        <v>0</v>
      </c>
      <c r="V127">
        <f t="shared" si="97"/>
        <v>0</v>
      </c>
      <c r="W127">
        <f t="shared" si="98"/>
        <v>0</v>
      </c>
      <c r="X127">
        <f t="shared" si="99"/>
        <v>0</v>
      </c>
      <c r="Y127">
        <f t="shared" si="100"/>
        <v>0</v>
      </c>
      <c r="AA127">
        <v>75700856</v>
      </c>
      <c r="AB127">
        <f t="shared" si="101"/>
        <v>10050.83</v>
      </c>
      <c r="AC127">
        <f t="shared" si="123"/>
        <v>10050.83</v>
      </c>
      <c r="AD127">
        <f t="shared" si="124"/>
        <v>0</v>
      </c>
      <c r="AE127">
        <f t="shared" si="125"/>
        <v>0</v>
      </c>
      <c r="AF127">
        <f t="shared" si="126"/>
        <v>0</v>
      </c>
      <c r="AG127">
        <f t="shared" si="102"/>
        <v>0</v>
      </c>
      <c r="AH127">
        <f t="shared" si="127"/>
        <v>0</v>
      </c>
      <c r="AI127">
        <f t="shared" si="128"/>
        <v>0</v>
      </c>
      <c r="AJ127">
        <f t="shared" si="103"/>
        <v>0</v>
      </c>
      <c r="AK127">
        <v>10050.83</v>
      </c>
      <c r="AL127">
        <v>10050.83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4</v>
      </c>
      <c r="BJ127" t="s">
        <v>3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04"/>
        <v>10050.83</v>
      </c>
      <c r="CQ127">
        <f t="shared" si="105"/>
        <v>10050.83</v>
      </c>
      <c r="CR127">
        <f t="shared" si="129"/>
        <v>0</v>
      </c>
      <c r="CS127">
        <f t="shared" si="106"/>
        <v>0</v>
      </c>
      <c r="CT127">
        <f t="shared" si="107"/>
        <v>0</v>
      </c>
      <c r="CU127">
        <f t="shared" si="108"/>
        <v>0</v>
      </c>
      <c r="CV127">
        <f t="shared" si="109"/>
        <v>0</v>
      </c>
      <c r="CW127">
        <f t="shared" si="110"/>
        <v>0</v>
      </c>
      <c r="CX127">
        <f t="shared" si="111"/>
        <v>0</v>
      </c>
      <c r="CY127">
        <f t="shared" si="112"/>
        <v>0</v>
      </c>
      <c r="CZ127">
        <f t="shared" si="113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1010</v>
      </c>
      <c r="DV127" t="s">
        <v>171</v>
      </c>
      <c r="DW127" t="s">
        <v>171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75371444</v>
      </c>
      <c r="EF127">
        <v>1</v>
      </c>
      <c r="EG127" t="s">
        <v>22</v>
      </c>
      <c r="EH127">
        <v>0</v>
      </c>
      <c r="EI127" t="s">
        <v>3</v>
      </c>
      <c r="EJ127">
        <v>4</v>
      </c>
      <c r="EK127">
        <v>0</v>
      </c>
      <c r="EL127" t="s">
        <v>23</v>
      </c>
      <c r="EM127" t="s">
        <v>24</v>
      </c>
      <c r="EO127" t="s">
        <v>3</v>
      </c>
      <c r="EQ127">
        <v>0</v>
      </c>
      <c r="ER127">
        <v>10050.83</v>
      </c>
      <c r="ES127">
        <v>10050.83</v>
      </c>
      <c r="ET127">
        <v>0</v>
      </c>
      <c r="EU127">
        <v>0</v>
      </c>
      <c r="EV127">
        <v>0</v>
      </c>
      <c r="EW127">
        <v>0</v>
      </c>
      <c r="EX127">
        <v>0</v>
      </c>
      <c r="EZ127">
        <v>5</v>
      </c>
      <c r="FC127">
        <v>1</v>
      </c>
      <c r="FD127">
        <v>18</v>
      </c>
      <c r="FF127">
        <v>12061</v>
      </c>
      <c r="FQ127">
        <v>0</v>
      </c>
      <c r="FR127">
        <f t="shared" si="114"/>
        <v>0</v>
      </c>
      <c r="FS127">
        <v>0</v>
      </c>
      <c r="FX127">
        <v>70</v>
      </c>
      <c r="FY127">
        <v>10</v>
      </c>
      <c r="GA127" t="s">
        <v>186</v>
      </c>
      <c r="GD127">
        <v>0</v>
      </c>
      <c r="GF127">
        <v>-541391768</v>
      </c>
      <c r="GG127">
        <v>2</v>
      </c>
      <c r="GH127">
        <v>3</v>
      </c>
      <c r="GI127">
        <v>-2</v>
      </c>
      <c r="GJ127">
        <v>0</v>
      </c>
      <c r="GK127">
        <f>ROUND(R127*(R12)/100,2)</f>
        <v>0</v>
      </c>
      <c r="GL127">
        <f t="shared" si="115"/>
        <v>0</v>
      </c>
      <c r="GM127">
        <f t="shared" si="116"/>
        <v>10050.83</v>
      </c>
      <c r="GN127">
        <f t="shared" si="117"/>
        <v>0</v>
      </c>
      <c r="GO127">
        <f t="shared" si="118"/>
        <v>0</v>
      </c>
      <c r="GP127">
        <f t="shared" si="119"/>
        <v>10050.83</v>
      </c>
      <c r="GR127">
        <v>1</v>
      </c>
      <c r="GS127">
        <v>1</v>
      </c>
      <c r="GT127">
        <v>0</v>
      </c>
      <c r="GU127" t="s">
        <v>3</v>
      </c>
      <c r="GV127">
        <f t="shared" si="120"/>
        <v>0</v>
      </c>
      <c r="GW127">
        <v>1</v>
      </c>
      <c r="GX127">
        <f t="shared" si="121"/>
        <v>0</v>
      </c>
      <c r="HA127">
        <v>0</v>
      </c>
      <c r="HB127">
        <v>0</v>
      </c>
      <c r="HC127">
        <f t="shared" si="122"/>
        <v>0</v>
      </c>
      <c r="HE127" t="s">
        <v>51</v>
      </c>
      <c r="HF127" t="s">
        <v>51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C128">
        <f>ROW(SmtRes!A78)</f>
        <v>78</v>
      </c>
      <c r="D128">
        <f>ROW(EtalonRes!A72)</f>
        <v>72</v>
      </c>
      <c r="E128" t="s">
        <v>187</v>
      </c>
      <c r="F128" t="s">
        <v>188</v>
      </c>
      <c r="G128" t="s">
        <v>189</v>
      </c>
      <c r="H128" t="s">
        <v>20</v>
      </c>
      <c r="I128">
        <f>ROUND(1/100,9)</f>
        <v>0.01</v>
      </c>
      <c r="J128">
        <v>0</v>
      </c>
      <c r="K128">
        <f>ROUND(1/100,9)</f>
        <v>0.01</v>
      </c>
      <c r="O128">
        <f t="shared" si="90"/>
        <v>470.2</v>
      </c>
      <c r="P128">
        <f t="shared" si="91"/>
        <v>264.60000000000002</v>
      </c>
      <c r="Q128">
        <f t="shared" si="92"/>
        <v>0</v>
      </c>
      <c r="R128">
        <f t="shared" si="93"/>
        <v>0</v>
      </c>
      <c r="S128">
        <f t="shared" si="94"/>
        <v>205.6</v>
      </c>
      <c r="T128">
        <f t="shared" si="95"/>
        <v>0</v>
      </c>
      <c r="U128">
        <f t="shared" si="96"/>
        <v>0.3876</v>
      </c>
      <c r="V128">
        <f t="shared" si="97"/>
        <v>0</v>
      </c>
      <c r="W128">
        <f t="shared" si="98"/>
        <v>0</v>
      </c>
      <c r="X128">
        <f t="shared" si="99"/>
        <v>143.91999999999999</v>
      </c>
      <c r="Y128">
        <f t="shared" si="100"/>
        <v>20.56</v>
      </c>
      <c r="AA128">
        <v>75700856</v>
      </c>
      <c r="AB128">
        <f t="shared" si="101"/>
        <v>47020.24</v>
      </c>
      <c r="AC128">
        <f t="shared" si="123"/>
        <v>26460</v>
      </c>
      <c r="AD128">
        <f t="shared" si="124"/>
        <v>0</v>
      </c>
      <c r="AE128">
        <f t="shared" si="125"/>
        <v>0</v>
      </c>
      <c r="AF128">
        <f t="shared" si="126"/>
        <v>20560.240000000002</v>
      </c>
      <c r="AG128">
        <f t="shared" si="102"/>
        <v>0</v>
      </c>
      <c r="AH128">
        <f t="shared" si="127"/>
        <v>38.76</v>
      </c>
      <c r="AI128">
        <f t="shared" si="128"/>
        <v>0</v>
      </c>
      <c r="AJ128">
        <f t="shared" si="103"/>
        <v>0</v>
      </c>
      <c r="AK128">
        <v>47020.24</v>
      </c>
      <c r="AL128">
        <v>26460</v>
      </c>
      <c r="AM128">
        <v>0</v>
      </c>
      <c r="AN128">
        <v>0</v>
      </c>
      <c r="AO128">
        <v>20560.240000000002</v>
      </c>
      <c r="AP128">
        <v>0</v>
      </c>
      <c r="AQ128">
        <v>38.76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190</v>
      </c>
      <c r="BM128">
        <v>0</v>
      </c>
      <c r="BN128">
        <v>75371441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04"/>
        <v>470.20000000000005</v>
      </c>
      <c r="CQ128">
        <f t="shared" si="105"/>
        <v>26460</v>
      </c>
      <c r="CR128">
        <f t="shared" si="129"/>
        <v>0</v>
      </c>
      <c r="CS128">
        <f t="shared" si="106"/>
        <v>0</v>
      </c>
      <c r="CT128">
        <f t="shared" si="107"/>
        <v>20560.240000000002</v>
      </c>
      <c r="CU128">
        <f t="shared" si="108"/>
        <v>0</v>
      </c>
      <c r="CV128">
        <f t="shared" si="109"/>
        <v>38.76</v>
      </c>
      <c r="CW128">
        <f t="shared" si="110"/>
        <v>0</v>
      </c>
      <c r="CX128">
        <f t="shared" si="111"/>
        <v>0</v>
      </c>
      <c r="CY128">
        <f t="shared" si="112"/>
        <v>143.91999999999999</v>
      </c>
      <c r="CZ128">
        <f t="shared" si="113"/>
        <v>20.56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1003</v>
      </c>
      <c r="DV128" t="s">
        <v>20</v>
      </c>
      <c r="DW128" t="s">
        <v>20</v>
      </c>
      <c r="DX128">
        <v>100</v>
      </c>
      <c r="DZ128" t="s">
        <v>3</v>
      </c>
      <c r="EA128" t="s">
        <v>3</v>
      </c>
      <c r="EB128" t="s">
        <v>3</v>
      </c>
      <c r="EC128" t="s">
        <v>3</v>
      </c>
      <c r="EE128">
        <v>75371444</v>
      </c>
      <c r="EF128">
        <v>1</v>
      </c>
      <c r="EG128" t="s">
        <v>22</v>
      </c>
      <c r="EH128">
        <v>0</v>
      </c>
      <c r="EI128" t="s">
        <v>3</v>
      </c>
      <c r="EJ128">
        <v>4</v>
      </c>
      <c r="EK128">
        <v>0</v>
      </c>
      <c r="EL128" t="s">
        <v>23</v>
      </c>
      <c r="EM128" t="s">
        <v>24</v>
      </c>
      <c r="EO128" t="s">
        <v>3</v>
      </c>
      <c r="EQ128">
        <v>0</v>
      </c>
      <c r="ER128">
        <v>47020.24</v>
      </c>
      <c r="ES128">
        <v>26460</v>
      </c>
      <c r="ET128">
        <v>0</v>
      </c>
      <c r="EU128">
        <v>0</v>
      </c>
      <c r="EV128">
        <v>20560.240000000002</v>
      </c>
      <c r="EW128">
        <v>38.76</v>
      </c>
      <c r="EX128">
        <v>0</v>
      </c>
      <c r="EY128">
        <v>0</v>
      </c>
      <c r="FQ128">
        <v>0</v>
      </c>
      <c r="FR128">
        <f t="shared" si="114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-1291364735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15"/>
        <v>0</v>
      </c>
      <c r="GM128">
        <f t="shared" si="116"/>
        <v>634.67999999999995</v>
      </c>
      <c r="GN128">
        <f t="shared" si="117"/>
        <v>0</v>
      </c>
      <c r="GO128">
        <f t="shared" si="118"/>
        <v>0</v>
      </c>
      <c r="GP128">
        <f t="shared" si="119"/>
        <v>634.67999999999995</v>
      </c>
      <c r="GR128">
        <v>0</v>
      </c>
      <c r="GS128">
        <v>3</v>
      </c>
      <c r="GT128">
        <v>0</v>
      </c>
      <c r="GU128" t="s">
        <v>3</v>
      </c>
      <c r="GV128">
        <f t="shared" si="120"/>
        <v>0</v>
      </c>
      <c r="GW128">
        <v>1</v>
      </c>
      <c r="GX128">
        <f t="shared" si="121"/>
        <v>0</v>
      </c>
      <c r="HA128">
        <v>0</v>
      </c>
      <c r="HB128">
        <v>0</v>
      </c>
      <c r="HC128">
        <f t="shared" si="122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C129">
        <f>ROW(SmtRes!A79)</f>
        <v>79</v>
      </c>
      <c r="D129">
        <f>ROW(EtalonRes!A73)</f>
        <v>73</v>
      </c>
      <c r="E129" t="s">
        <v>191</v>
      </c>
      <c r="F129" t="s">
        <v>192</v>
      </c>
      <c r="G129" t="s">
        <v>193</v>
      </c>
      <c r="H129" t="s">
        <v>194</v>
      </c>
      <c r="I129">
        <f>ROUND(2/10,9)</f>
        <v>0.2</v>
      </c>
      <c r="J129">
        <v>0</v>
      </c>
      <c r="K129">
        <f>ROUND(2/10,9)</f>
        <v>0.2</v>
      </c>
      <c r="O129">
        <f t="shared" si="90"/>
        <v>128.37</v>
      </c>
      <c r="P129">
        <f t="shared" si="91"/>
        <v>0</v>
      </c>
      <c r="Q129">
        <f t="shared" si="92"/>
        <v>0</v>
      </c>
      <c r="R129">
        <f t="shared" si="93"/>
        <v>0</v>
      </c>
      <c r="S129">
        <f t="shared" si="94"/>
        <v>128.37</v>
      </c>
      <c r="T129">
        <f t="shared" si="95"/>
        <v>0</v>
      </c>
      <c r="U129">
        <f t="shared" si="96"/>
        <v>0.24199999999999999</v>
      </c>
      <c r="V129">
        <f t="shared" si="97"/>
        <v>0</v>
      </c>
      <c r="W129">
        <f t="shared" si="98"/>
        <v>0</v>
      </c>
      <c r="X129">
        <f t="shared" si="99"/>
        <v>89.86</v>
      </c>
      <c r="Y129">
        <f t="shared" si="100"/>
        <v>12.84</v>
      </c>
      <c r="AA129">
        <v>75700856</v>
      </c>
      <c r="AB129">
        <f t="shared" si="101"/>
        <v>641.84</v>
      </c>
      <c r="AC129">
        <f t="shared" si="123"/>
        <v>0</v>
      </c>
      <c r="AD129">
        <f t="shared" si="124"/>
        <v>0</v>
      </c>
      <c r="AE129">
        <f t="shared" si="125"/>
        <v>0</v>
      </c>
      <c r="AF129">
        <f t="shared" si="126"/>
        <v>641.84</v>
      </c>
      <c r="AG129">
        <f t="shared" si="102"/>
        <v>0</v>
      </c>
      <c r="AH129">
        <f t="shared" si="127"/>
        <v>1.21</v>
      </c>
      <c r="AI129">
        <f t="shared" si="128"/>
        <v>0</v>
      </c>
      <c r="AJ129">
        <f t="shared" si="103"/>
        <v>0</v>
      </c>
      <c r="AK129">
        <v>641.84</v>
      </c>
      <c r="AL129">
        <v>0</v>
      </c>
      <c r="AM129">
        <v>0</v>
      </c>
      <c r="AN129">
        <v>0</v>
      </c>
      <c r="AO129">
        <v>641.84</v>
      </c>
      <c r="AP129">
        <v>0</v>
      </c>
      <c r="AQ129">
        <v>1.21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195</v>
      </c>
      <c r="BM129">
        <v>0</v>
      </c>
      <c r="BN129">
        <v>75371441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04"/>
        <v>128.37</v>
      </c>
      <c r="CQ129">
        <f t="shared" si="105"/>
        <v>0</v>
      </c>
      <c r="CR129">
        <f t="shared" si="129"/>
        <v>0</v>
      </c>
      <c r="CS129">
        <f t="shared" si="106"/>
        <v>0</v>
      </c>
      <c r="CT129">
        <f t="shared" si="107"/>
        <v>641.84</v>
      </c>
      <c r="CU129">
        <f t="shared" si="108"/>
        <v>0</v>
      </c>
      <c r="CV129">
        <f t="shared" si="109"/>
        <v>1.21</v>
      </c>
      <c r="CW129">
        <f t="shared" si="110"/>
        <v>0</v>
      </c>
      <c r="CX129">
        <f t="shared" si="111"/>
        <v>0</v>
      </c>
      <c r="CY129">
        <f t="shared" si="112"/>
        <v>89.858999999999995</v>
      </c>
      <c r="CZ129">
        <f t="shared" si="113"/>
        <v>12.837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1010</v>
      </c>
      <c r="DV129" t="s">
        <v>194</v>
      </c>
      <c r="DW129" t="s">
        <v>194</v>
      </c>
      <c r="DX129">
        <v>10</v>
      </c>
      <c r="DZ129" t="s">
        <v>3</v>
      </c>
      <c r="EA129" t="s">
        <v>3</v>
      </c>
      <c r="EB129" t="s">
        <v>3</v>
      </c>
      <c r="EC129" t="s">
        <v>3</v>
      </c>
      <c r="EE129">
        <v>75371444</v>
      </c>
      <c r="EF129">
        <v>1</v>
      </c>
      <c r="EG129" t="s">
        <v>22</v>
      </c>
      <c r="EH129">
        <v>0</v>
      </c>
      <c r="EI129" t="s">
        <v>3</v>
      </c>
      <c r="EJ129">
        <v>4</v>
      </c>
      <c r="EK129">
        <v>0</v>
      </c>
      <c r="EL129" t="s">
        <v>23</v>
      </c>
      <c r="EM129" t="s">
        <v>24</v>
      </c>
      <c r="EO129" t="s">
        <v>3</v>
      </c>
      <c r="EQ129">
        <v>0</v>
      </c>
      <c r="ER129">
        <v>641.84</v>
      </c>
      <c r="ES129">
        <v>0</v>
      </c>
      <c r="ET129">
        <v>0</v>
      </c>
      <c r="EU129">
        <v>0</v>
      </c>
      <c r="EV129">
        <v>641.84</v>
      </c>
      <c r="EW129">
        <v>1.21</v>
      </c>
      <c r="EX129">
        <v>0</v>
      </c>
      <c r="EY129">
        <v>0</v>
      </c>
      <c r="FQ129">
        <v>0</v>
      </c>
      <c r="FR129">
        <f t="shared" si="114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1393993943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15"/>
        <v>0</v>
      </c>
      <c r="GM129">
        <f t="shared" si="116"/>
        <v>231.07</v>
      </c>
      <c r="GN129">
        <f t="shared" si="117"/>
        <v>0</v>
      </c>
      <c r="GO129">
        <f t="shared" si="118"/>
        <v>0</v>
      </c>
      <c r="GP129">
        <f t="shared" si="119"/>
        <v>231.07</v>
      </c>
      <c r="GR129">
        <v>0</v>
      </c>
      <c r="GS129">
        <v>3</v>
      </c>
      <c r="GT129">
        <v>0</v>
      </c>
      <c r="GU129" t="s">
        <v>3</v>
      </c>
      <c r="GV129">
        <f t="shared" si="120"/>
        <v>0</v>
      </c>
      <c r="GW129">
        <v>1</v>
      </c>
      <c r="GX129">
        <f t="shared" si="121"/>
        <v>0</v>
      </c>
      <c r="HA129">
        <v>0</v>
      </c>
      <c r="HB129">
        <v>0</v>
      </c>
      <c r="HC129">
        <f t="shared" si="122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C130">
        <f>ROW(SmtRes!A84)</f>
        <v>84</v>
      </c>
      <c r="D130">
        <f>ROW(EtalonRes!A77)</f>
        <v>77</v>
      </c>
      <c r="E130" t="s">
        <v>196</v>
      </c>
      <c r="F130" t="s">
        <v>197</v>
      </c>
      <c r="G130" t="s">
        <v>198</v>
      </c>
      <c r="H130" t="s">
        <v>194</v>
      </c>
      <c r="I130">
        <f>ROUND(2/10,9)</f>
        <v>0.2</v>
      </c>
      <c r="J130">
        <v>0</v>
      </c>
      <c r="K130">
        <f>ROUND(2/10,9)</f>
        <v>0.2</v>
      </c>
      <c r="O130">
        <f t="shared" si="90"/>
        <v>194.38</v>
      </c>
      <c r="P130">
        <f t="shared" si="91"/>
        <v>11.91</v>
      </c>
      <c r="Q130">
        <f t="shared" si="92"/>
        <v>0</v>
      </c>
      <c r="R130">
        <f t="shared" si="93"/>
        <v>0</v>
      </c>
      <c r="S130">
        <f t="shared" si="94"/>
        <v>182.47</v>
      </c>
      <c r="T130">
        <f t="shared" si="95"/>
        <v>0</v>
      </c>
      <c r="U130">
        <f t="shared" si="96"/>
        <v>0.34400000000000003</v>
      </c>
      <c r="V130">
        <f t="shared" si="97"/>
        <v>0</v>
      </c>
      <c r="W130">
        <f t="shared" si="98"/>
        <v>0</v>
      </c>
      <c r="X130">
        <f t="shared" si="99"/>
        <v>127.73</v>
      </c>
      <c r="Y130">
        <f t="shared" si="100"/>
        <v>18.25</v>
      </c>
      <c r="AA130">
        <v>75700856</v>
      </c>
      <c r="AB130">
        <f t="shared" si="101"/>
        <v>971.91</v>
      </c>
      <c r="AC130">
        <f t="shared" si="123"/>
        <v>59.54</v>
      </c>
      <c r="AD130">
        <f t="shared" si="124"/>
        <v>0</v>
      </c>
      <c r="AE130">
        <f t="shared" si="125"/>
        <v>0</v>
      </c>
      <c r="AF130">
        <f t="shared" si="126"/>
        <v>912.37</v>
      </c>
      <c r="AG130">
        <f t="shared" si="102"/>
        <v>0</v>
      </c>
      <c r="AH130">
        <f t="shared" si="127"/>
        <v>1.72</v>
      </c>
      <c r="AI130">
        <f t="shared" si="128"/>
        <v>0</v>
      </c>
      <c r="AJ130">
        <f t="shared" si="103"/>
        <v>0</v>
      </c>
      <c r="AK130">
        <v>971.91</v>
      </c>
      <c r="AL130">
        <v>59.54</v>
      </c>
      <c r="AM130">
        <v>0</v>
      </c>
      <c r="AN130">
        <v>0</v>
      </c>
      <c r="AO130">
        <v>912.37</v>
      </c>
      <c r="AP130">
        <v>0</v>
      </c>
      <c r="AQ130">
        <v>1.72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199</v>
      </c>
      <c r="BM130">
        <v>0</v>
      </c>
      <c r="BN130">
        <v>75371441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04"/>
        <v>194.38</v>
      </c>
      <c r="CQ130">
        <f t="shared" si="105"/>
        <v>59.54</v>
      </c>
      <c r="CR130">
        <f t="shared" si="129"/>
        <v>0</v>
      </c>
      <c r="CS130">
        <f t="shared" si="106"/>
        <v>0</v>
      </c>
      <c r="CT130">
        <f t="shared" si="107"/>
        <v>912.37</v>
      </c>
      <c r="CU130">
        <f t="shared" si="108"/>
        <v>0</v>
      </c>
      <c r="CV130">
        <f t="shared" si="109"/>
        <v>1.72</v>
      </c>
      <c r="CW130">
        <f t="shared" si="110"/>
        <v>0</v>
      </c>
      <c r="CX130">
        <f t="shared" si="111"/>
        <v>0</v>
      </c>
      <c r="CY130">
        <f t="shared" si="112"/>
        <v>127.729</v>
      </c>
      <c r="CZ130">
        <f t="shared" si="113"/>
        <v>18.247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1010</v>
      </c>
      <c r="DV130" t="s">
        <v>194</v>
      </c>
      <c r="DW130" t="s">
        <v>194</v>
      </c>
      <c r="DX130">
        <v>10</v>
      </c>
      <c r="DZ130" t="s">
        <v>3</v>
      </c>
      <c r="EA130" t="s">
        <v>3</v>
      </c>
      <c r="EB130" t="s">
        <v>3</v>
      </c>
      <c r="EC130" t="s">
        <v>3</v>
      </c>
      <c r="EE130">
        <v>75371444</v>
      </c>
      <c r="EF130">
        <v>1</v>
      </c>
      <c r="EG130" t="s">
        <v>22</v>
      </c>
      <c r="EH130">
        <v>0</v>
      </c>
      <c r="EI130" t="s">
        <v>3</v>
      </c>
      <c r="EJ130">
        <v>4</v>
      </c>
      <c r="EK130">
        <v>0</v>
      </c>
      <c r="EL130" t="s">
        <v>23</v>
      </c>
      <c r="EM130" t="s">
        <v>24</v>
      </c>
      <c r="EO130" t="s">
        <v>3</v>
      </c>
      <c r="EQ130">
        <v>0</v>
      </c>
      <c r="ER130">
        <v>971.91</v>
      </c>
      <c r="ES130">
        <v>59.54</v>
      </c>
      <c r="ET130">
        <v>0</v>
      </c>
      <c r="EU130">
        <v>0</v>
      </c>
      <c r="EV130">
        <v>912.37</v>
      </c>
      <c r="EW130">
        <v>1.72</v>
      </c>
      <c r="EX130">
        <v>0</v>
      </c>
      <c r="EY130">
        <v>0</v>
      </c>
      <c r="FQ130">
        <v>0</v>
      </c>
      <c r="FR130">
        <f t="shared" si="114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-1108274012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15"/>
        <v>0</v>
      </c>
      <c r="GM130">
        <f t="shared" si="116"/>
        <v>340.36</v>
      </c>
      <c r="GN130">
        <f t="shared" si="117"/>
        <v>0</v>
      </c>
      <c r="GO130">
        <f t="shared" si="118"/>
        <v>0</v>
      </c>
      <c r="GP130">
        <f t="shared" si="119"/>
        <v>340.36</v>
      </c>
      <c r="GR130">
        <v>0</v>
      </c>
      <c r="GS130">
        <v>3</v>
      </c>
      <c r="GT130">
        <v>0</v>
      </c>
      <c r="GU130" t="s">
        <v>3</v>
      </c>
      <c r="GV130">
        <f t="shared" si="120"/>
        <v>0</v>
      </c>
      <c r="GW130">
        <v>1</v>
      </c>
      <c r="GX130">
        <f t="shared" si="121"/>
        <v>0</v>
      </c>
      <c r="HA130">
        <v>0</v>
      </c>
      <c r="HB130">
        <v>0</v>
      </c>
      <c r="HC130">
        <f t="shared" si="122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18</v>
      </c>
      <c r="B131">
        <v>1</v>
      </c>
      <c r="C131">
        <v>82</v>
      </c>
      <c r="E131" t="s">
        <v>200</v>
      </c>
      <c r="F131" t="s">
        <v>201</v>
      </c>
      <c r="G131" t="s">
        <v>202</v>
      </c>
      <c r="H131" t="s">
        <v>171</v>
      </c>
      <c r="I131">
        <f>I130*J131</f>
        <v>2</v>
      </c>
      <c r="J131">
        <v>10</v>
      </c>
      <c r="K131">
        <v>10</v>
      </c>
      <c r="O131">
        <f t="shared" si="90"/>
        <v>365.76</v>
      </c>
      <c r="P131">
        <f t="shared" si="91"/>
        <v>365.76</v>
      </c>
      <c r="Q131">
        <f t="shared" si="92"/>
        <v>0</v>
      </c>
      <c r="R131">
        <f t="shared" si="93"/>
        <v>0</v>
      </c>
      <c r="S131">
        <f t="shared" si="94"/>
        <v>0</v>
      </c>
      <c r="T131">
        <f t="shared" si="95"/>
        <v>0</v>
      </c>
      <c r="U131">
        <f t="shared" si="96"/>
        <v>0</v>
      </c>
      <c r="V131">
        <f t="shared" si="97"/>
        <v>0</v>
      </c>
      <c r="W131">
        <f t="shared" si="98"/>
        <v>0</v>
      </c>
      <c r="X131">
        <f t="shared" si="99"/>
        <v>0</v>
      </c>
      <c r="Y131">
        <f t="shared" si="100"/>
        <v>0</v>
      </c>
      <c r="AA131">
        <v>75700856</v>
      </c>
      <c r="AB131">
        <f t="shared" si="101"/>
        <v>182.88</v>
      </c>
      <c r="AC131">
        <f t="shared" si="123"/>
        <v>182.88</v>
      </c>
      <c r="AD131">
        <f t="shared" si="124"/>
        <v>0</v>
      </c>
      <c r="AE131">
        <f t="shared" si="125"/>
        <v>0</v>
      </c>
      <c r="AF131">
        <f t="shared" si="126"/>
        <v>0</v>
      </c>
      <c r="AG131">
        <f t="shared" si="102"/>
        <v>0</v>
      </c>
      <c r="AH131">
        <f t="shared" si="127"/>
        <v>0</v>
      </c>
      <c r="AI131">
        <f t="shared" si="128"/>
        <v>0</v>
      </c>
      <c r="AJ131">
        <f t="shared" si="103"/>
        <v>0</v>
      </c>
      <c r="AK131">
        <v>182.88</v>
      </c>
      <c r="AL131">
        <v>182.88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4</v>
      </c>
      <c r="BJ131" t="s">
        <v>203</v>
      </c>
      <c r="BM131">
        <v>0</v>
      </c>
      <c r="BN131">
        <v>75371441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04"/>
        <v>365.76</v>
      </c>
      <c r="CQ131">
        <f t="shared" si="105"/>
        <v>182.88</v>
      </c>
      <c r="CR131">
        <f t="shared" si="129"/>
        <v>0</v>
      </c>
      <c r="CS131">
        <f t="shared" si="106"/>
        <v>0</v>
      </c>
      <c r="CT131">
        <f t="shared" si="107"/>
        <v>0</v>
      </c>
      <c r="CU131">
        <f t="shared" si="108"/>
        <v>0</v>
      </c>
      <c r="CV131">
        <f t="shared" si="109"/>
        <v>0</v>
      </c>
      <c r="CW131">
        <f t="shared" si="110"/>
        <v>0</v>
      </c>
      <c r="CX131">
        <f t="shared" si="111"/>
        <v>0</v>
      </c>
      <c r="CY131">
        <f t="shared" si="112"/>
        <v>0</v>
      </c>
      <c r="CZ131">
        <f t="shared" si="113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1010</v>
      </c>
      <c r="DV131" t="s">
        <v>171</v>
      </c>
      <c r="DW131" t="s">
        <v>171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75371444</v>
      </c>
      <c r="EF131">
        <v>1</v>
      </c>
      <c r="EG131" t="s">
        <v>22</v>
      </c>
      <c r="EH131">
        <v>0</v>
      </c>
      <c r="EI131" t="s">
        <v>3</v>
      </c>
      <c r="EJ131">
        <v>4</v>
      </c>
      <c r="EK131">
        <v>0</v>
      </c>
      <c r="EL131" t="s">
        <v>23</v>
      </c>
      <c r="EM131" t="s">
        <v>24</v>
      </c>
      <c r="EO131" t="s">
        <v>3</v>
      </c>
      <c r="EQ131">
        <v>0</v>
      </c>
      <c r="ER131">
        <v>182.88</v>
      </c>
      <c r="ES131">
        <v>182.88</v>
      </c>
      <c r="ET131">
        <v>0</v>
      </c>
      <c r="EU131">
        <v>0</v>
      </c>
      <c r="EV131">
        <v>0</v>
      </c>
      <c r="EW131">
        <v>0</v>
      </c>
      <c r="EX131">
        <v>0</v>
      </c>
      <c r="FQ131">
        <v>0</v>
      </c>
      <c r="FR131">
        <f t="shared" si="114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331574299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si="115"/>
        <v>0</v>
      </c>
      <c r="GM131">
        <f t="shared" si="116"/>
        <v>365.76</v>
      </c>
      <c r="GN131">
        <f t="shared" si="117"/>
        <v>0</v>
      </c>
      <c r="GO131">
        <f t="shared" si="118"/>
        <v>0</v>
      </c>
      <c r="GP131">
        <f t="shared" si="119"/>
        <v>365.76</v>
      </c>
      <c r="GR131">
        <v>0</v>
      </c>
      <c r="GS131">
        <v>3</v>
      </c>
      <c r="GT131">
        <v>0</v>
      </c>
      <c r="GU131" t="s">
        <v>3</v>
      </c>
      <c r="GV131">
        <f t="shared" si="120"/>
        <v>0</v>
      </c>
      <c r="GW131">
        <v>1</v>
      </c>
      <c r="GX131">
        <f t="shared" si="121"/>
        <v>0</v>
      </c>
      <c r="HA131">
        <v>0</v>
      </c>
      <c r="HB131">
        <v>0</v>
      </c>
      <c r="HC131">
        <f t="shared" si="122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3" spans="1:245" x14ac:dyDescent="0.2">
      <c r="A133" s="2">
        <v>51</v>
      </c>
      <c r="B133" s="2">
        <f>B115</f>
        <v>1</v>
      </c>
      <c r="C133" s="2">
        <f>A115</f>
        <v>5</v>
      </c>
      <c r="D133" s="2">
        <f>ROW(A115)</f>
        <v>115</v>
      </c>
      <c r="E133" s="2"/>
      <c r="F133" s="2" t="str">
        <f>IF(F115&lt;&gt;"",F115,"")</f>
        <v>Новый подраздел</v>
      </c>
      <c r="G133" s="2" t="str">
        <f>IF(G115&lt;&gt;"",G115,"")</f>
        <v>Инженерные сети</v>
      </c>
      <c r="H133" s="2">
        <v>0</v>
      </c>
      <c r="I133" s="2"/>
      <c r="J133" s="2"/>
      <c r="K133" s="2"/>
      <c r="L133" s="2"/>
      <c r="M133" s="2"/>
      <c r="N133" s="2"/>
      <c r="O133" s="2">
        <f t="shared" ref="O133:T133" si="130">ROUND(AB133,2)</f>
        <v>19529.349999999999</v>
      </c>
      <c r="P133" s="2">
        <f t="shared" si="130"/>
        <v>17171.68</v>
      </c>
      <c r="Q133" s="2">
        <f t="shared" si="130"/>
        <v>0.12</v>
      </c>
      <c r="R133" s="2">
        <f t="shared" si="130"/>
        <v>0.04</v>
      </c>
      <c r="S133" s="2">
        <f t="shared" si="130"/>
        <v>2357.5500000000002</v>
      </c>
      <c r="T133" s="2">
        <f t="shared" si="130"/>
        <v>0</v>
      </c>
      <c r="U133" s="2">
        <f>AH133</f>
        <v>4.7559200000000006</v>
      </c>
      <c r="V133" s="2">
        <f>AI133</f>
        <v>0</v>
      </c>
      <c r="W133" s="2">
        <f>ROUND(AJ133,2)</f>
        <v>0</v>
      </c>
      <c r="X133" s="2">
        <f>ROUND(AK133,2)</f>
        <v>1650.3</v>
      </c>
      <c r="Y133" s="2">
        <f>ROUND(AL133,2)</f>
        <v>235.77</v>
      </c>
      <c r="Z133" s="2"/>
      <c r="AA133" s="2"/>
      <c r="AB133" s="2">
        <f>ROUND(SUMIF(AA119:AA131,"=75700856",O119:O131),2)</f>
        <v>19529.349999999999</v>
      </c>
      <c r="AC133" s="2">
        <f>ROUND(SUMIF(AA119:AA131,"=75700856",P119:P131),2)</f>
        <v>17171.68</v>
      </c>
      <c r="AD133" s="2">
        <f>ROUND(SUMIF(AA119:AA131,"=75700856",Q119:Q131),2)</f>
        <v>0.12</v>
      </c>
      <c r="AE133" s="2">
        <f>ROUND(SUMIF(AA119:AA131,"=75700856",R119:R131),2)</f>
        <v>0.04</v>
      </c>
      <c r="AF133" s="2">
        <f>ROUND(SUMIF(AA119:AA131,"=75700856",S119:S131),2)</f>
        <v>2357.5500000000002</v>
      </c>
      <c r="AG133" s="2">
        <f>ROUND(SUMIF(AA119:AA131,"=75700856",T119:T131),2)</f>
        <v>0</v>
      </c>
      <c r="AH133" s="2">
        <f>SUMIF(AA119:AA131,"=75700856",U119:U131)</f>
        <v>4.7559200000000006</v>
      </c>
      <c r="AI133" s="2">
        <f>SUMIF(AA119:AA131,"=75700856",V119:V131)</f>
        <v>0</v>
      </c>
      <c r="AJ133" s="2">
        <f>ROUND(SUMIF(AA119:AA131,"=75700856",W119:W131),2)</f>
        <v>0</v>
      </c>
      <c r="AK133" s="2">
        <f>ROUND(SUMIF(AA119:AA131,"=75700856",X119:X131),2)</f>
        <v>1650.3</v>
      </c>
      <c r="AL133" s="2">
        <f>ROUND(SUMIF(AA119:AA131,"=75700856",Y119:Y131),2)</f>
        <v>235.77</v>
      </c>
      <c r="AM133" s="2"/>
      <c r="AN133" s="2"/>
      <c r="AO133" s="2">
        <f t="shared" ref="AO133:BD133" si="131">ROUND(BX133,2)</f>
        <v>0</v>
      </c>
      <c r="AP133" s="2">
        <f t="shared" si="131"/>
        <v>0</v>
      </c>
      <c r="AQ133" s="2">
        <f t="shared" si="131"/>
        <v>0</v>
      </c>
      <c r="AR133" s="2">
        <f t="shared" si="131"/>
        <v>21415.46</v>
      </c>
      <c r="AS133" s="2">
        <f t="shared" si="131"/>
        <v>0</v>
      </c>
      <c r="AT133" s="2">
        <f t="shared" si="131"/>
        <v>0</v>
      </c>
      <c r="AU133" s="2">
        <f t="shared" si="131"/>
        <v>21415.46</v>
      </c>
      <c r="AV133" s="2">
        <f t="shared" si="131"/>
        <v>17171.68</v>
      </c>
      <c r="AW133" s="2">
        <f t="shared" si="131"/>
        <v>17171.68</v>
      </c>
      <c r="AX133" s="2">
        <f t="shared" si="131"/>
        <v>0</v>
      </c>
      <c r="AY133" s="2">
        <f t="shared" si="131"/>
        <v>17171.68</v>
      </c>
      <c r="AZ133" s="2">
        <f t="shared" si="131"/>
        <v>0</v>
      </c>
      <c r="BA133" s="2">
        <f t="shared" si="131"/>
        <v>0</v>
      </c>
      <c r="BB133" s="2">
        <f t="shared" si="131"/>
        <v>0</v>
      </c>
      <c r="BC133" s="2">
        <f t="shared" si="131"/>
        <v>0</v>
      </c>
      <c r="BD133" s="2">
        <f t="shared" si="131"/>
        <v>0</v>
      </c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>
        <f>ROUND(SUMIF(AA119:AA131,"=75700856",FQ119:FQ131),2)</f>
        <v>0</v>
      </c>
      <c r="BY133" s="2">
        <f>ROUND(SUMIF(AA119:AA131,"=75700856",FR119:FR131),2)</f>
        <v>0</v>
      </c>
      <c r="BZ133" s="2">
        <f>ROUND(SUMIF(AA119:AA131,"=75700856",GL119:GL131),2)</f>
        <v>0</v>
      </c>
      <c r="CA133" s="2">
        <f>ROUND(SUMIF(AA119:AA131,"=75700856",GM119:GM131),2)</f>
        <v>21415.46</v>
      </c>
      <c r="CB133" s="2">
        <f>ROUND(SUMIF(AA119:AA131,"=75700856",GN119:GN131),2)</f>
        <v>0</v>
      </c>
      <c r="CC133" s="2">
        <f>ROUND(SUMIF(AA119:AA131,"=75700856",GO119:GO131),2)</f>
        <v>0</v>
      </c>
      <c r="CD133" s="2">
        <f>ROUND(SUMIF(AA119:AA131,"=75700856",GP119:GP131),2)</f>
        <v>21415.46</v>
      </c>
      <c r="CE133" s="2">
        <f>AC133-BX133</f>
        <v>17171.68</v>
      </c>
      <c r="CF133" s="2">
        <f>AC133-BY133</f>
        <v>17171.68</v>
      </c>
      <c r="CG133" s="2">
        <f>BX133-BZ133</f>
        <v>0</v>
      </c>
      <c r="CH133" s="2">
        <f>AC133-BX133-BY133+BZ133</f>
        <v>17171.68</v>
      </c>
      <c r="CI133" s="2">
        <f>BY133-BZ133</f>
        <v>0</v>
      </c>
      <c r="CJ133" s="2">
        <f>ROUND(SUMIF(AA119:AA131,"=75700856",GX119:GX131),2)</f>
        <v>0</v>
      </c>
      <c r="CK133" s="2">
        <f>ROUND(SUMIF(AA119:AA131,"=75700856",GY119:GY131),2)</f>
        <v>0</v>
      </c>
      <c r="CL133" s="2">
        <f>ROUND(SUMIF(AA119:AA131,"=75700856",GZ119:GZ131),2)</f>
        <v>0</v>
      </c>
      <c r="CM133" s="2">
        <f>ROUND(SUMIF(AA119:AA131,"=75700856",HD119:HD131),2)</f>
        <v>0</v>
      </c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>
        <v>0</v>
      </c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201</v>
      </c>
      <c r="F135" s="4">
        <f>ROUND(Source!O133,O135)</f>
        <v>19529.349999999999</v>
      </c>
      <c r="G135" s="4" t="s">
        <v>74</v>
      </c>
      <c r="H135" s="4" t="s">
        <v>75</v>
      </c>
      <c r="I135" s="4"/>
      <c r="J135" s="4"/>
      <c r="K135" s="4">
        <v>201</v>
      </c>
      <c r="L135" s="4">
        <v>1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19529.349999999999</v>
      </c>
      <c r="X135" s="4">
        <v>1</v>
      </c>
      <c r="Y135" s="4">
        <v>19529.349999999999</v>
      </c>
      <c r="Z135" s="4"/>
      <c r="AA135" s="4"/>
      <c r="AB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202</v>
      </c>
      <c r="F136" s="4">
        <f>ROUND(Source!P133,O136)</f>
        <v>17171.68</v>
      </c>
      <c r="G136" s="4" t="s">
        <v>76</v>
      </c>
      <c r="H136" s="4" t="s">
        <v>77</v>
      </c>
      <c r="I136" s="4"/>
      <c r="J136" s="4"/>
      <c r="K136" s="4">
        <v>202</v>
      </c>
      <c r="L136" s="4">
        <v>2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17171.68</v>
      </c>
      <c r="X136" s="4">
        <v>1</v>
      </c>
      <c r="Y136" s="4">
        <v>17171.68</v>
      </c>
      <c r="Z136" s="4"/>
      <c r="AA136" s="4"/>
      <c r="AB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222</v>
      </c>
      <c r="F137" s="4">
        <f>ROUND(Source!AO133,O137)</f>
        <v>0</v>
      </c>
      <c r="G137" s="4" t="s">
        <v>78</v>
      </c>
      <c r="H137" s="4" t="s">
        <v>79</v>
      </c>
      <c r="I137" s="4"/>
      <c r="J137" s="4"/>
      <c r="K137" s="4">
        <v>222</v>
      </c>
      <c r="L137" s="4">
        <v>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225</v>
      </c>
      <c r="F138" s="4">
        <f>ROUND(Source!AV133,O138)</f>
        <v>17171.68</v>
      </c>
      <c r="G138" s="4" t="s">
        <v>80</v>
      </c>
      <c r="H138" s="4" t="s">
        <v>81</v>
      </c>
      <c r="I138" s="4"/>
      <c r="J138" s="4"/>
      <c r="K138" s="4">
        <v>225</v>
      </c>
      <c r="L138" s="4">
        <v>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17171.68</v>
      </c>
      <c r="X138" s="4">
        <v>1</v>
      </c>
      <c r="Y138" s="4">
        <v>17171.68</v>
      </c>
      <c r="Z138" s="4"/>
      <c r="AA138" s="4"/>
      <c r="AB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226</v>
      </c>
      <c r="F139" s="4">
        <f>ROUND(Source!AW133,O139)</f>
        <v>17171.68</v>
      </c>
      <c r="G139" s="4" t="s">
        <v>82</v>
      </c>
      <c r="H139" s="4" t="s">
        <v>83</v>
      </c>
      <c r="I139" s="4"/>
      <c r="J139" s="4"/>
      <c r="K139" s="4">
        <v>226</v>
      </c>
      <c r="L139" s="4">
        <v>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17171.68</v>
      </c>
      <c r="X139" s="4">
        <v>1</v>
      </c>
      <c r="Y139" s="4">
        <v>17171.68</v>
      </c>
      <c r="Z139" s="4"/>
      <c r="AA139" s="4"/>
      <c r="AB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227</v>
      </c>
      <c r="F140" s="4">
        <f>ROUND(Source!AX133,O140)</f>
        <v>0</v>
      </c>
      <c r="G140" s="4" t="s">
        <v>84</v>
      </c>
      <c r="H140" s="4" t="s">
        <v>85</v>
      </c>
      <c r="I140" s="4"/>
      <c r="J140" s="4"/>
      <c r="K140" s="4">
        <v>227</v>
      </c>
      <c r="L140" s="4">
        <v>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228</v>
      </c>
      <c r="F141" s="4">
        <f>ROUND(Source!AY133,O141)</f>
        <v>17171.68</v>
      </c>
      <c r="G141" s="4" t="s">
        <v>86</v>
      </c>
      <c r="H141" s="4" t="s">
        <v>87</v>
      </c>
      <c r="I141" s="4"/>
      <c r="J141" s="4"/>
      <c r="K141" s="4">
        <v>228</v>
      </c>
      <c r="L141" s="4">
        <v>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17171.68</v>
      </c>
      <c r="X141" s="4">
        <v>1</v>
      </c>
      <c r="Y141" s="4">
        <v>17171.68</v>
      </c>
      <c r="Z141" s="4"/>
      <c r="AA141" s="4"/>
      <c r="AB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216</v>
      </c>
      <c r="F142" s="4">
        <f>ROUND(Source!AP133,O142)</f>
        <v>0</v>
      </c>
      <c r="G142" s="4" t="s">
        <v>88</v>
      </c>
      <c r="H142" s="4" t="s">
        <v>89</v>
      </c>
      <c r="I142" s="4"/>
      <c r="J142" s="4"/>
      <c r="K142" s="4">
        <v>216</v>
      </c>
      <c r="L142" s="4">
        <v>8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223</v>
      </c>
      <c r="F143" s="4">
        <f>ROUND(Source!AQ133,O143)</f>
        <v>0</v>
      </c>
      <c r="G143" s="4" t="s">
        <v>90</v>
      </c>
      <c r="H143" s="4" t="s">
        <v>91</v>
      </c>
      <c r="I143" s="4"/>
      <c r="J143" s="4"/>
      <c r="K143" s="4">
        <v>223</v>
      </c>
      <c r="L143" s="4">
        <v>9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229</v>
      </c>
      <c r="F144" s="4">
        <f>ROUND(Source!AZ133,O144)</f>
        <v>0</v>
      </c>
      <c r="G144" s="4" t="s">
        <v>92</v>
      </c>
      <c r="H144" s="4" t="s">
        <v>93</v>
      </c>
      <c r="I144" s="4"/>
      <c r="J144" s="4"/>
      <c r="K144" s="4">
        <v>229</v>
      </c>
      <c r="L144" s="4">
        <v>10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203</v>
      </c>
      <c r="F145" s="4">
        <f>ROUND(Source!Q133,O145)</f>
        <v>0.12</v>
      </c>
      <c r="G145" s="4" t="s">
        <v>94</v>
      </c>
      <c r="H145" s="4" t="s">
        <v>95</v>
      </c>
      <c r="I145" s="4"/>
      <c r="J145" s="4"/>
      <c r="K145" s="4">
        <v>203</v>
      </c>
      <c r="L145" s="4">
        <v>11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0.12</v>
      </c>
      <c r="X145" s="4">
        <v>1</v>
      </c>
      <c r="Y145" s="4">
        <v>0.12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231</v>
      </c>
      <c r="F146" s="4">
        <f>ROUND(Source!BB133,O146)</f>
        <v>0</v>
      </c>
      <c r="G146" s="4" t="s">
        <v>96</v>
      </c>
      <c r="H146" s="4" t="s">
        <v>97</v>
      </c>
      <c r="I146" s="4"/>
      <c r="J146" s="4"/>
      <c r="K146" s="4">
        <v>231</v>
      </c>
      <c r="L146" s="4">
        <v>12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204</v>
      </c>
      <c r="F147" s="4">
        <f>ROUND(Source!R133,O147)</f>
        <v>0.04</v>
      </c>
      <c r="G147" s="4" t="s">
        <v>98</v>
      </c>
      <c r="H147" s="4" t="s">
        <v>99</v>
      </c>
      <c r="I147" s="4"/>
      <c r="J147" s="4"/>
      <c r="K147" s="4">
        <v>204</v>
      </c>
      <c r="L147" s="4">
        <v>13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0.04</v>
      </c>
      <c r="X147" s="4">
        <v>1</v>
      </c>
      <c r="Y147" s="4">
        <v>0.04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205</v>
      </c>
      <c r="F148" s="4">
        <f>ROUND(Source!S133,O148)</f>
        <v>2357.5500000000002</v>
      </c>
      <c r="G148" s="4" t="s">
        <v>100</v>
      </c>
      <c r="H148" s="4" t="s">
        <v>101</v>
      </c>
      <c r="I148" s="4"/>
      <c r="J148" s="4"/>
      <c r="K148" s="4">
        <v>205</v>
      </c>
      <c r="L148" s="4">
        <v>14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2357.5500000000002</v>
      </c>
      <c r="X148" s="4">
        <v>1</v>
      </c>
      <c r="Y148" s="4">
        <v>2357.5500000000002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232</v>
      </c>
      <c r="F149" s="4">
        <f>ROUND(Source!BC133,O149)</f>
        <v>0</v>
      </c>
      <c r="G149" s="4" t="s">
        <v>102</v>
      </c>
      <c r="H149" s="4" t="s">
        <v>103</v>
      </c>
      <c r="I149" s="4"/>
      <c r="J149" s="4"/>
      <c r="K149" s="4">
        <v>232</v>
      </c>
      <c r="L149" s="4">
        <v>15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214</v>
      </c>
      <c r="F150" s="4">
        <f>ROUND(Source!AS133,O150)</f>
        <v>0</v>
      </c>
      <c r="G150" s="4" t="s">
        <v>104</v>
      </c>
      <c r="H150" s="4" t="s">
        <v>105</v>
      </c>
      <c r="I150" s="4"/>
      <c r="J150" s="4"/>
      <c r="K150" s="4">
        <v>214</v>
      </c>
      <c r="L150" s="4">
        <v>16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215</v>
      </c>
      <c r="F151" s="4">
        <f>ROUND(Source!AT133,O151)</f>
        <v>0</v>
      </c>
      <c r="G151" s="4" t="s">
        <v>106</v>
      </c>
      <c r="H151" s="4" t="s">
        <v>107</v>
      </c>
      <c r="I151" s="4"/>
      <c r="J151" s="4"/>
      <c r="K151" s="4">
        <v>215</v>
      </c>
      <c r="L151" s="4">
        <v>17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217</v>
      </c>
      <c r="F152" s="4">
        <f>ROUND(Source!AU133,O152)</f>
        <v>21415.46</v>
      </c>
      <c r="G152" s="4" t="s">
        <v>108</v>
      </c>
      <c r="H152" s="4" t="s">
        <v>109</v>
      </c>
      <c r="I152" s="4"/>
      <c r="J152" s="4"/>
      <c r="K152" s="4">
        <v>217</v>
      </c>
      <c r="L152" s="4">
        <v>18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21415.46</v>
      </c>
      <c r="X152" s="4">
        <v>1</v>
      </c>
      <c r="Y152" s="4">
        <v>21415.46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230</v>
      </c>
      <c r="F153" s="4">
        <f>ROUND(Source!BA133,O153)</f>
        <v>0</v>
      </c>
      <c r="G153" s="4" t="s">
        <v>110</v>
      </c>
      <c r="H153" s="4" t="s">
        <v>111</v>
      </c>
      <c r="I153" s="4"/>
      <c r="J153" s="4"/>
      <c r="K153" s="4">
        <v>230</v>
      </c>
      <c r="L153" s="4">
        <v>19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206</v>
      </c>
      <c r="F154" s="4">
        <f>ROUND(Source!T133,O154)</f>
        <v>0</v>
      </c>
      <c r="G154" s="4" t="s">
        <v>112</v>
      </c>
      <c r="H154" s="4" t="s">
        <v>113</v>
      </c>
      <c r="I154" s="4"/>
      <c r="J154" s="4"/>
      <c r="K154" s="4">
        <v>206</v>
      </c>
      <c r="L154" s="4">
        <v>20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207</v>
      </c>
      <c r="F155" s="4">
        <f>Source!U133</f>
        <v>4.7559200000000006</v>
      </c>
      <c r="G155" s="4" t="s">
        <v>114</v>
      </c>
      <c r="H155" s="4" t="s">
        <v>115</v>
      </c>
      <c r="I155" s="4"/>
      <c r="J155" s="4"/>
      <c r="K155" s="4">
        <v>207</v>
      </c>
      <c r="L155" s="4">
        <v>21</v>
      </c>
      <c r="M155" s="4">
        <v>3</v>
      </c>
      <c r="N155" s="4" t="s">
        <v>3</v>
      </c>
      <c r="O155" s="4">
        <v>-1</v>
      </c>
      <c r="P155" s="4"/>
      <c r="Q155" s="4"/>
      <c r="R155" s="4"/>
      <c r="S155" s="4"/>
      <c r="T155" s="4"/>
      <c r="U155" s="4"/>
      <c r="V155" s="4"/>
      <c r="W155" s="4">
        <v>4.7559200000000006</v>
      </c>
      <c r="X155" s="4">
        <v>1</v>
      </c>
      <c r="Y155" s="4">
        <v>4.7559200000000006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208</v>
      </c>
      <c r="F156" s="4">
        <f>Source!V133</f>
        <v>0</v>
      </c>
      <c r="G156" s="4" t="s">
        <v>116</v>
      </c>
      <c r="H156" s="4" t="s">
        <v>117</v>
      </c>
      <c r="I156" s="4"/>
      <c r="J156" s="4"/>
      <c r="K156" s="4">
        <v>208</v>
      </c>
      <c r="L156" s="4">
        <v>22</v>
      </c>
      <c r="M156" s="4">
        <v>3</v>
      </c>
      <c r="N156" s="4" t="s">
        <v>3</v>
      </c>
      <c r="O156" s="4">
        <v>-1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209</v>
      </c>
      <c r="F157" s="4">
        <f>ROUND(Source!W133,O157)</f>
        <v>0</v>
      </c>
      <c r="G157" s="4" t="s">
        <v>118</v>
      </c>
      <c r="H157" s="4" t="s">
        <v>119</v>
      </c>
      <c r="I157" s="4"/>
      <c r="J157" s="4"/>
      <c r="K157" s="4">
        <v>209</v>
      </c>
      <c r="L157" s="4">
        <v>23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233</v>
      </c>
      <c r="F158" s="4">
        <f>ROUND(Source!BD133,O158)</f>
        <v>0</v>
      </c>
      <c r="G158" s="4" t="s">
        <v>120</v>
      </c>
      <c r="H158" s="4" t="s">
        <v>121</v>
      </c>
      <c r="I158" s="4"/>
      <c r="J158" s="4"/>
      <c r="K158" s="4">
        <v>233</v>
      </c>
      <c r="L158" s="4">
        <v>24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210</v>
      </c>
      <c r="F159" s="4">
        <f>ROUND(Source!X133,O159)</f>
        <v>1650.3</v>
      </c>
      <c r="G159" s="4" t="s">
        <v>122</v>
      </c>
      <c r="H159" s="4" t="s">
        <v>123</v>
      </c>
      <c r="I159" s="4"/>
      <c r="J159" s="4"/>
      <c r="K159" s="4">
        <v>210</v>
      </c>
      <c r="L159" s="4">
        <v>25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1650.3</v>
      </c>
      <c r="X159" s="4">
        <v>1</v>
      </c>
      <c r="Y159" s="4">
        <v>1650.3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211</v>
      </c>
      <c r="F160" s="4">
        <f>ROUND(Source!Y133,O160)</f>
        <v>235.77</v>
      </c>
      <c r="G160" s="4" t="s">
        <v>124</v>
      </c>
      <c r="H160" s="4" t="s">
        <v>125</v>
      </c>
      <c r="I160" s="4"/>
      <c r="J160" s="4"/>
      <c r="K160" s="4">
        <v>211</v>
      </c>
      <c r="L160" s="4">
        <v>26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235.77</v>
      </c>
      <c r="X160" s="4">
        <v>1</v>
      </c>
      <c r="Y160" s="4">
        <v>235.77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224</v>
      </c>
      <c r="F161" s="4">
        <f>ROUND(Source!AR133,O161)</f>
        <v>21415.46</v>
      </c>
      <c r="G161" s="4" t="s">
        <v>126</v>
      </c>
      <c r="H161" s="4" t="s">
        <v>127</v>
      </c>
      <c r="I161" s="4"/>
      <c r="J161" s="4"/>
      <c r="K161" s="4">
        <v>224</v>
      </c>
      <c r="L161" s="4">
        <v>27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21415.46</v>
      </c>
      <c r="X161" s="4">
        <v>1</v>
      </c>
      <c r="Y161" s="4">
        <v>21415.46</v>
      </c>
      <c r="Z161" s="4"/>
      <c r="AA161" s="4"/>
      <c r="AB161" s="4"/>
    </row>
    <row r="163" spans="1:245" x14ac:dyDescent="0.2">
      <c r="A163" s="1">
        <v>5</v>
      </c>
      <c r="B163" s="1">
        <v>1</v>
      </c>
      <c r="C163" s="1"/>
      <c r="D163" s="1">
        <f>ROW(A171)</f>
        <v>171</v>
      </c>
      <c r="E163" s="1"/>
      <c r="F163" s="1" t="s">
        <v>15</v>
      </c>
      <c r="G163" s="1" t="s">
        <v>204</v>
      </c>
      <c r="H163" s="1" t="s">
        <v>3</v>
      </c>
      <c r="I163" s="1">
        <v>0</v>
      </c>
      <c r="J163" s="1"/>
      <c r="K163" s="1">
        <v>0</v>
      </c>
      <c r="L163" s="1"/>
      <c r="M163" s="1" t="s">
        <v>3</v>
      </c>
      <c r="N163" s="1"/>
      <c r="O163" s="1"/>
      <c r="P163" s="1"/>
      <c r="Q163" s="1"/>
      <c r="R163" s="1"/>
      <c r="S163" s="1">
        <v>0</v>
      </c>
      <c r="T163" s="1"/>
      <c r="U163" s="1" t="s">
        <v>3</v>
      </c>
      <c r="V163" s="1">
        <v>0</v>
      </c>
      <c r="W163" s="1"/>
      <c r="X163" s="1"/>
      <c r="Y163" s="1"/>
      <c r="Z163" s="1"/>
      <c r="AA163" s="1"/>
      <c r="AB163" s="1" t="s">
        <v>3</v>
      </c>
      <c r="AC163" s="1" t="s">
        <v>3</v>
      </c>
      <c r="AD163" s="1" t="s">
        <v>3</v>
      </c>
      <c r="AE163" s="1" t="s">
        <v>3</v>
      </c>
      <c r="AF163" s="1" t="s">
        <v>3</v>
      </c>
      <c r="AG163" s="1" t="s">
        <v>3</v>
      </c>
      <c r="AH163" s="1"/>
      <c r="AI163" s="1"/>
      <c r="AJ163" s="1"/>
      <c r="AK163" s="1"/>
      <c r="AL163" s="1"/>
      <c r="AM163" s="1"/>
      <c r="AN163" s="1"/>
      <c r="AO163" s="1"/>
      <c r="AP163" s="1" t="s">
        <v>3</v>
      </c>
      <c r="AQ163" s="1" t="s">
        <v>3</v>
      </c>
      <c r="AR163" s="1" t="s">
        <v>3</v>
      </c>
      <c r="AS163" s="1"/>
      <c r="AT163" s="1"/>
      <c r="AU163" s="1"/>
      <c r="AV163" s="1"/>
      <c r="AW163" s="1"/>
      <c r="AX163" s="1"/>
      <c r="AY163" s="1"/>
      <c r="AZ163" s="1" t="s">
        <v>3</v>
      </c>
      <c r="BA163" s="1"/>
      <c r="BB163" s="1" t="s">
        <v>3</v>
      </c>
      <c r="BC163" s="1" t="s">
        <v>3</v>
      </c>
      <c r="BD163" s="1" t="s">
        <v>3</v>
      </c>
      <c r="BE163" s="1" t="s">
        <v>3</v>
      </c>
      <c r="BF163" s="1" t="s">
        <v>3</v>
      </c>
      <c r="BG163" s="1" t="s">
        <v>3</v>
      </c>
      <c r="BH163" s="1" t="s">
        <v>3</v>
      </c>
      <c r="BI163" s="1" t="s">
        <v>3</v>
      </c>
      <c r="BJ163" s="1" t="s">
        <v>3</v>
      </c>
      <c r="BK163" s="1" t="s">
        <v>3</v>
      </c>
      <c r="BL163" s="1" t="s">
        <v>3</v>
      </c>
      <c r="BM163" s="1" t="s">
        <v>3</v>
      </c>
      <c r="BN163" s="1" t="s">
        <v>3</v>
      </c>
      <c r="BO163" s="1" t="s">
        <v>3</v>
      </c>
      <c r="BP163" s="1" t="s">
        <v>3</v>
      </c>
      <c r="BQ163" s="1"/>
      <c r="BR163" s="1"/>
      <c r="BS163" s="1"/>
      <c r="BT163" s="1"/>
      <c r="BU163" s="1"/>
      <c r="BV163" s="1"/>
      <c r="BW163" s="1"/>
      <c r="BX163" s="1">
        <v>0</v>
      </c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>
        <v>0</v>
      </c>
    </row>
    <row r="165" spans="1:245" x14ac:dyDescent="0.2">
      <c r="A165" s="2">
        <v>52</v>
      </c>
      <c r="B165" s="2">
        <f t="shared" ref="B165:G165" si="132">B171</f>
        <v>1</v>
      </c>
      <c r="C165" s="2">
        <f t="shared" si="132"/>
        <v>5</v>
      </c>
      <c r="D165" s="2">
        <f t="shared" si="132"/>
        <v>163</v>
      </c>
      <c r="E165" s="2">
        <f t="shared" si="132"/>
        <v>0</v>
      </c>
      <c r="F165" s="2" t="str">
        <f t="shared" si="132"/>
        <v>Новый подраздел</v>
      </c>
      <c r="G165" s="2" t="str">
        <f t="shared" si="132"/>
        <v>Электрика</v>
      </c>
      <c r="H165" s="2"/>
      <c r="I165" s="2"/>
      <c r="J165" s="2"/>
      <c r="K165" s="2"/>
      <c r="L165" s="2"/>
      <c r="M165" s="2"/>
      <c r="N165" s="2"/>
      <c r="O165" s="2">
        <f t="shared" ref="O165:AT165" si="133">O171</f>
        <v>1214.1600000000001</v>
      </c>
      <c r="P165" s="2">
        <f t="shared" si="133"/>
        <v>751.1</v>
      </c>
      <c r="Q165" s="2">
        <f t="shared" si="133"/>
        <v>0</v>
      </c>
      <c r="R165" s="2">
        <f t="shared" si="133"/>
        <v>0</v>
      </c>
      <c r="S165" s="2">
        <f t="shared" si="133"/>
        <v>463.06</v>
      </c>
      <c r="T165" s="2">
        <f t="shared" si="133"/>
        <v>0</v>
      </c>
      <c r="U165" s="2">
        <f t="shared" si="133"/>
        <v>1.1896</v>
      </c>
      <c r="V165" s="2">
        <f t="shared" si="133"/>
        <v>0</v>
      </c>
      <c r="W165" s="2">
        <f t="shared" si="133"/>
        <v>0</v>
      </c>
      <c r="X165" s="2">
        <f t="shared" si="133"/>
        <v>324.14</v>
      </c>
      <c r="Y165" s="2">
        <f t="shared" si="133"/>
        <v>46.31</v>
      </c>
      <c r="Z165" s="2">
        <f t="shared" si="133"/>
        <v>0</v>
      </c>
      <c r="AA165" s="2">
        <f t="shared" si="133"/>
        <v>0</v>
      </c>
      <c r="AB165" s="2">
        <f t="shared" si="133"/>
        <v>1214.1600000000001</v>
      </c>
      <c r="AC165" s="2">
        <f t="shared" si="133"/>
        <v>751.1</v>
      </c>
      <c r="AD165" s="2">
        <f t="shared" si="133"/>
        <v>0</v>
      </c>
      <c r="AE165" s="2">
        <f t="shared" si="133"/>
        <v>0</v>
      </c>
      <c r="AF165" s="2">
        <f t="shared" si="133"/>
        <v>463.06</v>
      </c>
      <c r="AG165" s="2">
        <f t="shared" si="133"/>
        <v>0</v>
      </c>
      <c r="AH165" s="2">
        <f t="shared" si="133"/>
        <v>1.1896</v>
      </c>
      <c r="AI165" s="2">
        <f t="shared" si="133"/>
        <v>0</v>
      </c>
      <c r="AJ165" s="2">
        <f t="shared" si="133"/>
        <v>0</v>
      </c>
      <c r="AK165" s="2">
        <f t="shared" si="133"/>
        <v>324.14</v>
      </c>
      <c r="AL165" s="2">
        <f t="shared" si="133"/>
        <v>46.31</v>
      </c>
      <c r="AM165" s="2">
        <f t="shared" si="133"/>
        <v>0</v>
      </c>
      <c r="AN165" s="2">
        <f t="shared" si="133"/>
        <v>0</v>
      </c>
      <c r="AO165" s="2">
        <f t="shared" si="133"/>
        <v>0</v>
      </c>
      <c r="AP165" s="2">
        <f t="shared" si="133"/>
        <v>0</v>
      </c>
      <c r="AQ165" s="2">
        <f t="shared" si="133"/>
        <v>0</v>
      </c>
      <c r="AR165" s="2">
        <f t="shared" si="133"/>
        <v>1584.61</v>
      </c>
      <c r="AS165" s="2">
        <f t="shared" si="133"/>
        <v>0</v>
      </c>
      <c r="AT165" s="2">
        <f t="shared" si="133"/>
        <v>0</v>
      </c>
      <c r="AU165" s="2">
        <f t="shared" ref="AU165:BZ165" si="134">AU171</f>
        <v>1584.61</v>
      </c>
      <c r="AV165" s="2">
        <f t="shared" si="134"/>
        <v>751.1</v>
      </c>
      <c r="AW165" s="2">
        <f t="shared" si="134"/>
        <v>751.1</v>
      </c>
      <c r="AX165" s="2">
        <f t="shared" si="134"/>
        <v>0</v>
      </c>
      <c r="AY165" s="2">
        <f t="shared" si="134"/>
        <v>751.1</v>
      </c>
      <c r="AZ165" s="2">
        <f t="shared" si="134"/>
        <v>0</v>
      </c>
      <c r="BA165" s="2">
        <f t="shared" si="134"/>
        <v>0</v>
      </c>
      <c r="BB165" s="2">
        <f t="shared" si="134"/>
        <v>0</v>
      </c>
      <c r="BC165" s="2">
        <f t="shared" si="134"/>
        <v>0</v>
      </c>
      <c r="BD165" s="2">
        <f t="shared" si="134"/>
        <v>0</v>
      </c>
      <c r="BE165" s="2">
        <f t="shared" si="134"/>
        <v>0</v>
      </c>
      <c r="BF165" s="2">
        <f t="shared" si="134"/>
        <v>0</v>
      </c>
      <c r="BG165" s="2">
        <f t="shared" si="134"/>
        <v>0</v>
      </c>
      <c r="BH165" s="2">
        <f t="shared" si="134"/>
        <v>0</v>
      </c>
      <c r="BI165" s="2">
        <f t="shared" si="134"/>
        <v>0</v>
      </c>
      <c r="BJ165" s="2">
        <f t="shared" si="134"/>
        <v>0</v>
      </c>
      <c r="BK165" s="2">
        <f t="shared" si="134"/>
        <v>0</v>
      </c>
      <c r="BL165" s="2">
        <f t="shared" si="134"/>
        <v>0</v>
      </c>
      <c r="BM165" s="2">
        <f t="shared" si="134"/>
        <v>0</v>
      </c>
      <c r="BN165" s="2">
        <f t="shared" si="134"/>
        <v>0</v>
      </c>
      <c r="BO165" s="2">
        <f t="shared" si="134"/>
        <v>0</v>
      </c>
      <c r="BP165" s="2">
        <f t="shared" si="134"/>
        <v>0</v>
      </c>
      <c r="BQ165" s="2">
        <f t="shared" si="134"/>
        <v>0</v>
      </c>
      <c r="BR165" s="2">
        <f t="shared" si="134"/>
        <v>0</v>
      </c>
      <c r="BS165" s="2">
        <f t="shared" si="134"/>
        <v>0</v>
      </c>
      <c r="BT165" s="2">
        <f t="shared" si="134"/>
        <v>0</v>
      </c>
      <c r="BU165" s="2">
        <f t="shared" si="134"/>
        <v>0</v>
      </c>
      <c r="BV165" s="2">
        <f t="shared" si="134"/>
        <v>0</v>
      </c>
      <c r="BW165" s="2">
        <f t="shared" si="134"/>
        <v>0</v>
      </c>
      <c r="BX165" s="2">
        <f t="shared" si="134"/>
        <v>0</v>
      </c>
      <c r="BY165" s="2">
        <f t="shared" si="134"/>
        <v>0</v>
      </c>
      <c r="BZ165" s="2">
        <f t="shared" si="134"/>
        <v>0</v>
      </c>
      <c r="CA165" s="2">
        <f t="shared" ref="CA165:DF165" si="135">CA171</f>
        <v>1584.61</v>
      </c>
      <c r="CB165" s="2">
        <f t="shared" si="135"/>
        <v>0</v>
      </c>
      <c r="CC165" s="2">
        <f t="shared" si="135"/>
        <v>0</v>
      </c>
      <c r="CD165" s="2">
        <f t="shared" si="135"/>
        <v>1584.61</v>
      </c>
      <c r="CE165" s="2">
        <f t="shared" si="135"/>
        <v>751.1</v>
      </c>
      <c r="CF165" s="2">
        <f t="shared" si="135"/>
        <v>751.1</v>
      </c>
      <c r="CG165" s="2">
        <f t="shared" si="135"/>
        <v>0</v>
      </c>
      <c r="CH165" s="2">
        <f t="shared" si="135"/>
        <v>751.1</v>
      </c>
      <c r="CI165" s="2">
        <f t="shared" si="135"/>
        <v>0</v>
      </c>
      <c r="CJ165" s="2">
        <f t="shared" si="135"/>
        <v>0</v>
      </c>
      <c r="CK165" s="2">
        <f t="shared" si="135"/>
        <v>0</v>
      </c>
      <c r="CL165" s="2">
        <f t="shared" si="135"/>
        <v>0</v>
      </c>
      <c r="CM165" s="2">
        <f t="shared" si="135"/>
        <v>0</v>
      </c>
      <c r="CN165" s="2">
        <f t="shared" si="135"/>
        <v>0</v>
      </c>
      <c r="CO165" s="2">
        <f t="shared" si="135"/>
        <v>0</v>
      </c>
      <c r="CP165" s="2">
        <f t="shared" si="135"/>
        <v>0</v>
      </c>
      <c r="CQ165" s="2">
        <f t="shared" si="135"/>
        <v>0</v>
      </c>
      <c r="CR165" s="2">
        <f t="shared" si="135"/>
        <v>0</v>
      </c>
      <c r="CS165" s="2">
        <f t="shared" si="135"/>
        <v>0</v>
      </c>
      <c r="CT165" s="2">
        <f t="shared" si="135"/>
        <v>0</v>
      </c>
      <c r="CU165" s="2">
        <f t="shared" si="135"/>
        <v>0</v>
      </c>
      <c r="CV165" s="2">
        <f t="shared" si="135"/>
        <v>0</v>
      </c>
      <c r="CW165" s="2">
        <f t="shared" si="135"/>
        <v>0</v>
      </c>
      <c r="CX165" s="2">
        <f t="shared" si="135"/>
        <v>0</v>
      </c>
      <c r="CY165" s="2">
        <f t="shared" si="135"/>
        <v>0</v>
      </c>
      <c r="CZ165" s="2">
        <f t="shared" si="135"/>
        <v>0</v>
      </c>
      <c r="DA165" s="2">
        <f t="shared" si="135"/>
        <v>0</v>
      </c>
      <c r="DB165" s="2">
        <f t="shared" si="135"/>
        <v>0</v>
      </c>
      <c r="DC165" s="2">
        <f t="shared" si="135"/>
        <v>0</v>
      </c>
      <c r="DD165" s="2">
        <f t="shared" si="135"/>
        <v>0</v>
      </c>
      <c r="DE165" s="2">
        <f t="shared" si="135"/>
        <v>0</v>
      </c>
      <c r="DF165" s="2">
        <f t="shared" si="135"/>
        <v>0</v>
      </c>
      <c r="DG165" s="3">
        <f t="shared" ref="DG165:EL165" si="136">DG171</f>
        <v>0</v>
      </c>
      <c r="DH165" s="3">
        <f t="shared" si="136"/>
        <v>0</v>
      </c>
      <c r="DI165" s="3">
        <f t="shared" si="136"/>
        <v>0</v>
      </c>
      <c r="DJ165" s="3">
        <f t="shared" si="136"/>
        <v>0</v>
      </c>
      <c r="DK165" s="3">
        <f t="shared" si="136"/>
        <v>0</v>
      </c>
      <c r="DL165" s="3">
        <f t="shared" si="136"/>
        <v>0</v>
      </c>
      <c r="DM165" s="3">
        <f t="shared" si="136"/>
        <v>0</v>
      </c>
      <c r="DN165" s="3">
        <f t="shared" si="136"/>
        <v>0</v>
      </c>
      <c r="DO165" s="3">
        <f t="shared" si="136"/>
        <v>0</v>
      </c>
      <c r="DP165" s="3">
        <f t="shared" si="136"/>
        <v>0</v>
      </c>
      <c r="DQ165" s="3">
        <f t="shared" si="136"/>
        <v>0</v>
      </c>
      <c r="DR165" s="3">
        <f t="shared" si="136"/>
        <v>0</v>
      </c>
      <c r="DS165" s="3">
        <f t="shared" si="136"/>
        <v>0</v>
      </c>
      <c r="DT165" s="3">
        <f t="shared" si="136"/>
        <v>0</v>
      </c>
      <c r="DU165" s="3">
        <f t="shared" si="136"/>
        <v>0</v>
      </c>
      <c r="DV165" s="3">
        <f t="shared" si="136"/>
        <v>0</v>
      </c>
      <c r="DW165" s="3">
        <f t="shared" si="136"/>
        <v>0</v>
      </c>
      <c r="DX165" s="3">
        <f t="shared" si="136"/>
        <v>0</v>
      </c>
      <c r="DY165" s="3">
        <f t="shared" si="136"/>
        <v>0</v>
      </c>
      <c r="DZ165" s="3">
        <f t="shared" si="136"/>
        <v>0</v>
      </c>
      <c r="EA165" s="3">
        <f t="shared" si="136"/>
        <v>0</v>
      </c>
      <c r="EB165" s="3">
        <f t="shared" si="136"/>
        <v>0</v>
      </c>
      <c r="EC165" s="3">
        <f t="shared" si="136"/>
        <v>0</v>
      </c>
      <c r="ED165" s="3">
        <f t="shared" si="136"/>
        <v>0</v>
      </c>
      <c r="EE165" s="3">
        <f t="shared" si="136"/>
        <v>0</v>
      </c>
      <c r="EF165" s="3">
        <f t="shared" si="136"/>
        <v>0</v>
      </c>
      <c r="EG165" s="3">
        <f t="shared" si="136"/>
        <v>0</v>
      </c>
      <c r="EH165" s="3">
        <f t="shared" si="136"/>
        <v>0</v>
      </c>
      <c r="EI165" s="3">
        <f t="shared" si="136"/>
        <v>0</v>
      </c>
      <c r="EJ165" s="3">
        <f t="shared" si="136"/>
        <v>0</v>
      </c>
      <c r="EK165" s="3">
        <f t="shared" si="136"/>
        <v>0</v>
      </c>
      <c r="EL165" s="3">
        <f t="shared" si="136"/>
        <v>0</v>
      </c>
      <c r="EM165" s="3">
        <f t="shared" ref="EM165:FR165" si="137">EM171</f>
        <v>0</v>
      </c>
      <c r="EN165" s="3">
        <f t="shared" si="137"/>
        <v>0</v>
      </c>
      <c r="EO165" s="3">
        <f t="shared" si="137"/>
        <v>0</v>
      </c>
      <c r="EP165" s="3">
        <f t="shared" si="137"/>
        <v>0</v>
      </c>
      <c r="EQ165" s="3">
        <f t="shared" si="137"/>
        <v>0</v>
      </c>
      <c r="ER165" s="3">
        <f t="shared" si="137"/>
        <v>0</v>
      </c>
      <c r="ES165" s="3">
        <f t="shared" si="137"/>
        <v>0</v>
      </c>
      <c r="ET165" s="3">
        <f t="shared" si="137"/>
        <v>0</v>
      </c>
      <c r="EU165" s="3">
        <f t="shared" si="137"/>
        <v>0</v>
      </c>
      <c r="EV165" s="3">
        <f t="shared" si="137"/>
        <v>0</v>
      </c>
      <c r="EW165" s="3">
        <f t="shared" si="137"/>
        <v>0</v>
      </c>
      <c r="EX165" s="3">
        <f t="shared" si="137"/>
        <v>0</v>
      </c>
      <c r="EY165" s="3">
        <f t="shared" si="137"/>
        <v>0</v>
      </c>
      <c r="EZ165" s="3">
        <f t="shared" si="137"/>
        <v>0</v>
      </c>
      <c r="FA165" s="3">
        <f t="shared" si="137"/>
        <v>0</v>
      </c>
      <c r="FB165" s="3">
        <f t="shared" si="137"/>
        <v>0</v>
      </c>
      <c r="FC165" s="3">
        <f t="shared" si="137"/>
        <v>0</v>
      </c>
      <c r="FD165" s="3">
        <f t="shared" si="137"/>
        <v>0</v>
      </c>
      <c r="FE165" s="3">
        <f t="shared" si="137"/>
        <v>0</v>
      </c>
      <c r="FF165" s="3">
        <f t="shared" si="137"/>
        <v>0</v>
      </c>
      <c r="FG165" s="3">
        <f t="shared" si="137"/>
        <v>0</v>
      </c>
      <c r="FH165" s="3">
        <f t="shared" si="137"/>
        <v>0</v>
      </c>
      <c r="FI165" s="3">
        <f t="shared" si="137"/>
        <v>0</v>
      </c>
      <c r="FJ165" s="3">
        <f t="shared" si="137"/>
        <v>0</v>
      </c>
      <c r="FK165" s="3">
        <f t="shared" si="137"/>
        <v>0</v>
      </c>
      <c r="FL165" s="3">
        <f t="shared" si="137"/>
        <v>0</v>
      </c>
      <c r="FM165" s="3">
        <f t="shared" si="137"/>
        <v>0</v>
      </c>
      <c r="FN165" s="3">
        <f t="shared" si="137"/>
        <v>0</v>
      </c>
      <c r="FO165" s="3">
        <f t="shared" si="137"/>
        <v>0</v>
      </c>
      <c r="FP165" s="3">
        <f t="shared" si="137"/>
        <v>0</v>
      </c>
      <c r="FQ165" s="3">
        <f t="shared" si="137"/>
        <v>0</v>
      </c>
      <c r="FR165" s="3">
        <f t="shared" si="137"/>
        <v>0</v>
      </c>
      <c r="FS165" s="3">
        <f t="shared" ref="FS165:GX165" si="138">FS171</f>
        <v>0</v>
      </c>
      <c r="FT165" s="3">
        <f t="shared" si="138"/>
        <v>0</v>
      </c>
      <c r="FU165" s="3">
        <f t="shared" si="138"/>
        <v>0</v>
      </c>
      <c r="FV165" s="3">
        <f t="shared" si="138"/>
        <v>0</v>
      </c>
      <c r="FW165" s="3">
        <f t="shared" si="138"/>
        <v>0</v>
      </c>
      <c r="FX165" s="3">
        <f t="shared" si="138"/>
        <v>0</v>
      </c>
      <c r="FY165" s="3">
        <f t="shared" si="138"/>
        <v>0</v>
      </c>
      <c r="FZ165" s="3">
        <f t="shared" si="138"/>
        <v>0</v>
      </c>
      <c r="GA165" s="3">
        <f t="shared" si="138"/>
        <v>0</v>
      </c>
      <c r="GB165" s="3">
        <f t="shared" si="138"/>
        <v>0</v>
      </c>
      <c r="GC165" s="3">
        <f t="shared" si="138"/>
        <v>0</v>
      </c>
      <c r="GD165" s="3">
        <f t="shared" si="138"/>
        <v>0</v>
      </c>
      <c r="GE165" s="3">
        <f t="shared" si="138"/>
        <v>0</v>
      </c>
      <c r="GF165" s="3">
        <f t="shared" si="138"/>
        <v>0</v>
      </c>
      <c r="GG165" s="3">
        <f t="shared" si="138"/>
        <v>0</v>
      </c>
      <c r="GH165" s="3">
        <f t="shared" si="138"/>
        <v>0</v>
      </c>
      <c r="GI165" s="3">
        <f t="shared" si="138"/>
        <v>0</v>
      </c>
      <c r="GJ165" s="3">
        <f t="shared" si="138"/>
        <v>0</v>
      </c>
      <c r="GK165" s="3">
        <f t="shared" si="138"/>
        <v>0</v>
      </c>
      <c r="GL165" s="3">
        <f t="shared" si="138"/>
        <v>0</v>
      </c>
      <c r="GM165" s="3">
        <f t="shared" si="138"/>
        <v>0</v>
      </c>
      <c r="GN165" s="3">
        <f t="shared" si="138"/>
        <v>0</v>
      </c>
      <c r="GO165" s="3">
        <f t="shared" si="138"/>
        <v>0</v>
      </c>
      <c r="GP165" s="3">
        <f t="shared" si="138"/>
        <v>0</v>
      </c>
      <c r="GQ165" s="3">
        <f t="shared" si="138"/>
        <v>0</v>
      </c>
      <c r="GR165" s="3">
        <f t="shared" si="138"/>
        <v>0</v>
      </c>
      <c r="GS165" s="3">
        <f t="shared" si="138"/>
        <v>0</v>
      </c>
      <c r="GT165" s="3">
        <f t="shared" si="138"/>
        <v>0</v>
      </c>
      <c r="GU165" s="3">
        <f t="shared" si="138"/>
        <v>0</v>
      </c>
      <c r="GV165" s="3">
        <f t="shared" si="138"/>
        <v>0</v>
      </c>
      <c r="GW165" s="3">
        <f t="shared" si="138"/>
        <v>0</v>
      </c>
      <c r="GX165" s="3">
        <f t="shared" si="138"/>
        <v>0</v>
      </c>
    </row>
    <row r="167" spans="1:245" x14ac:dyDescent="0.2">
      <c r="A167">
        <v>17</v>
      </c>
      <c r="B167">
        <v>1</v>
      </c>
      <c r="C167">
        <f>ROW(SmtRes!A87)</f>
        <v>87</v>
      </c>
      <c r="D167">
        <f>ROW(EtalonRes!A78)</f>
        <v>78</v>
      </c>
      <c r="E167" t="s">
        <v>205</v>
      </c>
      <c r="F167" t="s">
        <v>206</v>
      </c>
      <c r="G167" t="s">
        <v>207</v>
      </c>
      <c r="H167" t="s">
        <v>158</v>
      </c>
      <c r="I167">
        <f>ROUND(4/100,9)</f>
        <v>0.04</v>
      </c>
      <c r="J167">
        <v>0</v>
      </c>
      <c r="K167">
        <f>ROUND(4/100,9)</f>
        <v>0.04</v>
      </c>
      <c r="O167">
        <f>ROUND(CP167,2)</f>
        <v>463.06</v>
      </c>
      <c r="P167">
        <f>ROUND(CQ167*I167,2)</f>
        <v>0</v>
      </c>
      <c r="Q167">
        <f>ROUND(CR167*I167,2)</f>
        <v>0</v>
      </c>
      <c r="R167">
        <f>ROUND(CS167*I167,2)</f>
        <v>0</v>
      </c>
      <c r="S167">
        <f>ROUND(CT167*I167,2)</f>
        <v>463.06</v>
      </c>
      <c r="T167">
        <f>ROUND(CU167*I167,2)</f>
        <v>0</v>
      </c>
      <c r="U167">
        <f>CV167*I167</f>
        <v>1.1896</v>
      </c>
      <c r="V167">
        <f>CW167*I167</f>
        <v>0</v>
      </c>
      <c r="W167">
        <f>ROUND(CX167*I167,2)</f>
        <v>0</v>
      </c>
      <c r="X167">
        <f t="shared" ref="X167:Y169" si="139">ROUND(CY167,2)</f>
        <v>324.14</v>
      </c>
      <c r="Y167">
        <f t="shared" si="139"/>
        <v>46.31</v>
      </c>
      <c r="AA167">
        <v>75700856</v>
      </c>
      <c r="AB167">
        <f>ROUND((AC167+AD167+AF167),6)</f>
        <v>11576.6</v>
      </c>
      <c r="AC167">
        <f>ROUND((ES167),6)</f>
        <v>0</v>
      </c>
      <c r="AD167">
        <f>ROUND((((ET167)-(EU167))+AE167),6)</f>
        <v>0</v>
      </c>
      <c r="AE167">
        <f t="shared" ref="AE167:AF169" si="140">ROUND((EU167),6)</f>
        <v>0</v>
      </c>
      <c r="AF167">
        <f t="shared" si="140"/>
        <v>11576.6</v>
      </c>
      <c r="AG167">
        <f>ROUND((AP167),6)</f>
        <v>0</v>
      </c>
      <c r="AH167">
        <f t="shared" ref="AH167:AI169" si="141">(EW167)</f>
        <v>29.74</v>
      </c>
      <c r="AI167">
        <f t="shared" si="141"/>
        <v>0</v>
      </c>
      <c r="AJ167">
        <f>(AS167)</f>
        <v>0</v>
      </c>
      <c r="AK167">
        <v>11576.6</v>
      </c>
      <c r="AL167">
        <v>0</v>
      </c>
      <c r="AM167">
        <v>0</v>
      </c>
      <c r="AN167">
        <v>0</v>
      </c>
      <c r="AO167">
        <v>11576.6</v>
      </c>
      <c r="AP167">
        <v>0</v>
      </c>
      <c r="AQ167">
        <v>29.74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208</v>
      </c>
      <c r="BM167">
        <v>0</v>
      </c>
      <c r="BN167">
        <v>75371441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>(P167+Q167+S167)</f>
        <v>463.06</v>
      </c>
      <c r="CQ167">
        <f>(AC167*BC167*AW167)</f>
        <v>0</v>
      </c>
      <c r="CR167">
        <f>((((ET167)*BB167-(EU167)*BS167)+AE167*BS167)*AV167)</f>
        <v>0</v>
      </c>
      <c r="CS167">
        <f>(AE167*BS167*AV167)</f>
        <v>0</v>
      </c>
      <c r="CT167">
        <f>(AF167*BA167*AV167)</f>
        <v>11576.6</v>
      </c>
      <c r="CU167">
        <f>AG167</f>
        <v>0</v>
      </c>
      <c r="CV167">
        <f>(AH167*AV167)</f>
        <v>29.74</v>
      </c>
      <c r="CW167">
        <f t="shared" ref="CW167:CX169" si="142">AI167</f>
        <v>0</v>
      </c>
      <c r="CX167">
        <f t="shared" si="142"/>
        <v>0</v>
      </c>
      <c r="CY167">
        <f>((S167*BZ167)/100)</f>
        <v>324.142</v>
      </c>
      <c r="CZ167">
        <f>((S167*CA167)/100)</f>
        <v>46.306000000000004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1010</v>
      </c>
      <c r="DV167" t="s">
        <v>158</v>
      </c>
      <c r="DW167" t="s">
        <v>158</v>
      </c>
      <c r="DX167">
        <v>100</v>
      </c>
      <c r="DZ167" t="s">
        <v>3</v>
      </c>
      <c r="EA167" t="s">
        <v>3</v>
      </c>
      <c r="EB167" t="s">
        <v>3</v>
      </c>
      <c r="EC167" t="s">
        <v>3</v>
      </c>
      <c r="EE167">
        <v>75371444</v>
      </c>
      <c r="EF167">
        <v>1</v>
      </c>
      <c r="EG167" t="s">
        <v>22</v>
      </c>
      <c r="EH167">
        <v>0</v>
      </c>
      <c r="EI167" t="s">
        <v>3</v>
      </c>
      <c r="EJ167">
        <v>4</v>
      </c>
      <c r="EK167">
        <v>0</v>
      </c>
      <c r="EL167" t="s">
        <v>23</v>
      </c>
      <c r="EM167" t="s">
        <v>24</v>
      </c>
      <c r="EO167" t="s">
        <v>3</v>
      </c>
      <c r="EQ167">
        <v>0</v>
      </c>
      <c r="ER167">
        <v>11576.6</v>
      </c>
      <c r="ES167">
        <v>0</v>
      </c>
      <c r="ET167">
        <v>0</v>
      </c>
      <c r="EU167">
        <v>0</v>
      </c>
      <c r="EV167">
        <v>11576.6</v>
      </c>
      <c r="EW167">
        <v>29.74</v>
      </c>
      <c r="EX167">
        <v>0</v>
      </c>
      <c r="EY167">
        <v>0</v>
      </c>
      <c r="FQ167">
        <v>0</v>
      </c>
      <c r="FR167">
        <f>ROUND(IF(BI167=3,GM167,0),2)</f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9423198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</v>
      </c>
      <c r="GL167">
        <f>ROUND(IF(AND(BH167=3,BI167=3,FS167&lt;&gt;0),P167,0),2)</f>
        <v>0</v>
      </c>
      <c r="GM167">
        <f>ROUND(O167+X167+Y167+GK167,2)+GX167</f>
        <v>833.51</v>
      </c>
      <c r="GN167">
        <f>IF(OR(BI167=0,BI167=1),GM167-GX167,0)</f>
        <v>0</v>
      </c>
      <c r="GO167">
        <f>IF(BI167=2,GM167-GX167,0)</f>
        <v>0</v>
      </c>
      <c r="GP167">
        <f>IF(BI167=4,GM167-GX167,0)</f>
        <v>833.51</v>
      </c>
      <c r="GR167">
        <v>0</v>
      </c>
      <c r="GS167">
        <v>3</v>
      </c>
      <c r="GT167">
        <v>0</v>
      </c>
      <c r="GU167" t="s">
        <v>3</v>
      </c>
      <c r="GV167">
        <f>ROUND((GT167),6)</f>
        <v>0</v>
      </c>
      <c r="GW167">
        <v>1</v>
      </c>
      <c r="GX167">
        <f>ROUND(HC167*I167,2)</f>
        <v>0</v>
      </c>
      <c r="HA167">
        <v>0</v>
      </c>
      <c r="HB167">
        <v>0</v>
      </c>
      <c r="HC167">
        <f>GV167*GW167</f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18</v>
      </c>
      <c r="B168">
        <v>1</v>
      </c>
      <c r="C168">
        <v>87</v>
      </c>
      <c r="E168" t="s">
        <v>209</v>
      </c>
      <c r="F168" t="s">
        <v>174</v>
      </c>
      <c r="G168" t="s">
        <v>210</v>
      </c>
      <c r="H168" t="s">
        <v>171</v>
      </c>
      <c r="I168">
        <f>I167*J168</f>
        <v>2</v>
      </c>
      <c r="J168">
        <v>50</v>
      </c>
      <c r="K168">
        <v>50</v>
      </c>
      <c r="O168">
        <f>ROUND(CP168,2)</f>
        <v>570</v>
      </c>
      <c r="P168">
        <f>ROUND(CQ168*I168,2)</f>
        <v>570</v>
      </c>
      <c r="Q168">
        <f>ROUND(CR168*I168,2)</f>
        <v>0</v>
      </c>
      <c r="R168">
        <f>ROUND(CS168*I168,2)</f>
        <v>0</v>
      </c>
      <c r="S168">
        <f>ROUND(CT168*I168,2)</f>
        <v>0</v>
      </c>
      <c r="T168">
        <f>ROUND(CU168*I168,2)</f>
        <v>0</v>
      </c>
      <c r="U168">
        <f>CV168*I168</f>
        <v>0</v>
      </c>
      <c r="V168">
        <f>CW168*I168</f>
        <v>0</v>
      </c>
      <c r="W168">
        <f>ROUND(CX168*I168,2)</f>
        <v>0</v>
      </c>
      <c r="X168">
        <f t="shared" si="139"/>
        <v>0</v>
      </c>
      <c r="Y168">
        <f t="shared" si="139"/>
        <v>0</v>
      </c>
      <c r="AA168">
        <v>75700856</v>
      </c>
      <c r="AB168">
        <f>ROUND((AC168+AD168+AF168),6)</f>
        <v>285</v>
      </c>
      <c r="AC168">
        <f>ROUND((ES168),6)</f>
        <v>285</v>
      </c>
      <c r="AD168">
        <f>ROUND((((ET168)-(EU168))+AE168),6)</f>
        <v>0</v>
      </c>
      <c r="AE168">
        <f t="shared" si="140"/>
        <v>0</v>
      </c>
      <c r="AF168">
        <f t="shared" si="140"/>
        <v>0</v>
      </c>
      <c r="AG168">
        <f>ROUND((AP168),6)</f>
        <v>0</v>
      </c>
      <c r="AH168">
        <f t="shared" si="141"/>
        <v>0</v>
      </c>
      <c r="AI168">
        <f t="shared" si="141"/>
        <v>0</v>
      </c>
      <c r="AJ168">
        <f>(AS168)</f>
        <v>0</v>
      </c>
      <c r="AK168">
        <v>285</v>
      </c>
      <c r="AL168">
        <v>285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4</v>
      </c>
      <c r="BJ168" t="s">
        <v>3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>(P168+Q168+S168)</f>
        <v>570</v>
      </c>
      <c r="CQ168">
        <f>(AC168*BC168*AW168)</f>
        <v>285</v>
      </c>
      <c r="CR168">
        <f>((((ET168)*BB168-(EU168)*BS168)+AE168*BS168)*AV168)</f>
        <v>0</v>
      </c>
      <c r="CS168">
        <f>(AE168*BS168*AV168)</f>
        <v>0</v>
      </c>
      <c r="CT168">
        <f>(AF168*BA168*AV168)</f>
        <v>0</v>
      </c>
      <c r="CU168">
        <f>AG168</f>
        <v>0</v>
      </c>
      <c r="CV168">
        <f>(AH168*AV168)</f>
        <v>0</v>
      </c>
      <c r="CW168">
        <f t="shared" si="142"/>
        <v>0</v>
      </c>
      <c r="CX168">
        <f t="shared" si="142"/>
        <v>0</v>
      </c>
      <c r="CY168">
        <f>((S168*BZ168)/100)</f>
        <v>0</v>
      </c>
      <c r="CZ168">
        <f>((S168*CA168)/100)</f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1010</v>
      </c>
      <c r="DV168" t="s">
        <v>171</v>
      </c>
      <c r="DW168" t="s">
        <v>171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75371444</v>
      </c>
      <c r="EF168">
        <v>1</v>
      </c>
      <c r="EG168" t="s">
        <v>22</v>
      </c>
      <c r="EH168">
        <v>0</v>
      </c>
      <c r="EI168" t="s">
        <v>3</v>
      </c>
      <c r="EJ168">
        <v>4</v>
      </c>
      <c r="EK168">
        <v>0</v>
      </c>
      <c r="EL168" t="s">
        <v>23</v>
      </c>
      <c r="EM168" t="s">
        <v>24</v>
      </c>
      <c r="EO168" t="s">
        <v>3</v>
      </c>
      <c r="EQ168">
        <v>0</v>
      </c>
      <c r="ER168">
        <v>285</v>
      </c>
      <c r="ES168">
        <v>285</v>
      </c>
      <c r="ET168">
        <v>0</v>
      </c>
      <c r="EU168">
        <v>0</v>
      </c>
      <c r="EV168">
        <v>0</v>
      </c>
      <c r="EW168">
        <v>0</v>
      </c>
      <c r="EX168">
        <v>0</v>
      </c>
      <c r="EZ168">
        <v>5</v>
      </c>
      <c r="FC168">
        <v>1</v>
      </c>
      <c r="FD168">
        <v>18</v>
      </c>
      <c r="FF168">
        <v>342</v>
      </c>
      <c r="FQ168">
        <v>0</v>
      </c>
      <c r="FR168">
        <f>ROUND(IF(BI168=3,GM168,0),2)</f>
        <v>0</v>
      </c>
      <c r="FS168">
        <v>0</v>
      </c>
      <c r="FX168">
        <v>70</v>
      </c>
      <c r="FY168">
        <v>10</v>
      </c>
      <c r="GA168" t="s">
        <v>211</v>
      </c>
      <c r="GD168">
        <v>0</v>
      </c>
      <c r="GF168">
        <v>-303536335</v>
      </c>
      <c r="GG168">
        <v>2</v>
      </c>
      <c r="GH168">
        <v>3</v>
      </c>
      <c r="GI168">
        <v>-2</v>
      </c>
      <c r="GJ168">
        <v>0</v>
      </c>
      <c r="GK168">
        <f>ROUND(R168*(R12)/100,2)</f>
        <v>0</v>
      </c>
      <c r="GL168">
        <f>ROUND(IF(AND(BH168=3,BI168=3,FS168&lt;&gt;0),P168,0),2)</f>
        <v>0</v>
      </c>
      <c r="GM168">
        <f>ROUND(O168+X168+Y168+GK168,2)+GX168</f>
        <v>570</v>
      </c>
      <c r="GN168">
        <f>IF(OR(BI168=0,BI168=1),GM168-GX168,0)</f>
        <v>0</v>
      </c>
      <c r="GO168">
        <f>IF(BI168=2,GM168-GX168,0)</f>
        <v>0</v>
      </c>
      <c r="GP168">
        <f>IF(BI168=4,GM168-GX168,0)</f>
        <v>570</v>
      </c>
      <c r="GR168">
        <v>1</v>
      </c>
      <c r="GS168">
        <v>1</v>
      </c>
      <c r="GT168">
        <v>0</v>
      </c>
      <c r="GU168" t="s">
        <v>3</v>
      </c>
      <c r="GV168">
        <f>ROUND((GT168),6)</f>
        <v>0</v>
      </c>
      <c r="GW168">
        <v>1</v>
      </c>
      <c r="GX168">
        <f>ROUND(HC168*I168,2)</f>
        <v>0</v>
      </c>
      <c r="HA168">
        <v>0</v>
      </c>
      <c r="HB168">
        <v>0</v>
      </c>
      <c r="HC168">
        <f>GV168*GW168</f>
        <v>0</v>
      </c>
      <c r="HE168" t="s">
        <v>51</v>
      </c>
      <c r="HF168" t="s">
        <v>51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18</v>
      </c>
      <c r="B169">
        <v>1</v>
      </c>
      <c r="C169">
        <v>86</v>
      </c>
      <c r="E169" t="s">
        <v>212</v>
      </c>
      <c r="F169" t="s">
        <v>213</v>
      </c>
      <c r="G169" t="s">
        <v>214</v>
      </c>
      <c r="H169" t="s">
        <v>171</v>
      </c>
      <c r="I169">
        <f>I167*J169</f>
        <v>2</v>
      </c>
      <c r="J169">
        <v>50</v>
      </c>
      <c r="K169">
        <v>50</v>
      </c>
      <c r="O169">
        <f>ROUND(CP169,2)</f>
        <v>181.1</v>
      </c>
      <c r="P169">
        <f>ROUND(CQ169*I169,2)</f>
        <v>181.1</v>
      </c>
      <c r="Q169">
        <f>ROUND(CR169*I169,2)</f>
        <v>0</v>
      </c>
      <c r="R169">
        <f>ROUND(CS169*I169,2)</f>
        <v>0</v>
      </c>
      <c r="S169">
        <f>ROUND(CT169*I169,2)</f>
        <v>0</v>
      </c>
      <c r="T169">
        <f>ROUND(CU169*I169,2)</f>
        <v>0</v>
      </c>
      <c r="U169">
        <f>CV169*I169</f>
        <v>0</v>
      </c>
      <c r="V169">
        <f>CW169*I169</f>
        <v>0</v>
      </c>
      <c r="W169">
        <f>ROUND(CX169*I169,2)</f>
        <v>0</v>
      </c>
      <c r="X169">
        <f t="shared" si="139"/>
        <v>0</v>
      </c>
      <c r="Y169">
        <f t="shared" si="139"/>
        <v>0</v>
      </c>
      <c r="AA169">
        <v>75700856</v>
      </c>
      <c r="AB169">
        <f>ROUND((AC169+AD169+AF169),6)</f>
        <v>90.55</v>
      </c>
      <c r="AC169">
        <f>ROUND((ES169),6)</f>
        <v>90.55</v>
      </c>
      <c r="AD169">
        <f>ROUND((((ET169)-(EU169))+AE169),6)</f>
        <v>0</v>
      </c>
      <c r="AE169">
        <f t="shared" si="140"/>
        <v>0</v>
      </c>
      <c r="AF169">
        <f t="shared" si="140"/>
        <v>0</v>
      </c>
      <c r="AG169">
        <f>ROUND((AP169),6)</f>
        <v>0</v>
      </c>
      <c r="AH169">
        <f t="shared" si="141"/>
        <v>0</v>
      </c>
      <c r="AI169">
        <f t="shared" si="141"/>
        <v>0</v>
      </c>
      <c r="AJ169">
        <f>(AS169)</f>
        <v>0</v>
      </c>
      <c r="AK169">
        <v>90.55</v>
      </c>
      <c r="AL169">
        <v>90.55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4</v>
      </c>
      <c r="BJ169" t="s">
        <v>215</v>
      </c>
      <c r="BM169">
        <v>0</v>
      </c>
      <c r="BN169">
        <v>75371441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>(P169+Q169+S169)</f>
        <v>181.1</v>
      </c>
      <c r="CQ169">
        <f>(AC169*BC169*AW169)</f>
        <v>90.55</v>
      </c>
      <c r="CR169">
        <f>((((ET169)*BB169-(EU169)*BS169)+AE169*BS169)*AV169)</f>
        <v>0</v>
      </c>
      <c r="CS169">
        <f>(AE169*BS169*AV169)</f>
        <v>0</v>
      </c>
      <c r="CT169">
        <f>(AF169*BA169*AV169)</f>
        <v>0</v>
      </c>
      <c r="CU169">
        <f>AG169</f>
        <v>0</v>
      </c>
      <c r="CV169">
        <f>(AH169*AV169)</f>
        <v>0</v>
      </c>
      <c r="CW169">
        <f t="shared" si="142"/>
        <v>0</v>
      </c>
      <c r="CX169">
        <f t="shared" si="142"/>
        <v>0</v>
      </c>
      <c r="CY169">
        <f>((S169*BZ169)/100)</f>
        <v>0</v>
      </c>
      <c r="CZ169">
        <f>((S169*CA169)/100)</f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1010</v>
      </c>
      <c r="DV169" t="s">
        <v>171</v>
      </c>
      <c r="DW169" t="s">
        <v>171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75371444</v>
      </c>
      <c r="EF169">
        <v>1</v>
      </c>
      <c r="EG169" t="s">
        <v>22</v>
      </c>
      <c r="EH169">
        <v>0</v>
      </c>
      <c r="EI169" t="s">
        <v>3</v>
      </c>
      <c r="EJ169">
        <v>4</v>
      </c>
      <c r="EK169">
        <v>0</v>
      </c>
      <c r="EL169" t="s">
        <v>23</v>
      </c>
      <c r="EM169" t="s">
        <v>24</v>
      </c>
      <c r="EO169" t="s">
        <v>3</v>
      </c>
      <c r="EQ169">
        <v>0</v>
      </c>
      <c r="ER169">
        <v>90.55</v>
      </c>
      <c r="ES169">
        <v>90.55</v>
      </c>
      <c r="ET169">
        <v>0</v>
      </c>
      <c r="EU169">
        <v>0</v>
      </c>
      <c r="EV169">
        <v>0</v>
      </c>
      <c r="EW169">
        <v>0</v>
      </c>
      <c r="EX169">
        <v>0</v>
      </c>
      <c r="FQ169">
        <v>0</v>
      </c>
      <c r="FR169">
        <f>ROUND(IF(BI169=3,GM169,0),2)</f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-314732257</v>
      </c>
      <c r="GG169">
        <v>2</v>
      </c>
      <c r="GH169">
        <v>1</v>
      </c>
      <c r="GI169">
        <v>-2</v>
      </c>
      <c r="GJ169">
        <v>0</v>
      </c>
      <c r="GK169">
        <f>ROUND(R169*(R12)/100,2)</f>
        <v>0</v>
      </c>
      <c r="GL169">
        <f>ROUND(IF(AND(BH169=3,BI169=3,FS169&lt;&gt;0),P169,0),2)</f>
        <v>0</v>
      </c>
      <c r="GM169">
        <f>ROUND(O169+X169+Y169+GK169,2)+GX169</f>
        <v>181.1</v>
      </c>
      <c r="GN169">
        <f>IF(OR(BI169=0,BI169=1),GM169-GX169,0)</f>
        <v>0</v>
      </c>
      <c r="GO169">
        <f>IF(BI169=2,GM169-GX169,0)</f>
        <v>0</v>
      </c>
      <c r="GP169">
        <f>IF(BI169=4,GM169-GX169,0)</f>
        <v>181.1</v>
      </c>
      <c r="GR169">
        <v>0</v>
      </c>
      <c r="GS169">
        <v>3</v>
      </c>
      <c r="GT169">
        <v>0</v>
      </c>
      <c r="GU169" t="s">
        <v>3</v>
      </c>
      <c r="GV169">
        <f>ROUND((GT169),6)</f>
        <v>0</v>
      </c>
      <c r="GW169">
        <v>1</v>
      </c>
      <c r="GX169">
        <f>ROUND(HC169*I169,2)</f>
        <v>0</v>
      </c>
      <c r="HA169">
        <v>0</v>
      </c>
      <c r="HB169">
        <v>0</v>
      </c>
      <c r="HC169">
        <f>GV169*GW169</f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1" spans="1:245" x14ac:dyDescent="0.2">
      <c r="A171" s="2">
        <v>51</v>
      </c>
      <c r="B171" s="2">
        <f>B163</f>
        <v>1</v>
      </c>
      <c r="C171" s="2">
        <f>A163</f>
        <v>5</v>
      </c>
      <c r="D171" s="2">
        <f>ROW(A163)</f>
        <v>163</v>
      </c>
      <c r="E171" s="2"/>
      <c r="F171" s="2" t="str">
        <f>IF(F163&lt;&gt;"",F163,"")</f>
        <v>Новый подраздел</v>
      </c>
      <c r="G171" s="2" t="str">
        <f>IF(G163&lt;&gt;"",G163,"")</f>
        <v>Электрика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143">ROUND(AB171,2)</f>
        <v>1214.1600000000001</v>
      </c>
      <c r="P171" s="2">
        <f t="shared" si="143"/>
        <v>751.1</v>
      </c>
      <c r="Q171" s="2">
        <f t="shared" si="143"/>
        <v>0</v>
      </c>
      <c r="R171" s="2">
        <f t="shared" si="143"/>
        <v>0</v>
      </c>
      <c r="S171" s="2">
        <f t="shared" si="143"/>
        <v>463.06</v>
      </c>
      <c r="T171" s="2">
        <f t="shared" si="143"/>
        <v>0</v>
      </c>
      <c r="U171" s="2">
        <f>AH171</f>
        <v>1.1896</v>
      </c>
      <c r="V171" s="2">
        <f>AI171</f>
        <v>0</v>
      </c>
      <c r="W171" s="2">
        <f>ROUND(AJ171,2)</f>
        <v>0</v>
      </c>
      <c r="X171" s="2">
        <f>ROUND(AK171,2)</f>
        <v>324.14</v>
      </c>
      <c r="Y171" s="2">
        <f>ROUND(AL171,2)</f>
        <v>46.31</v>
      </c>
      <c r="Z171" s="2"/>
      <c r="AA171" s="2"/>
      <c r="AB171" s="2">
        <f>ROUND(SUMIF(AA167:AA169,"=75700856",O167:O169),2)</f>
        <v>1214.1600000000001</v>
      </c>
      <c r="AC171" s="2">
        <f>ROUND(SUMIF(AA167:AA169,"=75700856",P167:P169),2)</f>
        <v>751.1</v>
      </c>
      <c r="AD171" s="2">
        <f>ROUND(SUMIF(AA167:AA169,"=75700856",Q167:Q169),2)</f>
        <v>0</v>
      </c>
      <c r="AE171" s="2">
        <f>ROUND(SUMIF(AA167:AA169,"=75700856",R167:R169),2)</f>
        <v>0</v>
      </c>
      <c r="AF171" s="2">
        <f>ROUND(SUMIF(AA167:AA169,"=75700856",S167:S169),2)</f>
        <v>463.06</v>
      </c>
      <c r="AG171" s="2">
        <f>ROUND(SUMIF(AA167:AA169,"=75700856",T167:T169),2)</f>
        <v>0</v>
      </c>
      <c r="AH171" s="2">
        <f>SUMIF(AA167:AA169,"=75700856",U167:U169)</f>
        <v>1.1896</v>
      </c>
      <c r="AI171" s="2">
        <f>SUMIF(AA167:AA169,"=75700856",V167:V169)</f>
        <v>0</v>
      </c>
      <c r="AJ171" s="2">
        <f>ROUND(SUMIF(AA167:AA169,"=75700856",W167:W169),2)</f>
        <v>0</v>
      </c>
      <c r="AK171" s="2">
        <f>ROUND(SUMIF(AA167:AA169,"=75700856",X167:X169),2)</f>
        <v>324.14</v>
      </c>
      <c r="AL171" s="2">
        <f>ROUND(SUMIF(AA167:AA169,"=75700856",Y167:Y169),2)</f>
        <v>46.31</v>
      </c>
      <c r="AM171" s="2"/>
      <c r="AN171" s="2"/>
      <c r="AO171" s="2">
        <f t="shared" ref="AO171:BD171" si="144">ROUND(BX171,2)</f>
        <v>0</v>
      </c>
      <c r="AP171" s="2">
        <f t="shared" si="144"/>
        <v>0</v>
      </c>
      <c r="AQ171" s="2">
        <f t="shared" si="144"/>
        <v>0</v>
      </c>
      <c r="AR171" s="2">
        <f t="shared" si="144"/>
        <v>1584.61</v>
      </c>
      <c r="AS171" s="2">
        <f t="shared" si="144"/>
        <v>0</v>
      </c>
      <c r="AT171" s="2">
        <f t="shared" si="144"/>
        <v>0</v>
      </c>
      <c r="AU171" s="2">
        <f t="shared" si="144"/>
        <v>1584.61</v>
      </c>
      <c r="AV171" s="2">
        <f t="shared" si="144"/>
        <v>751.1</v>
      </c>
      <c r="AW171" s="2">
        <f t="shared" si="144"/>
        <v>751.1</v>
      </c>
      <c r="AX171" s="2">
        <f t="shared" si="144"/>
        <v>0</v>
      </c>
      <c r="AY171" s="2">
        <f t="shared" si="144"/>
        <v>751.1</v>
      </c>
      <c r="AZ171" s="2">
        <f t="shared" si="144"/>
        <v>0</v>
      </c>
      <c r="BA171" s="2">
        <f t="shared" si="144"/>
        <v>0</v>
      </c>
      <c r="BB171" s="2">
        <f t="shared" si="144"/>
        <v>0</v>
      </c>
      <c r="BC171" s="2">
        <f t="shared" si="144"/>
        <v>0</v>
      </c>
      <c r="BD171" s="2">
        <f t="shared" si="144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>
        <f>ROUND(SUMIF(AA167:AA169,"=75700856",FQ167:FQ169),2)</f>
        <v>0</v>
      </c>
      <c r="BY171" s="2">
        <f>ROUND(SUMIF(AA167:AA169,"=75700856",FR167:FR169),2)</f>
        <v>0</v>
      </c>
      <c r="BZ171" s="2">
        <f>ROUND(SUMIF(AA167:AA169,"=75700856",GL167:GL169),2)</f>
        <v>0</v>
      </c>
      <c r="CA171" s="2">
        <f>ROUND(SUMIF(AA167:AA169,"=75700856",GM167:GM169),2)</f>
        <v>1584.61</v>
      </c>
      <c r="CB171" s="2">
        <f>ROUND(SUMIF(AA167:AA169,"=75700856",GN167:GN169),2)</f>
        <v>0</v>
      </c>
      <c r="CC171" s="2">
        <f>ROUND(SUMIF(AA167:AA169,"=75700856",GO167:GO169),2)</f>
        <v>0</v>
      </c>
      <c r="CD171" s="2">
        <f>ROUND(SUMIF(AA167:AA169,"=75700856",GP167:GP169),2)</f>
        <v>1584.61</v>
      </c>
      <c r="CE171" s="2">
        <f>AC171-BX171</f>
        <v>751.1</v>
      </c>
      <c r="CF171" s="2">
        <f>AC171-BY171</f>
        <v>751.1</v>
      </c>
      <c r="CG171" s="2">
        <f>BX171-BZ171</f>
        <v>0</v>
      </c>
      <c r="CH171" s="2">
        <f>AC171-BX171-BY171+BZ171</f>
        <v>751.1</v>
      </c>
      <c r="CI171" s="2">
        <f>BY171-BZ171</f>
        <v>0</v>
      </c>
      <c r="CJ171" s="2">
        <f>ROUND(SUMIF(AA167:AA169,"=75700856",GX167:GX169),2)</f>
        <v>0</v>
      </c>
      <c r="CK171" s="2">
        <f>ROUND(SUMIF(AA167:AA169,"=75700856",GY167:GY169),2)</f>
        <v>0</v>
      </c>
      <c r="CL171" s="2">
        <f>ROUND(SUMIF(AA167:AA169,"=75700856",GZ167:GZ169),2)</f>
        <v>0</v>
      </c>
      <c r="CM171" s="2">
        <f>ROUND(SUMIF(AA167:AA169,"=75700856",HD167:HD169),2)</f>
        <v>0</v>
      </c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1214.1600000000001</v>
      </c>
      <c r="G173" s="4" t="s">
        <v>74</v>
      </c>
      <c r="H173" s="4" t="s">
        <v>75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1214.1600000000001</v>
      </c>
      <c r="X173" s="4">
        <v>1</v>
      </c>
      <c r="Y173" s="4">
        <v>1214.1600000000001</v>
      </c>
      <c r="Z173" s="4"/>
      <c r="AA173" s="4"/>
      <c r="AB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202</v>
      </c>
      <c r="F174" s="4">
        <f>ROUND(Source!P171,O174)</f>
        <v>751.1</v>
      </c>
      <c r="G174" s="4" t="s">
        <v>76</v>
      </c>
      <c r="H174" s="4" t="s">
        <v>77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751.1</v>
      </c>
      <c r="X174" s="4">
        <v>1</v>
      </c>
      <c r="Y174" s="4">
        <v>751.1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78</v>
      </c>
      <c r="H175" s="4" t="s">
        <v>79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751.1</v>
      </c>
      <c r="G176" s="4" t="s">
        <v>80</v>
      </c>
      <c r="H176" s="4" t="s">
        <v>81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751.1</v>
      </c>
      <c r="X176" s="4">
        <v>1</v>
      </c>
      <c r="Y176" s="4">
        <v>751.1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751.1</v>
      </c>
      <c r="G177" s="4" t="s">
        <v>82</v>
      </c>
      <c r="H177" s="4" t="s">
        <v>83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751.1</v>
      </c>
      <c r="X177" s="4">
        <v>1</v>
      </c>
      <c r="Y177" s="4">
        <v>751.1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84</v>
      </c>
      <c r="H178" s="4" t="s">
        <v>85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751.1</v>
      </c>
      <c r="G179" s="4" t="s">
        <v>86</v>
      </c>
      <c r="H179" s="4" t="s">
        <v>87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751.1</v>
      </c>
      <c r="X179" s="4">
        <v>1</v>
      </c>
      <c r="Y179" s="4">
        <v>751.1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88</v>
      </c>
      <c r="H180" s="4" t="s">
        <v>89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90</v>
      </c>
      <c r="H181" s="4" t="s">
        <v>91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92</v>
      </c>
      <c r="H182" s="4" t="s">
        <v>93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203</v>
      </c>
      <c r="F183" s="4">
        <f>ROUND(Source!Q171,O183)</f>
        <v>0</v>
      </c>
      <c r="G183" s="4" t="s">
        <v>94</v>
      </c>
      <c r="H183" s="4" t="s">
        <v>95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0</v>
      </c>
      <c r="G184" s="4" t="s">
        <v>96</v>
      </c>
      <c r="H184" s="4" t="s">
        <v>97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204</v>
      </c>
      <c r="F185" s="4">
        <f>ROUND(Source!R171,O185)</f>
        <v>0</v>
      </c>
      <c r="G185" s="4" t="s">
        <v>98</v>
      </c>
      <c r="H185" s="4" t="s">
        <v>99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205</v>
      </c>
      <c r="F186" s="4">
        <f>ROUND(Source!S171,O186)</f>
        <v>463.06</v>
      </c>
      <c r="G186" s="4" t="s">
        <v>100</v>
      </c>
      <c r="H186" s="4" t="s">
        <v>101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463.06</v>
      </c>
      <c r="X186" s="4">
        <v>1</v>
      </c>
      <c r="Y186" s="4">
        <v>463.06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0</v>
      </c>
      <c r="G187" s="4" t="s">
        <v>102</v>
      </c>
      <c r="H187" s="4" t="s">
        <v>103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0</v>
      </c>
      <c r="G188" s="4" t="s">
        <v>104</v>
      </c>
      <c r="H188" s="4" t="s">
        <v>105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0</v>
      </c>
      <c r="G189" s="4" t="s">
        <v>106</v>
      </c>
      <c r="H189" s="4" t="s">
        <v>107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1584.61</v>
      </c>
      <c r="G190" s="4" t="s">
        <v>108</v>
      </c>
      <c r="H190" s="4" t="s">
        <v>109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1584.61</v>
      </c>
      <c r="X190" s="4">
        <v>1</v>
      </c>
      <c r="Y190" s="4">
        <v>1584.61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110</v>
      </c>
      <c r="H191" s="4" t="s">
        <v>111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112</v>
      </c>
      <c r="H192" s="4" t="s">
        <v>113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1.1896</v>
      </c>
      <c r="G193" s="4" t="s">
        <v>114</v>
      </c>
      <c r="H193" s="4" t="s">
        <v>115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1.1896</v>
      </c>
      <c r="X193" s="4">
        <v>1</v>
      </c>
      <c r="Y193" s="4">
        <v>1.1896</v>
      </c>
      <c r="Z193" s="4"/>
      <c r="AA193" s="4"/>
      <c r="AB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</v>
      </c>
      <c r="G194" s="4" t="s">
        <v>116</v>
      </c>
      <c r="H194" s="4" t="s">
        <v>117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118</v>
      </c>
      <c r="H195" s="4" t="s">
        <v>119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120</v>
      </c>
      <c r="H196" s="4" t="s">
        <v>121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210</v>
      </c>
      <c r="F197" s="4">
        <f>ROUND(Source!X171,O197)</f>
        <v>324.14</v>
      </c>
      <c r="G197" s="4" t="s">
        <v>122</v>
      </c>
      <c r="H197" s="4" t="s">
        <v>123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324.14</v>
      </c>
      <c r="X197" s="4">
        <v>1</v>
      </c>
      <c r="Y197" s="4">
        <v>324.14</v>
      </c>
      <c r="Z197" s="4"/>
      <c r="AA197" s="4"/>
      <c r="AB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211</v>
      </c>
      <c r="F198" s="4">
        <f>ROUND(Source!Y171,O198)</f>
        <v>46.31</v>
      </c>
      <c r="G198" s="4" t="s">
        <v>124</v>
      </c>
      <c r="H198" s="4" t="s">
        <v>125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46.31</v>
      </c>
      <c r="X198" s="4">
        <v>1</v>
      </c>
      <c r="Y198" s="4">
        <v>46.31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1584.61</v>
      </c>
      <c r="G199" s="4" t="s">
        <v>126</v>
      </c>
      <c r="H199" s="4" t="s">
        <v>127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1584.61</v>
      </c>
      <c r="X199" s="4">
        <v>1</v>
      </c>
      <c r="Y199" s="4">
        <v>1584.61</v>
      </c>
      <c r="Z199" s="4"/>
      <c r="AA199" s="4"/>
      <c r="AB199" s="4"/>
    </row>
    <row r="201" spans="1:245" x14ac:dyDescent="0.2">
      <c r="A201" s="1">
        <v>5</v>
      </c>
      <c r="B201" s="1">
        <v>1</v>
      </c>
      <c r="C201" s="1"/>
      <c r="D201" s="1">
        <f>ROW(A209)</f>
        <v>209</v>
      </c>
      <c r="E201" s="1"/>
      <c r="F201" s="1" t="s">
        <v>15</v>
      </c>
      <c r="G201" s="1" t="s">
        <v>216</v>
      </c>
      <c r="H201" s="1" t="s">
        <v>3</v>
      </c>
      <c r="I201" s="1">
        <v>0</v>
      </c>
      <c r="J201" s="1"/>
      <c r="K201" s="1">
        <v>0</v>
      </c>
      <c r="L201" s="1"/>
      <c r="M201" s="1" t="s">
        <v>3</v>
      </c>
      <c r="N201" s="1"/>
      <c r="O201" s="1"/>
      <c r="P201" s="1"/>
      <c r="Q201" s="1"/>
      <c r="R201" s="1"/>
      <c r="S201" s="1">
        <v>0</v>
      </c>
      <c r="T201" s="1"/>
      <c r="U201" s="1" t="s">
        <v>3</v>
      </c>
      <c r="V201" s="1">
        <v>0</v>
      </c>
      <c r="W201" s="1"/>
      <c r="X201" s="1"/>
      <c r="Y201" s="1"/>
      <c r="Z201" s="1"/>
      <c r="AA201" s="1"/>
      <c r="AB201" s="1" t="s">
        <v>3</v>
      </c>
      <c r="AC201" s="1" t="s">
        <v>3</v>
      </c>
      <c r="AD201" s="1" t="s">
        <v>3</v>
      </c>
      <c r="AE201" s="1" t="s">
        <v>3</v>
      </c>
      <c r="AF201" s="1" t="s">
        <v>3</v>
      </c>
      <c r="AG201" s="1" t="s">
        <v>3</v>
      </c>
      <c r="AH201" s="1"/>
      <c r="AI201" s="1"/>
      <c r="AJ201" s="1"/>
      <c r="AK201" s="1"/>
      <c r="AL201" s="1"/>
      <c r="AM201" s="1"/>
      <c r="AN201" s="1"/>
      <c r="AO201" s="1"/>
      <c r="AP201" s="1" t="s">
        <v>3</v>
      </c>
      <c r="AQ201" s="1" t="s">
        <v>3</v>
      </c>
      <c r="AR201" s="1" t="s">
        <v>3</v>
      </c>
      <c r="AS201" s="1"/>
      <c r="AT201" s="1"/>
      <c r="AU201" s="1"/>
      <c r="AV201" s="1"/>
      <c r="AW201" s="1"/>
      <c r="AX201" s="1"/>
      <c r="AY201" s="1"/>
      <c r="AZ201" s="1" t="s">
        <v>3</v>
      </c>
      <c r="BA201" s="1"/>
      <c r="BB201" s="1" t="s">
        <v>3</v>
      </c>
      <c r="BC201" s="1" t="s">
        <v>3</v>
      </c>
      <c r="BD201" s="1" t="s">
        <v>3</v>
      </c>
      <c r="BE201" s="1" t="s">
        <v>3</v>
      </c>
      <c r="BF201" s="1" t="s">
        <v>3</v>
      </c>
      <c r="BG201" s="1" t="s">
        <v>3</v>
      </c>
      <c r="BH201" s="1" t="s">
        <v>3</v>
      </c>
      <c r="BI201" s="1" t="s">
        <v>3</v>
      </c>
      <c r="BJ201" s="1" t="s">
        <v>3</v>
      </c>
      <c r="BK201" s="1" t="s">
        <v>3</v>
      </c>
      <c r="BL201" s="1" t="s">
        <v>3</v>
      </c>
      <c r="BM201" s="1" t="s">
        <v>3</v>
      </c>
      <c r="BN201" s="1" t="s">
        <v>3</v>
      </c>
      <c r="BO201" s="1" t="s">
        <v>3</v>
      </c>
      <c r="BP201" s="1" t="s">
        <v>3</v>
      </c>
      <c r="BQ201" s="1"/>
      <c r="BR201" s="1"/>
      <c r="BS201" s="1"/>
      <c r="BT201" s="1"/>
      <c r="BU201" s="1"/>
      <c r="BV201" s="1"/>
      <c r="BW201" s="1"/>
      <c r="BX201" s="1">
        <v>0</v>
      </c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>
        <v>0</v>
      </c>
    </row>
    <row r="203" spans="1:245" x14ac:dyDescent="0.2">
      <c r="A203" s="2">
        <v>52</v>
      </c>
      <c r="B203" s="2">
        <f t="shared" ref="B203:G203" si="145">B209</f>
        <v>1</v>
      </c>
      <c r="C203" s="2">
        <f t="shared" si="145"/>
        <v>5</v>
      </c>
      <c r="D203" s="2">
        <f t="shared" si="145"/>
        <v>201</v>
      </c>
      <c r="E203" s="2">
        <f t="shared" si="145"/>
        <v>0</v>
      </c>
      <c r="F203" s="2" t="str">
        <f t="shared" si="145"/>
        <v>Новый подраздел</v>
      </c>
      <c r="G203" s="2" t="str">
        <f t="shared" si="145"/>
        <v>Прочее</v>
      </c>
      <c r="H203" s="2"/>
      <c r="I203" s="2"/>
      <c r="J203" s="2"/>
      <c r="K203" s="2"/>
      <c r="L203" s="2"/>
      <c r="M203" s="2"/>
      <c r="N203" s="2"/>
      <c r="O203" s="2">
        <f t="shared" ref="O203:AT203" si="146">O209</f>
        <v>2944.01</v>
      </c>
      <c r="P203" s="2">
        <f t="shared" si="146"/>
        <v>2340.69</v>
      </c>
      <c r="Q203" s="2">
        <f t="shared" si="146"/>
        <v>0</v>
      </c>
      <c r="R203" s="2">
        <f t="shared" si="146"/>
        <v>0</v>
      </c>
      <c r="S203" s="2">
        <f t="shared" si="146"/>
        <v>603.32000000000005</v>
      </c>
      <c r="T203" s="2">
        <f t="shared" si="146"/>
        <v>0</v>
      </c>
      <c r="U203" s="2">
        <f t="shared" si="146"/>
        <v>1.3856999999999999</v>
      </c>
      <c r="V203" s="2">
        <f t="shared" si="146"/>
        <v>0</v>
      </c>
      <c r="W203" s="2">
        <f t="shared" si="146"/>
        <v>0</v>
      </c>
      <c r="X203" s="2">
        <f t="shared" si="146"/>
        <v>422.32</v>
      </c>
      <c r="Y203" s="2">
        <f t="shared" si="146"/>
        <v>60.33</v>
      </c>
      <c r="Z203" s="2">
        <f t="shared" si="146"/>
        <v>0</v>
      </c>
      <c r="AA203" s="2">
        <f t="shared" si="146"/>
        <v>0</v>
      </c>
      <c r="AB203" s="2">
        <f t="shared" si="146"/>
        <v>2944.01</v>
      </c>
      <c r="AC203" s="2">
        <f t="shared" si="146"/>
        <v>2340.69</v>
      </c>
      <c r="AD203" s="2">
        <f t="shared" si="146"/>
        <v>0</v>
      </c>
      <c r="AE203" s="2">
        <f t="shared" si="146"/>
        <v>0</v>
      </c>
      <c r="AF203" s="2">
        <f t="shared" si="146"/>
        <v>603.32000000000005</v>
      </c>
      <c r="AG203" s="2">
        <f t="shared" si="146"/>
        <v>0</v>
      </c>
      <c r="AH203" s="2">
        <f t="shared" si="146"/>
        <v>1.3856999999999999</v>
      </c>
      <c r="AI203" s="2">
        <f t="shared" si="146"/>
        <v>0</v>
      </c>
      <c r="AJ203" s="2">
        <f t="shared" si="146"/>
        <v>0</v>
      </c>
      <c r="AK203" s="2">
        <f t="shared" si="146"/>
        <v>422.32</v>
      </c>
      <c r="AL203" s="2">
        <f t="shared" si="146"/>
        <v>60.33</v>
      </c>
      <c r="AM203" s="2">
        <f t="shared" si="146"/>
        <v>0</v>
      </c>
      <c r="AN203" s="2">
        <f t="shared" si="146"/>
        <v>0</v>
      </c>
      <c r="AO203" s="2">
        <f t="shared" si="146"/>
        <v>0</v>
      </c>
      <c r="AP203" s="2">
        <f t="shared" si="146"/>
        <v>0</v>
      </c>
      <c r="AQ203" s="2">
        <f t="shared" si="146"/>
        <v>0</v>
      </c>
      <c r="AR203" s="2">
        <f t="shared" si="146"/>
        <v>3426.66</v>
      </c>
      <c r="AS203" s="2">
        <f t="shared" si="146"/>
        <v>0</v>
      </c>
      <c r="AT203" s="2">
        <f t="shared" si="146"/>
        <v>0</v>
      </c>
      <c r="AU203" s="2">
        <f t="shared" ref="AU203:BZ203" si="147">AU209</f>
        <v>3426.66</v>
      </c>
      <c r="AV203" s="2">
        <f t="shared" si="147"/>
        <v>2340.69</v>
      </c>
      <c r="AW203" s="2">
        <f t="shared" si="147"/>
        <v>2340.69</v>
      </c>
      <c r="AX203" s="2">
        <f t="shared" si="147"/>
        <v>0</v>
      </c>
      <c r="AY203" s="2">
        <f t="shared" si="147"/>
        <v>2340.69</v>
      </c>
      <c r="AZ203" s="2">
        <f t="shared" si="147"/>
        <v>0</v>
      </c>
      <c r="BA203" s="2">
        <f t="shared" si="147"/>
        <v>0</v>
      </c>
      <c r="BB203" s="2">
        <f t="shared" si="147"/>
        <v>0</v>
      </c>
      <c r="BC203" s="2">
        <f t="shared" si="147"/>
        <v>0</v>
      </c>
      <c r="BD203" s="2">
        <f t="shared" si="147"/>
        <v>0</v>
      </c>
      <c r="BE203" s="2">
        <f t="shared" si="147"/>
        <v>0</v>
      </c>
      <c r="BF203" s="2">
        <f t="shared" si="147"/>
        <v>0</v>
      </c>
      <c r="BG203" s="2">
        <f t="shared" si="147"/>
        <v>0</v>
      </c>
      <c r="BH203" s="2">
        <f t="shared" si="147"/>
        <v>0</v>
      </c>
      <c r="BI203" s="2">
        <f t="shared" si="147"/>
        <v>0</v>
      </c>
      <c r="BJ203" s="2">
        <f t="shared" si="147"/>
        <v>0</v>
      </c>
      <c r="BK203" s="2">
        <f t="shared" si="147"/>
        <v>0</v>
      </c>
      <c r="BL203" s="2">
        <f t="shared" si="147"/>
        <v>0</v>
      </c>
      <c r="BM203" s="2">
        <f t="shared" si="147"/>
        <v>0</v>
      </c>
      <c r="BN203" s="2">
        <f t="shared" si="147"/>
        <v>0</v>
      </c>
      <c r="BO203" s="2">
        <f t="shared" si="147"/>
        <v>0</v>
      </c>
      <c r="BP203" s="2">
        <f t="shared" si="147"/>
        <v>0</v>
      </c>
      <c r="BQ203" s="2">
        <f t="shared" si="147"/>
        <v>0</v>
      </c>
      <c r="BR203" s="2">
        <f t="shared" si="147"/>
        <v>0</v>
      </c>
      <c r="BS203" s="2">
        <f t="shared" si="147"/>
        <v>0</v>
      </c>
      <c r="BT203" s="2">
        <f t="shared" si="147"/>
        <v>0</v>
      </c>
      <c r="BU203" s="2">
        <f t="shared" si="147"/>
        <v>0</v>
      </c>
      <c r="BV203" s="2">
        <f t="shared" si="147"/>
        <v>0</v>
      </c>
      <c r="BW203" s="2">
        <f t="shared" si="147"/>
        <v>0</v>
      </c>
      <c r="BX203" s="2">
        <f t="shared" si="147"/>
        <v>0</v>
      </c>
      <c r="BY203" s="2">
        <f t="shared" si="147"/>
        <v>0</v>
      </c>
      <c r="BZ203" s="2">
        <f t="shared" si="147"/>
        <v>0</v>
      </c>
      <c r="CA203" s="2">
        <f t="shared" ref="CA203:DF203" si="148">CA209</f>
        <v>3426.66</v>
      </c>
      <c r="CB203" s="2">
        <f t="shared" si="148"/>
        <v>0</v>
      </c>
      <c r="CC203" s="2">
        <f t="shared" si="148"/>
        <v>0</v>
      </c>
      <c r="CD203" s="2">
        <f t="shared" si="148"/>
        <v>3426.66</v>
      </c>
      <c r="CE203" s="2">
        <f t="shared" si="148"/>
        <v>2340.69</v>
      </c>
      <c r="CF203" s="2">
        <f t="shared" si="148"/>
        <v>2340.69</v>
      </c>
      <c r="CG203" s="2">
        <f t="shared" si="148"/>
        <v>0</v>
      </c>
      <c r="CH203" s="2">
        <f t="shared" si="148"/>
        <v>2340.69</v>
      </c>
      <c r="CI203" s="2">
        <f t="shared" si="148"/>
        <v>0</v>
      </c>
      <c r="CJ203" s="2">
        <f t="shared" si="148"/>
        <v>0</v>
      </c>
      <c r="CK203" s="2">
        <f t="shared" si="148"/>
        <v>0</v>
      </c>
      <c r="CL203" s="2">
        <f t="shared" si="148"/>
        <v>0</v>
      </c>
      <c r="CM203" s="2">
        <f t="shared" si="148"/>
        <v>0</v>
      </c>
      <c r="CN203" s="2">
        <f t="shared" si="148"/>
        <v>0</v>
      </c>
      <c r="CO203" s="2">
        <f t="shared" si="148"/>
        <v>0</v>
      </c>
      <c r="CP203" s="2">
        <f t="shared" si="148"/>
        <v>0</v>
      </c>
      <c r="CQ203" s="2">
        <f t="shared" si="148"/>
        <v>0</v>
      </c>
      <c r="CR203" s="2">
        <f t="shared" si="148"/>
        <v>0</v>
      </c>
      <c r="CS203" s="2">
        <f t="shared" si="148"/>
        <v>0</v>
      </c>
      <c r="CT203" s="2">
        <f t="shared" si="148"/>
        <v>0</v>
      </c>
      <c r="CU203" s="2">
        <f t="shared" si="148"/>
        <v>0</v>
      </c>
      <c r="CV203" s="2">
        <f t="shared" si="148"/>
        <v>0</v>
      </c>
      <c r="CW203" s="2">
        <f t="shared" si="148"/>
        <v>0</v>
      </c>
      <c r="CX203" s="2">
        <f t="shared" si="148"/>
        <v>0</v>
      </c>
      <c r="CY203" s="2">
        <f t="shared" si="148"/>
        <v>0</v>
      </c>
      <c r="CZ203" s="2">
        <f t="shared" si="148"/>
        <v>0</v>
      </c>
      <c r="DA203" s="2">
        <f t="shared" si="148"/>
        <v>0</v>
      </c>
      <c r="DB203" s="2">
        <f t="shared" si="148"/>
        <v>0</v>
      </c>
      <c r="DC203" s="2">
        <f t="shared" si="148"/>
        <v>0</v>
      </c>
      <c r="DD203" s="2">
        <f t="shared" si="148"/>
        <v>0</v>
      </c>
      <c r="DE203" s="2">
        <f t="shared" si="148"/>
        <v>0</v>
      </c>
      <c r="DF203" s="2">
        <f t="shared" si="148"/>
        <v>0</v>
      </c>
      <c r="DG203" s="3">
        <f t="shared" ref="DG203:EL203" si="149">DG209</f>
        <v>0</v>
      </c>
      <c r="DH203" s="3">
        <f t="shared" si="149"/>
        <v>0</v>
      </c>
      <c r="DI203" s="3">
        <f t="shared" si="149"/>
        <v>0</v>
      </c>
      <c r="DJ203" s="3">
        <f t="shared" si="149"/>
        <v>0</v>
      </c>
      <c r="DK203" s="3">
        <f t="shared" si="149"/>
        <v>0</v>
      </c>
      <c r="DL203" s="3">
        <f t="shared" si="149"/>
        <v>0</v>
      </c>
      <c r="DM203" s="3">
        <f t="shared" si="149"/>
        <v>0</v>
      </c>
      <c r="DN203" s="3">
        <f t="shared" si="149"/>
        <v>0</v>
      </c>
      <c r="DO203" s="3">
        <f t="shared" si="149"/>
        <v>0</v>
      </c>
      <c r="DP203" s="3">
        <f t="shared" si="149"/>
        <v>0</v>
      </c>
      <c r="DQ203" s="3">
        <f t="shared" si="149"/>
        <v>0</v>
      </c>
      <c r="DR203" s="3">
        <f t="shared" si="149"/>
        <v>0</v>
      </c>
      <c r="DS203" s="3">
        <f t="shared" si="149"/>
        <v>0</v>
      </c>
      <c r="DT203" s="3">
        <f t="shared" si="149"/>
        <v>0</v>
      </c>
      <c r="DU203" s="3">
        <f t="shared" si="149"/>
        <v>0</v>
      </c>
      <c r="DV203" s="3">
        <f t="shared" si="149"/>
        <v>0</v>
      </c>
      <c r="DW203" s="3">
        <f t="shared" si="149"/>
        <v>0</v>
      </c>
      <c r="DX203" s="3">
        <f t="shared" si="149"/>
        <v>0</v>
      </c>
      <c r="DY203" s="3">
        <f t="shared" si="149"/>
        <v>0</v>
      </c>
      <c r="DZ203" s="3">
        <f t="shared" si="149"/>
        <v>0</v>
      </c>
      <c r="EA203" s="3">
        <f t="shared" si="149"/>
        <v>0</v>
      </c>
      <c r="EB203" s="3">
        <f t="shared" si="149"/>
        <v>0</v>
      </c>
      <c r="EC203" s="3">
        <f t="shared" si="149"/>
        <v>0</v>
      </c>
      <c r="ED203" s="3">
        <f t="shared" si="149"/>
        <v>0</v>
      </c>
      <c r="EE203" s="3">
        <f t="shared" si="149"/>
        <v>0</v>
      </c>
      <c r="EF203" s="3">
        <f t="shared" si="149"/>
        <v>0</v>
      </c>
      <c r="EG203" s="3">
        <f t="shared" si="149"/>
        <v>0</v>
      </c>
      <c r="EH203" s="3">
        <f t="shared" si="149"/>
        <v>0</v>
      </c>
      <c r="EI203" s="3">
        <f t="shared" si="149"/>
        <v>0</v>
      </c>
      <c r="EJ203" s="3">
        <f t="shared" si="149"/>
        <v>0</v>
      </c>
      <c r="EK203" s="3">
        <f t="shared" si="149"/>
        <v>0</v>
      </c>
      <c r="EL203" s="3">
        <f t="shared" si="149"/>
        <v>0</v>
      </c>
      <c r="EM203" s="3">
        <f t="shared" ref="EM203:FR203" si="150">EM209</f>
        <v>0</v>
      </c>
      <c r="EN203" s="3">
        <f t="shared" si="150"/>
        <v>0</v>
      </c>
      <c r="EO203" s="3">
        <f t="shared" si="150"/>
        <v>0</v>
      </c>
      <c r="EP203" s="3">
        <f t="shared" si="150"/>
        <v>0</v>
      </c>
      <c r="EQ203" s="3">
        <f t="shared" si="150"/>
        <v>0</v>
      </c>
      <c r="ER203" s="3">
        <f t="shared" si="150"/>
        <v>0</v>
      </c>
      <c r="ES203" s="3">
        <f t="shared" si="150"/>
        <v>0</v>
      </c>
      <c r="ET203" s="3">
        <f t="shared" si="150"/>
        <v>0</v>
      </c>
      <c r="EU203" s="3">
        <f t="shared" si="150"/>
        <v>0</v>
      </c>
      <c r="EV203" s="3">
        <f t="shared" si="150"/>
        <v>0</v>
      </c>
      <c r="EW203" s="3">
        <f t="shared" si="150"/>
        <v>0</v>
      </c>
      <c r="EX203" s="3">
        <f t="shared" si="150"/>
        <v>0</v>
      </c>
      <c r="EY203" s="3">
        <f t="shared" si="150"/>
        <v>0</v>
      </c>
      <c r="EZ203" s="3">
        <f t="shared" si="150"/>
        <v>0</v>
      </c>
      <c r="FA203" s="3">
        <f t="shared" si="150"/>
        <v>0</v>
      </c>
      <c r="FB203" s="3">
        <f t="shared" si="150"/>
        <v>0</v>
      </c>
      <c r="FC203" s="3">
        <f t="shared" si="150"/>
        <v>0</v>
      </c>
      <c r="FD203" s="3">
        <f t="shared" si="150"/>
        <v>0</v>
      </c>
      <c r="FE203" s="3">
        <f t="shared" si="150"/>
        <v>0</v>
      </c>
      <c r="FF203" s="3">
        <f t="shared" si="150"/>
        <v>0</v>
      </c>
      <c r="FG203" s="3">
        <f t="shared" si="150"/>
        <v>0</v>
      </c>
      <c r="FH203" s="3">
        <f t="shared" si="150"/>
        <v>0</v>
      </c>
      <c r="FI203" s="3">
        <f t="shared" si="150"/>
        <v>0</v>
      </c>
      <c r="FJ203" s="3">
        <f t="shared" si="150"/>
        <v>0</v>
      </c>
      <c r="FK203" s="3">
        <f t="shared" si="150"/>
        <v>0</v>
      </c>
      <c r="FL203" s="3">
        <f t="shared" si="150"/>
        <v>0</v>
      </c>
      <c r="FM203" s="3">
        <f t="shared" si="150"/>
        <v>0</v>
      </c>
      <c r="FN203" s="3">
        <f t="shared" si="150"/>
        <v>0</v>
      </c>
      <c r="FO203" s="3">
        <f t="shared" si="150"/>
        <v>0</v>
      </c>
      <c r="FP203" s="3">
        <f t="shared" si="150"/>
        <v>0</v>
      </c>
      <c r="FQ203" s="3">
        <f t="shared" si="150"/>
        <v>0</v>
      </c>
      <c r="FR203" s="3">
        <f t="shared" si="150"/>
        <v>0</v>
      </c>
      <c r="FS203" s="3">
        <f t="shared" ref="FS203:GX203" si="151">FS209</f>
        <v>0</v>
      </c>
      <c r="FT203" s="3">
        <f t="shared" si="151"/>
        <v>0</v>
      </c>
      <c r="FU203" s="3">
        <f t="shared" si="151"/>
        <v>0</v>
      </c>
      <c r="FV203" s="3">
        <f t="shared" si="151"/>
        <v>0</v>
      </c>
      <c r="FW203" s="3">
        <f t="shared" si="151"/>
        <v>0</v>
      </c>
      <c r="FX203" s="3">
        <f t="shared" si="151"/>
        <v>0</v>
      </c>
      <c r="FY203" s="3">
        <f t="shared" si="151"/>
        <v>0</v>
      </c>
      <c r="FZ203" s="3">
        <f t="shared" si="151"/>
        <v>0</v>
      </c>
      <c r="GA203" s="3">
        <f t="shared" si="151"/>
        <v>0</v>
      </c>
      <c r="GB203" s="3">
        <f t="shared" si="151"/>
        <v>0</v>
      </c>
      <c r="GC203" s="3">
        <f t="shared" si="151"/>
        <v>0</v>
      </c>
      <c r="GD203" s="3">
        <f t="shared" si="151"/>
        <v>0</v>
      </c>
      <c r="GE203" s="3">
        <f t="shared" si="151"/>
        <v>0</v>
      </c>
      <c r="GF203" s="3">
        <f t="shared" si="151"/>
        <v>0</v>
      </c>
      <c r="GG203" s="3">
        <f t="shared" si="151"/>
        <v>0</v>
      </c>
      <c r="GH203" s="3">
        <f t="shared" si="151"/>
        <v>0</v>
      </c>
      <c r="GI203" s="3">
        <f t="shared" si="151"/>
        <v>0</v>
      </c>
      <c r="GJ203" s="3">
        <f t="shared" si="151"/>
        <v>0</v>
      </c>
      <c r="GK203" s="3">
        <f t="shared" si="151"/>
        <v>0</v>
      </c>
      <c r="GL203" s="3">
        <f t="shared" si="151"/>
        <v>0</v>
      </c>
      <c r="GM203" s="3">
        <f t="shared" si="151"/>
        <v>0</v>
      </c>
      <c r="GN203" s="3">
        <f t="shared" si="151"/>
        <v>0</v>
      </c>
      <c r="GO203" s="3">
        <f t="shared" si="151"/>
        <v>0</v>
      </c>
      <c r="GP203" s="3">
        <f t="shared" si="151"/>
        <v>0</v>
      </c>
      <c r="GQ203" s="3">
        <f t="shared" si="151"/>
        <v>0</v>
      </c>
      <c r="GR203" s="3">
        <f t="shared" si="151"/>
        <v>0</v>
      </c>
      <c r="GS203" s="3">
        <f t="shared" si="151"/>
        <v>0</v>
      </c>
      <c r="GT203" s="3">
        <f t="shared" si="151"/>
        <v>0</v>
      </c>
      <c r="GU203" s="3">
        <f t="shared" si="151"/>
        <v>0</v>
      </c>
      <c r="GV203" s="3">
        <f t="shared" si="151"/>
        <v>0</v>
      </c>
      <c r="GW203" s="3">
        <f t="shared" si="151"/>
        <v>0</v>
      </c>
      <c r="GX203" s="3">
        <f t="shared" si="151"/>
        <v>0</v>
      </c>
    </row>
    <row r="205" spans="1:245" x14ac:dyDescent="0.2">
      <c r="A205">
        <v>17</v>
      </c>
      <c r="B205">
        <v>1</v>
      </c>
      <c r="C205">
        <f>ROW(SmtRes!A91)</f>
        <v>91</v>
      </c>
      <c r="D205">
        <f>ROW(EtalonRes!A81)</f>
        <v>81</v>
      </c>
      <c r="E205" t="s">
        <v>217</v>
      </c>
      <c r="F205" t="s">
        <v>218</v>
      </c>
      <c r="G205" t="s">
        <v>219</v>
      </c>
      <c r="H205" t="s">
        <v>158</v>
      </c>
      <c r="I205">
        <f>ROUND(3/100,9)</f>
        <v>0.03</v>
      </c>
      <c r="J205">
        <v>0</v>
      </c>
      <c r="K205">
        <f>ROUND(3/100,9)</f>
        <v>0.03</v>
      </c>
      <c r="O205">
        <f>ROUND(CP205,2)</f>
        <v>1477.07</v>
      </c>
      <c r="P205">
        <f>ROUND(CQ205*I205,2)</f>
        <v>873.75</v>
      </c>
      <c r="Q205">
        <f>ROUND(CR205*I205,2)</f>
        <v>0</v>
      </c>
      <c r="R205">
        <f>ROUND(CS205*I205,2)</f>
        <v>0</v>
      </c>
      <c r="S205">
        <f>ROUND(CT205*I205,2)</f>
        <v>603.32000000000005</v>
      </c>
      <c r="T205">
        <f>ROUND(CU205*I205,2)</f>
        <v>0</v>
      </c>
      <c r="U205">
        <f>CV205*I205</f>
        <v>1.3856999999999999</v>
      </c>
      <c r="V205">
        <f>CW205*I205</f>
        <v>0</v>
      </c>
      <c r="W205">
        <f>ROUND(CX205*I205,2)</f>
        <v>0</v>
      </c>
      <c r="X205">
        <f t="shared" ref="X205:Y207" si="152">ROUND(CY205,2)</f>
        <v>422.32</v>
      </c>
      <c r="Y205">
        <f t="shared" si="152"/>
        <v>60.33</v>
      </c>
      <c r="AA205">
        <v>75700856</v>
      </c>
      <c r="AB205">
        <f>ROUND((AC205+AD205+AF205),6)</f>
        <v>49235.54</v>
      </c>
      <c r="AC205">
        <f>ROUND((ES205),6)</f>
        <v>29124.880000000001</v>
      </c>
      <c r="AD205">
        <f>ROUND((((ET205)-(EU205))+AE205),6)</f>
        <v>0</v>
      </c>
      <c r="AE205">
        <f t="shared" ref="AE205:AF207" si="153">ROUND((EU205),6)</f>
        <v>0</v>
      </c>
      <c r="AF205">
        <f t="shared" si="153"/>
        <v>20110.66</v>
      </c>
      <c r="AG205">
        <f>ROUND((AP205),6)</f>
        <v>0</v>
      </c>
      <c r="AH205">
        <f t="shared" ref="AH205:AI207" si="154">(EW205)</f>
        <v>46.19</v>
      </c>
      <c r="AI205">
        <f t="shared" si="154"/>
        <v>0</v>
      </c>
      <c r="AJ205">
        <f>(AS205)</f>
        <v>0</v>
      </c>
      <c r="AK205">
        <v>49235.54</v>
      </c>
      <c r="AL205">
        <v>29124.880000000001</v>
      </c>
      <c r="AM205">
        <v>0</v>
      </c>
      <c r="AN205">
        <v>0</v>
      </c>
      <c r="AO205">
        <v>20110.66</v>
      </c>
      <c r="AP205">
        <v>0</v>
      </c>
      <c r="AQ205">
        <v>46.19</v>
      </c>
      <c r="AR205">
        <v>0</v>
      </c>
      <c r="AS205">
        <v>0</v>
      </c>
      <c r="AT205">
        <v>70</v>
      </c>
      <c r="AU205">
        <v>10</v>
      </c>
      <c r="AV205">
        <v>1</v>
      </c>
      <c r="AW205">
        <v>1</v>
      </c>
      <c r="AZ205">
        <v>1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4</v>
      </c>
      <c r="BJ205" t="s">
        <v>220</v>
      </c>
      <c r="BM205">
        <v>0</v>
      </c>
      <c r="BN205">
        <v>75371441</v>
      </c>
      <c r="BO205" t="s">
        <v>3</v>
      </c>
      <c r="BP205">
        <v>0</v>
      </c>
      <c r="BQ205">
        <v>1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70</v>
      </c>
      <c r="CA205">
        <v>10</v>
      </c>
      <c r="CB205" t="s">
        <v>3</v>
      </c>
      <c r="CE205">
        <v>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>(P205+Q205+S205)</f>
        <v>1477.0700000000002</v>
      </c>
      <c r="CQ205">
        <f>(AC205*BC205*AW205)</f>
        <v>29124.880000000001</v>
      </c>
      <c r="CR205">
        <f>((((ET205)*BB205-(EU205)*BS205)+AE205*BS205)*AV205)</f>
        <v>0</v>
      </c>
      <c r="CS205">
        <f>(AE205*BS205*AV205)</f>
        <v>0</v>
      </c>
      <c r="CT205">
        <f>(AF205*BA205*AV205)</f>
        <v>20110.66</v>
      </c>
      <c r="CU205">
        <f>AG205</f>
        <v>0</v>
      </c>
      <c r="CV205">
        <f>(AH205*AV205)</f>
        <v>46.19</v>
      </c>
      <c r="CW205">
        <f t="shared" ref="CW205:CX207" si="155">AI205</f>
        <v>0</v>
      </c>
      <c r="CX205">
        <f t="shared" si="155"/>
        <v>0</v>
      </c>
      <c r="CY205">
        <f>((S205*BZ205)/100)</f>
        <v>422.32400000000001</v>
      </c>
      <c r="CZ205">
        <f>((S205*CA205)/100)</f>
        <v>60.332000000000008</v>
      </c>
      <c r="DC205" t="s">
        <v>3</v>
      </c>
      <c r="DD205" t="s">
        <v>3</v>
      </c>
      <c r="DE205" t="s">
        <v>3</v>
      </c>
      <c r="DF205" t="s">
        <v>3</v>
      </c>
      <c r="DG205" t="s">
        <v>3</v>
      </c>
      <c r="DH205" t="s">
        <v>3</v>
      </c>
      <c r="DI205" t="s">
        <v>3</v>
      </c>
      <c r="DJ205" t="s">
        <v>3</v>
      </c>
      <c r="DK205" t="s">
        <v>3</v>
      </c>
      <c r="DL205" t="s">
        <v>3</v>
      </c>
      <c r="DM205" t="s">
        <v>3</v>
      </c>
      <c r="DN205">
        <v>0</v>
      </c>
      <c r="DO205">
        <v>0</v>
      </c>
      <c r="DP205">
        <v>1</v>
      </c>
      <c r="DQ205">
        <v>1</v>
      </c>
      <c r="DU205">
        <v>1010</v>
      </c>
      <c r="DV205" t="s">
        <v>158</v>
      </c>
      <c r="DW205" t="s">
        <v>158</v>
      </c>
      <c r="DX205">
        <v>100</v>
      </c>
      <c r="DZ205" t="s">
        <v>3</v>
      </c>
      <c r="EA205" t="s">
        <v>3</v>
      </c>
      <c r="EB205" t="s">
        <v>3</v>
      </c>
      <c r="EC205" t="s">
        <v>3</v>
      </c>
      <c r="EE205">
        <v>75371444</v>
      </c>
      <c r="EF205">
        <v>1</v>
      </c>
      <c r="EG205" t="s">
        <v>22</v>
      </c>
      <c r="EH205">
        <v>0</v>
      </c>
      <c r="EI205" t="s">
        <v>3</v>
      </c>
      <c r="EJ205">
        <v>4</v>
      </c>
      <c r="EK205">
        <v>0</v>
      </c>
      <c r="EL205" t="s">
        <v>23</v>
      </c>
      <c r="EM205" t="s">
        <v>24</v>
      </c>
      <c r="EO205" t="s">
        <v>3</v>
      </c>
      <c r="EQ205">
        <v>0</v>
      </c>
      <c r="ER205">
        <v>49235.54</v>
      </c>
      <c r="ES205">
        <v>29124.880000000001</v>
      </c>
      <c r="ET205">
        <v>0</v>
      </c>
      <c r="EU205">
        <v>0</v>
      </c>
      <c r="EV205">
        <v>20110.66</v>
      </c>
      <c r="EW205">
        <v>46.19</v>
      </c>
      <c r="EX205">
        <v>0</v>
      </c>
      <c r="EY205">
        <v>0</v>
      </c>
      <c r="FQ205">
        <v>0</v>
      </c>
      <c r="FR205">
        <f>ROUND(IF(BI205=3,GM205,0),2)</f>
        <v>0</v>
      </c>
      <c r="FS205">
        <v>0</v>
      </c>
      <c r="FX205">
        <v>70</v>
      </c>
      <c r="FY205">
        <v>10</v>
      </c>
      <c r="GA205" t="s">
        <v>3</v>
      </c>
      <c r="GD205">
        <v>0</v>
      </c>
      <c r="GF205">
        <v>-707059149</v>
      </c>
      <c r="GG205">
        <v>2</v>
      </c>
      <c r="GH205">
        <v>1</v>
      </c>
      <c r="GI205">
        <v>-2</v>
      </c>
      <c r="GJ205">
        <v>0</v>
      </c>
      <c r="GK205">
        <f>ROUND(R205*(R12)/100,2)</f>
        <v>0</v>
      </c>
      <c r="GL205">
        <f>ROUND(IF(AND(BH205=3,BI205=3,FS205&lt;&gt;0),P205,0),2)</f>
        <v>0</v>
      </c>
      <c r="GM205">
        <f>ROUND(O205+X205+Y205+GK205,2)+GX205</f>
        <v>1959.72</v>
      </c>
      <c r="GN205">
        <f>IF(OR(BI205=0,BI205=1),GM205-GX205,0)</f>
        <v>0</v>
      </c>
      <c r="GO205">
        <f>IF(BI205=2,GM205-GX205,0)</f>
        <v>0</v>
      </c>
      <c r="GP205">
        <f>IF(BI205=4,GM205-GX205,0)</f>
        <v>1959.72</v>
      </c>
      <c r="GR205">
        <v>0</v>
      </c>
      <c r="GS205">
        <v>3</v>
      </c>
      <c r="GT205">
        <v>0</v>
      </c>
      <c r="GU205" t="s">
        <v>3</v>
      </c>
      <c r="GV205">
        <f>ROUND((GT205),6)</f>
        <v>0</v>
      </c>
      <c r="GW205">
        <v>1</v>
      </c>
      <c r="GX205">
        <f>ROUND(HC205*I205,2)</f>
        <v>0</v>
      </c>
      <c r="HA205">
        <v>0</v>
      </c>
      <c r="HB205">
        <v>0</v>
      </c>
      <c r="HC205">
        <f>GV205*GW205</f>
        <v>0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6" spans="1:245" x14ac:dyDescent="0.2">
      <c r="A206">
        <v>18</v>
      </c>
      <c r="B206">
        <v>1</v>
      </c>
      <c r="C206">
        <v>91</v>
      </c>
      <c r="E206" t="s">
        <v>221</v>
      </c>
      <c r="F206" t="s">
        <v>222</v>
      </c>
      <c r="G206" t="s">
        <v>223</v>
      </c>
      <c r="H206" t="s">
        <v>171</v>
      </c>
      <c r="I206">
        <f>I205*J206</f>
        <v>3</v>
      </c>
      <c r="J206">
        <v>100</v>
      </c>
      <c r="K206">
        <v>100</v>
      </c>
      <c r="O206">
        <f>ROUND(CP206,2)</f>
        <v>2328.66</v>
      </c>
      <c r="P206">
        <f>ROUND(CQ206*I206,2)</f>
        <v>2328.66</v>
      </c>
      <c r="Q206">
        <f>ROUND(CR206*I206,2)</f>
        <v>0</v>
      </c>
      <c r="R206">
        <f>ROUND(CS206*I206,2)</f>
        <v>0</v>
      </c>
      <c r="S206">
        <f>ROUND(CT206*I206,2)</f>
        <v>0</v>
      </c>
      <c r="T206">
        <f>ROUND(CU206*I206,2)</f>
        <v>0</v>
      </c>
      <c r="U206">
        <f>CV206*I206</f>
        <v>0</v>
      </c>
      <c r="V206">
        <f>CW206*I206</f>
        <v>0</v>
      </c>
      <c r="W206">
        <f>ROUND(CX206*I206,2)</f>
        <v>0</v>
      </c>
      <c r="X206">
        <f t="shared" si="152"/>
        <v>0</v>
      </c>
      <c r="Y206">
        <f t="shared" si="152"/>
        <v>0</v>
      </c>
      <c r="AA206">
        <v>75700856</v>
      </c>
      <c r="AB206">
        <f>ROUND((AC206+AD206+AF206),6)</f>
        <v>776.22</v>
      </c>
      <c r="AC206">
        <f>ROUND((ES206),6)</f>
        <v>776.22</v>
      </c>
      <c r="AD206">
        <f>ROUND((((ET206)-(EU206))+AE206),6)</f>
        <v>0</v>
      </c>
      <c r="AE206">
        <f t="shared" si="153"/>
        <v>0</v>
      </c>
      <c r="AF206">
        <f t="shared" si="153"/>
        <v>0</v>
      </c>
      <c r="AG206">
        <f>ROUND((AP206),6)</f>
        <v>0</v>
      </c>
      <c r="AH206">
        <f t="shared" si="154"/>
        <v>0</v>
      </c>
      <c r="AI206">
        <f t="shared" si="154"/>
        <v>0</v>
      </c>
      <c r="AJ206">
        <f>(AS206)</f>
        <v>0</v>
      </c>
      <c r="AK206">
        <v>776.22</v>
      </c>
      <c r="AL206">
        <v>776.22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70</v>
      </c>
      <c r="AU206">
        <v>10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3</v>
      </c>
      <c r="BI206">
        <v>4</v>
      </c>
      <c r="BJ206" t="s">
        <v>224</v>
      </c>
      <c r="BM206">
        <v>0</v>
      </c>
      <c r="BN206">
        <v>75371441</v>
      </c>
      <c r="BO206" t="s">
        <v>3</v>
      </c>
      <c r="BP206">
        <v>0</v>
      </c>
      <c r="BQ206">
        <v>1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70</v>
      </c>
      <c r="CA206">
        <v>10</v>
      </c>
      <c r="CB206" t="s">
        <v>3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>(P206+Q206+S206)</f>
        <v>2328.66</v>
      </c>
      <c r="CQ206">
        <f>(AC206*BC206*AW206)</f>
        <v>776.22</v>
      </c>
      <c r="CR206">
        <f>((((ET206)*BB206-(EU206)*BS206)+AE206*BS206)*AV206)</f>
        <v>0</v>
      </c>
      <c r="CS206">
        <f>(AE206*BS206*AV206)</f>
        <v>0</v>
      </c>
      <c r="CT206">
        <f>(AF206*BA206*AV206)</f>
        <v>0</v>
      </c>
      <c r="CU206">
        <f>AG206</f>
        <v>0</v>
      </c>
      <c r="CV206">
        <f>(AH206*AV206)</f>
        <v>0</v>
      </c>
      <c r="CW206">
        <f t="shared" si="155"/>
        <v>0</v>
      </c>
      <c r="CX206">
        <f t="shared" si="155"/>
        <v>0</v>
      </c>
      <c r="CY206">
        <f>((S206*BZ206)/100)</f>
        <v>0</v>
      </c>
      <c r="CZ206">
        <f>((S206*CA206)/100)</f>
        <v>0</v>
      </c>
      <c r="DC206" t="s">
        <v>3</v>
      </c>
      <c r="DD206" t="s">
        <v>3</v>
      </c>
      <c r="DE206" t="s">
        <v>3</v>
      </c>
      <c r="DF206" t="s">
        <v>3</v>
      </c>
      <c r="DG206" t="s">
        <v>3</v>
      </c>
      <c r="DH206" t="s">
        <v>3</v>
      </c>
      <c r="DI206" t="s">
        <v>3</v>
      </c>
      <c r="DJ206" t="s">
        <v>3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1010</v>
      </c>
      <c r="DV206" t="s">
        <v>171</v>
      </c>
      <c r="DW206" t="s">
        <v>171</v>
      </c>
      <c r="DX206">
        <v>1</v>
      </c>
      <c r="DZ206" t="s">
        <v>3</v>
      </c>
      <c r="EA206" t="s">
        <v>3</v>
      </c>
      <c r="EB206" t="s">
        <v>3</v>
      </c>
      <c r="EC206" t="s">
        <v>3</v>
      </c>
      <c r="EE206">
        <v>75371444</v>
      </c>
      <c r="EF206">
        <v>1</v>
      </c>
      <c r="EG206" t="s">
        <v>22</v>
      </c>
      <c r="EH206">
        <v>0</v>
      </c>
      <c r="EI206" t="s">
        <v>3</v>
      </c>
      <c r="EJ206">
        <v>4</v>
      </c>
      <c r="EK206">
        <v>0</v>
      </c>
      <c r="EL206" t="s">
        <v>23</v>
      </c>
      <c r="EM206" t="s">
        <v>24</v>
      </c>
      <c r="EO206" t="s">
        <v>3</v>
      </c>
      <c r="EQ206">
        <v>0</v>
      </c>
      <c r="ER206">
        <v>776.22</v>
      </c>
      <c r="ES206">
        <v>776.22</v>
      </c>
      <c r="ET206">
        <v>0</v>
      </c>
      <c r="EU206">
        <v>0</v>
      </c>
      <c r="EV206">
        <v>0</v>
      </c>
      <c r="EW206">
        <v>0</v>
      </c>
      <c r="EX206">
        <v>0</v>
      </c>
      <c r="FQ206">
        <v>0</v>
      </c>
      <c r="FR206">
        <f>ROUND(IF(BI206=3,GM206,0),2)</f>
        <v>0</v>
      </c>
      <c r="FS206">
        <v>0</v>
      </c>
      <c r="FX206">
        <v>70</v>
      </c>
      <c r="FY206">
        <v>10</v>
      </c>
      <c r="GA206" t="s">
        <v>3</v>
      </c>
      <c r="GD206">
        <v>0</v>
      </c>
      <c r="GF206">
        <v>-1885415833</v>
      </c>
      <c r="GG206">
        <v>2</v>
      </c>
      <c r="GH206">
        <v>1</v>
      </c>
      <c r="GI206">
        <v>-2</v>
      </c>
      <c r="GJ206">
        <v>0</v>
      </c>
      <c r="GK206">
        <f>ROUND(R206*(R12)/100,2)</f>
        <v>0</v>
      </c>
      <c r="GL206">
        <f>ROUND(IF(AND(BH206=3,BI206=3,FS206&lt;&gt;0),P206,0),2)</f>
        <v>0</v>
      </c>
      <c r="GM206">
        <f>ROUND(O206+X206+Y206+GK206,2)+GX206</f>
        <v>2328.66</v>
      </c>
      <c r="GN206">
        <f>IF(OR(BI206=0,BI206=1),GM206-GX206,0)</f>
        <v>0</v>
      </c>
      <c r="GO206">
        <f>IF(BI206=2,GM206-GX206,0)</f>
        <v>0</v>
      </c>
      <c r="GP206">
        <f>IF(BI206=4,GM206-GX206,0)</f>
        <v>2328.66</v>
      </c>
      <c r="GR206">
        <v>0</v>
      </c>
      <c r="GS206">
        <v>3</v>
      </c>
      <c r="GT206">
        <v>0</v>
      </c>
      <c r="GU206" t="s">
        <v>3</v>
      </c>
      <c r="GV206">
        <f>ROUND((GT206),6)</f>
        <v>0</v>
      </c>
      <c r="GW206">
        <v>1</v>
      </c>
      <c r="GX206">
        <f>ROUND(HC206*I206,2)</f>
        <v>0</v>
      </c>
      <c r="HA206">
        <v>0</v>
      </c>
      <c r="HB206">
        <v>0</v>
      </c>
      <c r="HC206">
        <f>GV206*GW206</f>
        <v>0</v>
      </c>
      <c r="HE206" t="s">
        <v>3</v>
      </c>
      <c r="HF206" t="s">
        <v>3</v>
      </c>
      <c r="HM206" t="s">
        <v>3</v>
      </c>
      <c r="HN206" t="s">
        <v>3</v>
      </c>
      <c r="HO206" t="s">
        <v>3</v>
      </c>
      <c r="HP206" t="s">
        <v>3</v>
      </c>
      <c r="HQ206" t="s">
        <v>3</v>
      </c>
      <c r="IK206">
        <v>0</v>
      </c>
    </row>
    <row r="207" spans="1:245" x14ac:dyDescent="0.2">
      <c r="A207">
        <v>18</v>
      </c>
      <c r="B207">
        <v>1</v>
      </c>
      <c r="C207">
        <v>90</v>
      </c>
      <c r="E207" t="s">
        <v>225</v>
      </c>
      <c r="F207" t="s">
        <v>226</v>
      </c>
      <c r="G207" t="s">
        <v>227</v>
      </c>
      <c r="H207" t="s">
        <v>171</v>
      </c>
      <c r="I207">
        <f>I205*J207</f>
        <v>-3</v>
      </c>
      <c r="J207">
        <v>-100</v>
      </c>
      <c r="K207">
        <v>-100</v>
      </c>
      <c r="O207">
        <f>ROUND(CP207,2)</f>
        <v>-861.72</v>
      </c>
      <c r="P207">
        <f>ROUND(CQ207*I207,2)</f>
        <v>-861.72</v>
      </c>
      <c r="Q207">
        <f>ROUND(CR207*I207,2)</f>
        <v>0</v>
      </c>
      <c r="R207">
        <f>ROUND(CS207*I207,2)</f>
        <v>0</v>
      </c>
      <c r="S207">
        <f>ROUND(CT207*I207,2)</f>
        <v>0</v>
      </c>
      <c r="T207">
        <f>ROUND(CU207*I207,2)</f>
        <v>0</v>
      </c>
      <c r="U207">
        <f>CV207*I207</f>
        <v>0</v>
      </c>
      <c r="V207">
        <f>CW207*I207</f>
        <v>0</v>
      </c>
      <c r="W207">
        <f>ROUND(CX207*I207,2)</f>
        <v>0</v>
      </c>
      <c r="X207">
        <f t="shared" si="152"/>
        <v>0</v>
      </c>
      <c r="Y207">
        <f t="shared" si="152"/>
        <v>0</v>
      </c>
      <c r="AA207">
        <v>75700856</v>
      </c>
      <c r="AB207">
        <f>ROUND((AC207+AD207+AF207),6)</f>
        <v>287.24</v>
      </c>
      <c r="AC207">
        <f>ROUND((ES207),6)</f>
        <v>287.24</v>
      </c>
      <c r="AD207">
        <f>ROUND((((ET207)-(EU207))+AE207),6)</f>
        <v>0</v>
      </c>
      <c r="AE207">
        <f t="shared" si="153"/>
        <v>0</v>
      </c>
      <c r="AF207">
        <f t="shared" si="153"/>
        <v>0</v>
      </c>
      <c r="AG207">
        <f>ROUND((AP207),6)</f>
        <v>0</v>
      </c>
      <c r="AH207">
        <f t="shared" si="154"/>
        <v>0</v>
      </c>
      <c r="AI207">
        <f t="shared" si="154"/>
        <v>0</v>
      </c>
      <c r="AJ207">
        <f>(AS207)</f>
        <v>0</v>
      </c>
      <c r="AK207">
        <v>287.24</v>
      </c>
      <c r="AL207">
        <v>287.24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70</v>
      </c>
      <c r="AU207">
        <v>10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3</v>
      </c>
      <c r="BI207">
        <v>4</v>
      </c>
      <c r="BJ207" t="s">
        <v>228</v>
      </c>
      <c r="BM207">
        <v>0</v>
      </c>
      <c r="BN207">
        <v>75371441</v>
      </c>
      <c r="BO207" t="s">
        <v>3</v>
      </c>
      <c r="BP207">
        <v>0</v>
      </c>
      <c r="BQ207">
        <v>1</v>
      </c>
      <c r="BR207">
        <v>1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70</v>
      </c>
      <c r="CA207">
        <v>10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>(P207+Q207+S207)</f>
        <v>-861.72</v>
      </c>
      <c r="CQ207">
        <f>(AC207*BC207*AW207)</f>
        <v>287.24</v>
      </c>
      <c r="CR207">
        <f>((((ET207)*BB207-(EU207)*BS207)+AE207*BS207)*AV207)</f>
        <v>0</v>
      </c>
      <c r="CS207">
        <f>(AE207*BS207*AV207)</f>
        <v>0</v>
      </c>
      <c r="CT207">
        <f>(AF207*BA207*AV207)</f>
        <v>0</v>
      </c>
      <c r="CU207">
        <f>AG207</f>
        <v>0</v>
      </c>
      <c r="CV207">
        <f>(AH207*AV207)</f>
        <v>0</v>
      </c>
      <c r="CW207">
        <f t="shared" si="155"/>
        <v>0</v>
      </c>
      <c r="CX207">
        <f t="shared" si="155"/>
        <v>0</v>
      </c>
      <c r="CY207">
        <f>((S207*BZ207)/100)</f>
        <v>0</v>
      </c>
      <c r="CZ207">
        <f>((S207*CA207)/100)</f>
        <v>0</v>
      </c>
      <c r="DC207" t="s">
        <v>3</v>
      </c>
      <c r="DD207" t="s">
        <v>3</v>
      </c>
      <c r="DE207" t="s">
        <v>3</v>
      </c>
      <c r="DF207" t="s">
        <v>3</v>
      </c>
      <c r="DG207" t="s">
        <v>3</v>
      </c>
      <c r="DH207" t="s">
        <v>3</v>
      </c>
      <c r="DI207" t="s">
        <v>3</v>
      </c>
      <c r="DJ207" t="s">
        <v>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1010</v>
      </c>
      <c r="DV207" t="s">
        <v>171</v>
      </c>
      <c r="DW207" t="s">
        <v>171</v>
      </c>
      <c r="DX207">
        <v>1</v>
      </c>
      <c r="DZ207" t="s">
        <v>3</v>
      </c>
      <c r="EA207" t="s">
        <v>3</v>
      </c>
      <c r="EB207" t="s">
        <v>3</v>
      </c>
      <c r="EC207" t="s">
        <v>3</v>
      </c>
      <c r="EE207">
        <v>75371444</v>
      </c>
      <c r="EF207">
        <v>1</v>
      </c>
      <c r="EG207" t="s">
        <v>22</v>
      </c>
      <c r="EH207">
        <v>0</v>
      </c>
      <c r="EI207" t="s">
        <v>3</v>
      </c>
      <c r="EJ207">
        <v>4</v>
      </c>
      <c r="EK207">
        <v>0</v>
      </c>
      <c r="EL207" t="s">
        <v>23</v>
      </c>
      <c r="EM207" t="s">
        <v>24</v>
      </c>
      <c r="EO207" t="s">
        <v>3</v>
      </c>
      <c r="EQ207">
        <v>0</v>
      </c>
      <c r="ER207">
        <v>287.24</v>
      </c>
      <c r="ES207">
        <v>287.24</v>
      </c>
      <c r="ET207">
        <v>0</v>
      </c>
      <c r="EU207">
        <v>0</v>
      </c>
      <c r="EV207">
        <v>0</v>
      </c>
      <c r="EW207">
        <v>0</v>
      </c>
      <c r="EX207">
        <v>0</v>
      </c>
      <c r="FQ207">
        <v>0</v>
      </c>
      <c r="FR207">
        <f>ROUND(IF(BI207=3,GM207,0),2)</f>
        <v>0</v>
      </c>
      <c r="FS207">
        <v>0</v>
      </c>
      <c r="FX207">
        <v>70</v>
      </c>
      <c r="FY207">
        <v>10</v>
      </c>
      <c r="GA207" t="s">
        <v>3</v>
      </c>
      <c r="GD207">
        <v>0</v>
      </c>
      <c r="GF207">
        <v>118609747</v>
      </c>
      <c r="GG207">
        <v>2</v>
      </c>
      <c r="GH207">
        <v>1</v>
      </c>
      <c r="GI207">
        <v>-2</v>
      </c>
      <c r="GJ207">
        <v>0</v>
      </c>
      <c r="GK207">
        <f>ROUND(R207*(R12)/100,2)</f>
        <v>0</v>
      </c>
      <c r="GL207">
        <f>ROUND(IF(AND(BH207=3,BI207=3,FS207&lt;&gt;0),P207,0),2)</f>
        <v>0</v>
      </c>
      <c r="GM207">
        <f>ROUND(O207+X207+Y207+GK207,2)+GX207</f>
        <v>-861.72</v>
      </c>
      <c r="GN207">
        <f>IF(OR(BI207=0,BI207=1),GM207-GX207,0)</f>
        <v>0</v>
      </c>
      <c r="GO207">
        <f>IF(BI207=2,GM207-GX207,0)</f>
        <v>0</v>
      </c>
      <c r="GP207">
        <f>IF(BI207=4,GM207-GX207,0)</f>
        <v>-861.72</v>
      </c>
      <c r="GR207">
        <v>0</v>
      </c>
      <c r="GS207">
        <v>3</v>
      </c>
      <c r="GT207">
        <v>0</v>
      </c>
      <c r="GU207" t="s">
        <v>3</v>
      </c>
      <c r="GV207">
        <f>ROUND((GT207),6)</f>
        <v>0</v>
      </c>
      <c r="GW207">
        <v>1</v>
      </c>
      <c r="GX207">
        <f>ROUND(HC207*I207,2)</f>
        <v>0</v>
      </c>
      <c r="HA207">
        <v>0</v>
      </c>
      <c r="HB207">
        <v>0</v>
      </c>
      <c r="HC207">
        <f>GV207*GW207</f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9" spans="1:206" x14ac:dyDescent="0.2">
      <c r="A209" s="2">
        <v>51</v>
      </c>
      <c r="B209" s="2">
        <f>B201</f>
        <v>1</v>
      </c>
      <c r="C209" s="2">
        <f>A201</f>
        <v>5</v>
      </c>
      <c r="D209" s="2">
        <f>ROW(A201)</f>
        <v>201</v>
      </c>
      <c r="E209" s="2"/>
      <c r="F209" s="2" t="str">
        <f>IF(F201&lt;&gt;"",F201,"")</f>
        <v>Новый подраздел</v>
      </c>
      <c r="G209" s="2" t="str">
        <f>IF(G201&lt;&gt;"",G201,"")</f>
        <v>Прочее</v>
      </c>
      <c r="H209" s="2">
        <v>0</v>
      </c>
      <c r="I209" s="2"/>
      <c r="J209" s="2"/>
      <c r="K209" s="2"/>
      <c r="L209" s="2"/>
      <c r="M209" s="2"/>
      <c r="N209" s="2"/>
      <c r="O209" s="2">
        <f t="shared" ref="O209:T209" si="156">ROUND(AB209,2)</f>
        <v>2944.01</v>
      </c>
      <c r="P209" s="2">
        <f t="shared" si="156"/>
        <v>2340.69</v>
      </c>
      <c r="Q209" s="2">
        <f t="shared" si="156"/>
        <v>0</v>
      </c>
      <c r="R209" s="2">
        <f t="shared" si="156"/>
        <v>0</v>
      </c>
      <c r="S209" s="2">
        <f t="shared" si="156"/>
        <v>603.32000000000005</v>
      </c>
      <c r="T209" s="2">
        <f t="shared" si="156"/>
        <v>0</v>
      </c>
      <c r="U209" s="2">
        <f>AH209</f>
        <v>1.3856999999999999</v>
      </c>
      <c r="V209" s="2">
        <f>AI209</f>
        <v>0</v>
      </c>
      <c r="W209" s="2">
        <f>ROUND(AJ209,2)</f>
        <v>0</v>
      </c>
      <c r="X209" s="2">
        <f>ROUND(AK209,2)</f>
        <v>422.32</v>
      </c>
      <c r="Y209" s="2">
        <f>ROUND(AL209,2)</f>
        <v>60.33</v>
      </c>
      <c r="Z209" s="2"/>
      <c r="AA209" s="2"/>
      <c r="AB209" s="2">
        <f>ROUND(SUMIF(AA205:AA207,"=75700856",O205:O207),2)</f>
        <v>2944.01</v>
      </c>
      <c r="AC209" s="2">
        <f>ROUND(SUMIF(AA205:AA207,"=75700856",P205:P207),2)</f>
        <v>2340.69</v>
      </c>
      <c r="AD209" s="2">
        <f>ROUND(SUMIF(AA205:AA207,"=75700856",Q205:Q207),2)</f>
        <v>0</v>
      </c>
      <c r="AE209" s="2">
        <f>ROUND(SUMIF(AA205:AA207,"=75700856",R205:R207),2)</f>
        <v>0</v>
      </c>
      <c r="AF209" s="2">
        <f>ROUND(SUMIF(AA205:AA207,"=75700856",S205:S207),2)</f>
        <v>603.32000000000005</v>
      </c>
      <c r="AG209" s="2">
        <f>ROUND(SUMIF(AA205:AA207,"=75700856",T205:T207),2)</f>
        <v>0</v>
      </c>
      <c r="AH209" s="2">
        <f>SUMIF(AA205:AA207,"=75700856",U205:U207)</f>
        <v>1.3856999999999999</v>
      </c>
      <c r="AI209" s="2">
        <f>SUMIF(AA205:AA207,"=75700856",V205:V207)</f>
        <v>0</v>
      </c>
      <c r="AJ209" s="2">
        <f>ROUND(SUMIF(AA205:AA207,"=75700856",W205:W207),2)</f>
        <v>0</v>
      </c>
      <c r="AK209" s="2">
        <f>ROUND(SUMIF(AA205:AA207,"=75700856",X205:X207),2)</f>
        <v>422.32</v>
      </c>
      <c r="AL209" s="2">
        <f>ROUND(SUMIF(AA205:AA207,"=75700856",Y205:Y207),2)</f>
        <v>60.33</v>
      </c>
      <c r="AM209" s="2"/>
      <c r="AN209" s="2"/>
      <c r="AO209" s="2">
        <f t="shared" ref="AO209:BD209" si="157">ROUND(BX209,2)</f>
        <v>0</v>
      </c>
      <c r="AP209" s="2">
        <f t="shared" si="157"/>
        <v>0</v>
      </c>
      <c r="AQ209" s="2">
        <f t="shared" si="157"/>
        <v>0</v>
      </c>
      <c r="AR209" s="2">
        <f t="shared" si="157"/>
        <v>3426.66</v>
      </c>
      <c r="AS209" s="2">
        <f t="shared" si="157"/>
        <v>0</v>
      </c>
      <c r="AT209" s="2">
        <f t="shared" si="157"/>
        <v>0</v>
      </c>
      <c r="AU209" s="2">
        <f t="shared" si="157"/>
        <v>3426.66</v>
      </c>
      <c r="AV209" s="2">
        <f t="shared" si="157"/>
        <v>2340.69</v>
      </c>
      <c r="AW209" s="2">
        <f t="shared" si="157"/>
        <v>2340.69</v>
      </c>
      <c r="AX209" s="2">
        <f t="shared" si="157"/>
        <v>0</v>
      </c>
      <c r="AY209" s="2">
        <f t="shared" si="157"/>
        <v>2340.69</v>
      </c>
      <c r="AZ209" s="2">
        <f t="shared" si="157"/>
        <v>0</v>
      </c>
      <c r="BA209" s="2">
        <f t="shared" si="157"/>
        <v>0</v>
      </c>
      <c r="BB209" s="2">
        <f t="shared" si="157"/>
        <v>0</v>
      </c>
      <c r="BC209" s="2">
        <f t="shared" si="157"/>
        <v>0</v>
      </c>
      <c r="BD209" s="2">
        <f t="shared" si="157"/>
        <v>0</v>
      </c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>
        <f>ROUND(SUMIF(AA205:AA207,"=75700856",FQ205:FQ207),2)</f>
        <v>0</v>
      </c>
      <c r="BY209" s="2">
        <f>ROUND(SUMIF(AA205:AA207,"=75700856",FR205:FR207),2)</f>
        <v>0</v>
      </c>
      <c r="BZ209" s="2">
        <f>ROUND(SUMIF(AA205:AA207,"=75700856",GL205:GL207),2)</f>
        <v>0</v>
      </c>
      <c r="CA209" s="2">
        <f>ROUND(SUMIF(AA205:AA207,"=75700856",GM205:GM207),2)</f>
        <v>3426.66</v>
      </c>
      <c r="CB209" s="2">
        <f>ROUND(SUMIF(AA205:AA207,"=75700856",GN205:GN207),2)</f>
        <v>0</v>
      </c>
      <c r="CC209" s="2">
        <f>ROUND(SUMIF(AA205:AA207,"=75700856",GO205:GO207),2)</f>
        <v>0</v>
      </c>
      <c r="CD209" s="2">
        <f>ROUND(SUMIF(AA205:AA207,"=75700856",GP205:GP207),2)</f>
        <v>3426.66</v>
      </c>
      <c r="CE209" s="2">
        <f>AC209-BX209</f>
        <v>2340.69</v>
      </c>
      <c r="CF209" s="2">
        <f>AC209-BY209</f>
        <v>2340.69</v>
      </c>
      <c r="CG209" s="2">
        <f>BX209-BZ209</f>
        <v>0</v>
      </c>
      <c r="CH209" s="2">
        <f>AC209-BX209-BY209+BZ209</f>
        <v>2340.69</v>
      </c>
      <c r="CI209" s="2">
        <f>BY209-BZ209</f>
        <v>0</v>
      </c>
      <c r="CJ209" s="2">
        <f>ROUND(SUMIF(AA205:AA207,"=75700856",GX205:GX207),2)</f>
        <v>0</v>
      </c>
      <c r="CK209" s="2">
        <f>ROUND(SUMIF(AA205:AA207,"=75700856",GY205:GY207),2)</f>
        <v>0</v>
      </c>
      <c r="CL209" s="2">
        <f>ROUND(SUMIF(AA205:AA207,"=75700856",GZ205:GZ207),2)</f>
        <v>0</v>
      </c>
      <c r="CM209" s="2">
        <f>ROUND(SUMIF(AA205:AA207,"=75700856",HD205:HD207),2)</f>
        <v>0</v>
      </c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>
        <v>0</v>
      </c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201</v>
      </c>
      <c r="F211" s="4">
        <f>ROUND(Source!O209,O211)</f>
        <v>2944.01</v>
      </c>
      <c r="G211" s="4" t="s">
        <v>74</v>
      </c>
      <c r="H211" s="4" t="s">
        <v>75</v>
      </c>
      <c r="I211" s="4"/>
      <c r="J211" s="4"/>
      <c r="K211" s="4">
        <v>201</v>
      </c>
      <c r="L211" s="4">
        <v>1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2944.01</v>
      </c>
      <c r="X211" s="4">
        <v>1</v>
      </c>
      <c r="Y211" s="4">
        <v>2944.01</v>
      </c>
      <c r="Z211" s="4"/>
      <c r="AA211" s="4"/>
      <c r="AB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202</v>
      </c>
      <c r="F212" s="4">
        <f>ROUND(Source!P209,O212)</f>
        <v>2340.69</v>
      </c>
      <c r="G212" s="4" t="s">
        <v>76</v>
      </c>
      <c r="H212" s="4" t="s">
        <v>77</v>
      </c>
      <c r="I212" s="4"/>
      <c r="J212" s="4"/>
      <c r="K212" s="4">
        <v>202</v>
      </c>
      <c r="L212" s="4">
        <v>2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2340.69</v>
      </c>
      <c r="X212" s="4">
        <v>1</v>
      </c>
      <c r="Y212" s="4">
        <v>2340.69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222</v>
      </c>
      <c r="F213" s="4">
        <f>ROUND(Source!AO209,O213)</f>
        <v>0</v>
      </c>
      <c r="G213" s="4" t="s">
        <v>78</v>
      </c>
      <c r="H213" s="4" t="s">
        <v>79</v>
      </c>
      <c r="I213" s="4"/>
      <c r="J213" s="4"/>
      <c r="K213" s="4">
        <v>222</v>
      </c>
      <c r="L213" s="4">
        <v>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225</v>
      </c>
      <c r="F214" s="4">
        <f>ROUND(Source!AV209,O214)</f>
        <v>2340.69</v>
      </c>
      <c r="G214" s="4" t="s">
        <v>80</v>
      </c>
      <c r="H214" s="4" t="s">
        <v>81</v>
      </c>
      <c r="I214" s="4"/>
      <c r="J214" s="4"/>
      <c r="K214" s="4">
        <v>225</v>
      </c>
      <c r="L214" s="4">
        <v>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2340.69</v>
      </c>
      <c r="X214" s="4">
        <v>1</v>
      </c>
      <c r="Y214" s="4">
        <v>2340.69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226</v>
      </c>
      <c r="F215" s="4">
        <f>ROUND(Source!AW209,O215)</f>
        <v>2340.69</v>
      </c>
      <c r="G215" s="4" t="s">
        <v>82</v>
      </c>
      <c r="H215" s="4" t="s">
        <v>83</v>
      </c>
      <c r="I215" s="4"/>
      <c r="J215" s="4"/>
      <c r="K215" s="4">
        <v>226</v>
      </c>
      <c r="L215" s="4">
        <v>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2340.69</v>
      </c>
      <c r="X215" s="4">
        <v>1</v>
      </c>
      <c r="Y215" s="4">
        <v>2340.69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227</v>
      </c>
      <c r="F216" s="4">
        <f>ROUND(Source!AX209,O216)</f>
        <v>0</v>
      </c>
      <c r="G216" s="4" t="s">
        <v>84</v>
      </c>
      <c r="H216" s="4" t="s">
        <v>85</v>
      </c>
      <c r="I216" s="4"/>
      <c r="J216" s="4"/>
      <c r="K216" s="4">
        <v>227</v>
      </c>
      <c r="L216" s="4">
        <v>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228</v>
      </c>
      <c r="F217" s="4">
        <f>ROUND(Source!AY209,O217)</f>
        <v>2340.69</v>
      </c>
      <c r="G217" s="4" t="s">
        <v>86</v>
      </c>
      <c r="H217" s="4" t="s">
        <v>87</v>
      </c>
      <c r="I217" s="4"/>
      <c r="J217" s="4"/>
      <c r="K217" s="4">
        <v>228</v>
      </c>
      <c r="L217" s="4">
        <v>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2340.69</v>
      </c>
      <c r="X217" s="4">
        <v>1</v>
      </c>
      <c r="Y217" s="4">
        <v>2340.69</v>
      </c>
      <c r="Z217" s="4"/>
      <c r="AA217" s="4"/>
      <c r="AB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216</v>
      </c>
      <c r="F218" s="4">
        <f>ROUND(Source!AP209,O218)</f>
        <v>0</v>
      </c>
      <c r="G218" s="4" t="s">
        <v>88</v>
      </c>
      <c r="H218" s="4" t="s">
        <v>89</v>
      </c>
      <c r="I218" s="4"/>
      <c r="J218" s="4"/>
      <c r="K218" s="4">
        <v>216</v>
      </c>
      <c r="L218" s="4">
        <v>8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223</v>
      </c>
      <c r="F219" s="4">
        <f>ROUND(Source!AQ209,O219)</f>
        <v>0</v>
      </c>
      <c r="G219" s="4" t="s">
        <v>90</v>
      </c>
      <c r="H219" s="4" t="s">
        <v>91</v>
      </c>
      <c r="I219" s="4"/>
      <c r="J219" s="4"/>
      <c r="K219" s="4">
        <v>223</v>
      </c>
      <c r="L219" s="4">
        <v>9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229</v>
      </c>
      <c r="F220" s="4">
        <f>ROUND(Source!AZ209,O220)</f>
        <v>0</v>
      </c>
      <c r="G220" s="4" t="s">
        <v>92</v>
      </c>
      <c r="H220" s="4" t="s">
        <v>93</v>
      </c>
      <c r="I220" s="4"/>
      <c r="J220" s="4"/>
      <c r="K220" s="4">
        <v>229</v>
      </c>
      <c r="L220" s="4">
        <v>10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203</v>
      </c>
      <c r="F221" s="4">
        <f>ROUND(Source!Q209,O221)</f>
        <v>0</v>
      </c>
      <c r="G221" s="4" t="s">
        <v>94</v>
      </c>
      <c r="H221" s="4" t="s">
        <v>95</v>
      </c>
      <c r="I221" s="4"/>
      <c r="J221" s="4"/>
      <c r="K221" s="4">
        <v>203</v>
      </c>
      <c r="L221" s="4">
        <v>11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231</v>
      </c>
      <c r="F222" s="4">
        <f>ROUND(Source!BB209,O222)</f>
        <v>0</v>
      </c>
      <c r="G222" s="4" t="s">
        <v>96</v>
      </c>
      <c r="H222" s="4" t="s">
        <v>97</v>
      </c>
      <c r="I222" s="4"/>
      <c r="J222" s="4"/>
      <c r="K222" s="4">
        <v>231</v>
      </c>
      <c r="L222" s="4">
        <v>12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204</v>
      </c>
      <c r="F223" s="4">
        <f>ROUND(Source!R209,O223)</f>
        <v>0</v>
      </c>
      <c r="G223" s="4" t="s">
        <v>98</v>
      </c>
      <c r="H223" s="4" t="s">
        <v>99</v>
      </c>
      <c r="I223" s="4"/>
      <c r="J223" s="4"/>
      <c r="K223" s="4">
        <v>204</v>
      </c>
      <c r="L223" s="4">
        <v>13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205</v>
      </c>
      <c r="F224" s="4">
        <f>ROUND(Source!S209,O224)</f>
        <v>603.32000000000005</v>
      </c>
      <c r="G224" s="4" t="s">
        <v>100</v>
      </c>
      <c r="H224" s="4" t="s">
        <v>101</v>
      </c>
      <c r="I224" s="4"/>
      <c r="J224" s="4"/>
      <c r="K224" s="4">
        <v>205</v>
      </c>
      <c r="L224" s="4">
        <v>14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603.32000000000005</v>
      </c>
      <c r="X224" s="4">
        <v>1</v>
      </c>
      <c r="Y224" s="4">
        <v>603.32000000000005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232</v>
      </c>
      <c r="F225" s="4">
        <f>ROUND(Source!BC209,O225)</f>
        <v>0</v>
      </c>
      <c r="G225" s="4" t="s">
        <v>102</v>
      </c>
      <c r="H225" s="4" t="s">
        <v>103</v>
      </c>
      <c r="I225" s="4"/>
      <c r="J225" s="4"/>
      <c r="K225" s="4">
        <v>232</v>
      </c>
      <c r="L225" s="4">
        <v>15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214</v>
      </c>
      <c r="F226" s="4">
        <f>ROUND(Source!AS209,O226)</f>
        <v>0</v>
      </c>
      <c r="G226" s="4" t="s">
        <v>104</v>
      </c>
      <c r="H226" s="4" t="s">
        <v>105</v>
      </c>
      <c r="I226" s="4"/>
      <c r="J226" s="4"/>
      <c r="K226" s="4">
        <v>214</v>
      </c>
      <c r="L226" s="4">
        <v>16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215</v>
      </c>
      <c r="F227" s="4">
        <f>ROUND(Source!AT209,O227)</f>
        <v>0</v>
      </c>
      <c r="G227" s="4" t="s">
        <v>106</v>
      </c>
      <c r="H227" s="4" t="s">
        <v>107</v>
      </c>
      <c r="I227" s="4"/>
      <c r="J227" s="4"/>
      <c r="K227" s="4">
        <v>215</v>
      </c>
      <c r="L227" s="4">
        <v>17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217</v>
      </c>
      <c r="F228" s="4">
        <f>ROUND(Source!AU209,O228)</f>
        <v>3426.66</v>
      </c>
      <c r="G228" s="4" t="s">
        <v>108</v>
      </c>
      <c r="H228" s="4" t="s">
        <v>109</v>
      </c>
      <c r="I228" s="4"/>
      <c r="J228" s="4"/>
      <c r="K228" s="4">
        <v>217</v>
      </c>
      <c r="L228" s="4">
        <v>18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3426.66</v>
      </c>
      <c r="X228" s="4">
        <v>1</v>
      </c>
      <c r="Y228" s="4">
        <v>3426.66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230</v>
      </c>
      <c r="F229" s="4">
        <f>ROUND(Source!BA209,O229)</f>
        <v>0</v>
      </c>
      <c r="G229" s="4" t="s">
        <v>110</v>
      </c>
      <c r="H229" s="4" t="s">
        <v>111</v>
      </c>
      <c r="I229" s="4"/>
      <c r="J229" s="4"/>
      <c r="K229" s="4">
        <v>230</v>
      </c>
      <c r="L229" s="4">
        <v>19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206</v>
      </c>
      <c r="F230" s="4">
        <f>ROUND(Source!T209,O230)</f>
        <v>0</v>
      </c>
      <c r="G230" s="4" t="s">
        <v>112</v>
      </c>
      <c r="H230" s="4" t="s">
        <v>113</v>
      </c>
      <c r="I230" s="4"/>
      <c r="J230" s="4"/>
      <c r="K230" s="4">
        <v>206</v>
      </c>
      <c r="L230" s="4">
        <v>20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207</v>
      </c>
      <c r="F231" s="4">
        <f>Source!U209</f>
        <v>1.3856999999999999</v>
      </c>
      <c r="G231" s="4" t="s">
        <v>114</v>
      </c>
      <c r="H231" s="4" t="s">
        <v>115</v>
      </c>
      <c r="I231" s="4"/>
      <c r="J231" s="4"/>
      <c r="K231" s="4">
        <v>207</v>
      </c>
      <c r="L231" s="4">
        <v>21</v>
      </c>
      <c r="M231" s="4">
        <v>3</v>
      </c>
      <c r="N231" s="4" t="s">
        <v>3</v>
      </c>
      <c r="O231" s="4">
        <v>-1</v>
      </c>
      <c r="P231" s="4"/>
      <c r="Q231" s="4"/>
      <c r="R231" s="4"/>
      <c r="S231" s="4"/>
      <c r="T231" s="4"/>
      <c r="U231" s="4"/>
      <c r="V231" s="4"/>
      <c r="W231" s="4">
        <v>1.3856999999999999</v>
      </c>
      <c r="X231" s="4">
        <v>1</v>
      </c>
      <c r="Y231" s="4">
        <v>1.3856999999999999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208</v>
      </c>
      <c r="F232" s="4">
        <f>Source!V209</f>
        <v>0</v>
      </c>
      <c r="G232" s="4" t="s">
        <v>116</v>
      </c>
      <c r="H232" s="4" t="s">
        <v>117</v>
      </c>
      <c r="I232" s="4"/>
      <c r="J232" s="4"/>
      <c r="K232" s="4">
        <v>208</v>
      </c>
      <c r="L232" s="4">
        <v>22</v>
      </c>
      <c r="M232" s="4">
        <v>3</v>
      </c>
      <c r="N232" s="4" t="s">
        <v>3</v>
      </c>
      <c r="O232" s="4">
        <v>-1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209</v>
      </c>
      <c r="F233" s="4">
        <f>ROUND(Source!W209,O233)</f>
        <v>0</v>
      </c>
      <c r="G233" s="4" t="s">
        <v>118</v>
      </c>
      <c r="H233" s="4" t="s">
        <v>119</v>
      </c>
      <c r="I233" s="4"/>
      <c r="J233" s="4"/>
      <c r="K233" s="4">
        <v>209</v>
      </c>
      <c r="L233" s="4">
        <v>23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233</v>
      </c>
      <c r="F234" s="4">
        <f>ROUND(Source!BD209,O234)</f>
        <v>0</v>
      </c>
      <c r="G234" s="4" t="s">
        <v>120</v>
      </c>
      <c r="H234" s="4" t="s">
        <v>121</v>
      </c>
      <c r="I234" s="4"/>
      <c r="J234" s="4"/>
      <c r="K234" s="4">
        <v>233</v>
      </c>
      <c r="L234" s="4">
        <v>24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210</v>
      </c>
      <c r="F235" s="4">
        <f>ROUND(Source!X209,O235)</f>
        <v>422.32</v>
      </c>
      <c r="G235" s="4" t="s">
        <v>122</v>
      </c>
      <c r="H235" s="4" t="s">
        <v>123</v>
      </c>
      <c r="I235" s="4"/>
      <c r="J235" s="4"/>
      <c r="K235" s="4">
        <v>210</v>
      </c>
      <c r="L235" s="4">
        <v>25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422.32</v>
      </c>
      <c r="X235" s="4">
        <v>1</v>
      </c>
      <c r="Y235" s="4">
        <v>422.32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211</v>
      </c>
      <c r="F236" s="4">
        <f>ROUND(Source!Y209,O236)</f>
        <v>60.33</v>
      </c>
      <c r="G236" s="4" t="s">
        <v>124</v>
      </c>
      <c r="H236" s="4" t="s">
        <v>125</v>
      </c>
      <c r="I236" s="4"/>
      <c r="J236" s="4"/>
      <c r="K236" s="4">
        <v>211</v>
      </c>
      <c r="L236" s="4">
        <v>26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60.33</v>
      </c>
      <c r="X236" s="4">
        <v>1</v>
      </c>
      <c r="Y236" s="4">
        <v>60.33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224</v>
      </c>
      <c r="F237" s="4">
        <f>ROUND(Source!AR209,O237)</f>
        <v>3426.66</v>
      </c>
      <c r="G237" s="4" t="s">
        <v>126</v>
      </c>
      <c r="H237" s="4" t="s">
        <v>127</v>
      </c>
      <c r="I237" s="4"/>
      <c r="J237" s="4"/>
      <c r="K237" s="4">
        <v>224</v>
      </c>
      <c r="L237" s="4">
        <v>27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3426.66</v>
      </c>
      <c r="X237" s="4">
        <v>1</v>
      </c>
      <c r="Y237" s="4">
        <v>3426.66</v>
      </c>
      <c r="Z237" s="4"/>
      <c r="AA237" s="4"/>
      <c r="AB237" s="4"/>
    </row>
    <row r="239" spans="1:206" x14ac:dyDescent="0.2">
      <c r="A239" s="2">
        <v>51</v>
      </c>
      <c r="B239" s="2">
        <f>B24</f>
        <v>1</v>
      </c>
      <c r="C239" s="2">
        <f>A24</f>
        <v>4</v>
      </c>
      <c r="D239" s="2">
        <f>ROW(A24)</f>
        <v>24</v>
      </c>
      <c r="E239" s="2"/>
      <c r="F239" s="2" t="str">
        <f>IF(F24&lt;&gt;"",F24,"")</f>
        <v>Новый раздел</v>
      </c>
      <c r="G239" s="2" t="str">
        <f>IF(G24&lt;&gt;"",G24,"")</f>
        <v>Второй этаж, кабинет № 216</v>
      </c>
      <c r="H239" s="2">
        <v>0</v>
      </c>
      <c r="I239" s="2"/>
      <c r="J239" s="2"/>
      <c r="K239" s="2"/>
      <c r="L239" s="2"/>
      <c r="M239" s="2"/>
      <c r="N239" s="2"/>
      <c r="O239" s="2">
        <f t="shared" ref="O239:T239" si="158">ROUND(O45+O85+O133+O171+O209+AB239,2)</f>
        <v>188287.75</v>
      </c>
      <c r="P239" s="2">
        <f t="shared" si="158"/>
        <v>134053.21</v>
      </c>
      <c r="Q239" s="2">
        <f t="shared" si="158"/>
        <v>378.35</v>
      </c>
      <c r="R239" s="2">
        <f t="shared" si="158"/>
        <v>16.28</v>
      </c>
      <c r="S239" s="2">
        <f t="shared" si="158"/>
        <v>53856.19</v>
      </c>
      <c r="T239" s="2">
        <f t="shared" si="158"/>
        <v>0</v>
      </c>
      <c r="U239" s="2">
        <f>U45+U85+U133+U171+U209+AH239</f>
        <v>118.07234</v>
      </c>
      <c r="V239" s="2">
        <f>V45+V85+V133+V171+V209+AI239</f>
        <v>0</v>
      </c>
      <c r="W239" s="2">
        <f>ROUND(W45+W85+W133+W171+W209+AJ239,2)</f>
        <v>0</v>
      </c>
      <c r="X239" s="2">
        <f>ROUND(X45+X85+X133+X171+X209+AK239,2)</f>
        <v>37699.339999999997</v>
      </c>
      <c r="Y239" s="2">
        <f>ROUND(Y45+Y85+Y133+Y171+Y209+AL239,2)</f>
        <v>5385.64</v>
      </c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>
        <f t="shared" ref="AO239:BD239" si="159">ROUND(AO45+AO85+AO133+AO171+AO209+BX239,2)</f>
        <v>0</v>
      </c>
      <c r="AP239" s="2">
        <f t="shared" si="159"/>
        <v>0</v>
      </c>
      <c r="AQ239" s="2">
        <f t="shared" si="159"/>
        <v>0</v>
      </c>
      <c r="AR239" s="2">
        <f t="shared" si="159"/>
        <v>231390.31</v>
      </c>
      <c r="AS239" s="2">
        <f t="shared" si="159"/>
        <v>0</v>
      </c>
      <c r="AT239" s="2">
        <f t="shared" si="159"/>
        <v>0</v>
      </c>
      <c r="AU239" s="2">
        <f t="shared" si="159"/>
        <v>231390.31</v>
      </c>
      <c r="AV239" s="2">
        <f t="shared" si="159"/>
        <v>134053.21</v>
      </c>
      <c r="AW239" s="2">
        <f t="shared" si="159"/>
        <v>134053.21</v>
      </c>
      <c r="AX239" s="2">
        <f t="shared" si="159"/>
        <v>0</v>
      </c>
      <c r="AY239" s="2">
        <f t="shared" si="159"/>
        <v>134053.21</v>
      </c>
      <c r="AZ239" s="2">
        <f t="shared" si="159"/>
        <v>0</v>
      </c>
      <c r="BA239" s="2">
        <f t="shared" si="159"/>
        <v>0</v>
      </c>
      <c r="BB239" s="2">
        <f t="shared" si="159"/>
        <v>0</v>
      </c>
      <c r="BC239" s="2">
        <f t="shared" si="159"/>
        <v>0</v>
      </c>
      <c r="BD239" s="2">
        <f t="shared" si="159"/>
        <v>0</v>
      </c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  <c r="DW239" s="3"/>
      <c r="DX239" s="3"/>
      <c r="DY239" s="3"/>
      <c r="DZ239" s="3"/>
      <c r="EA239" s="3"/>
      <c r="EB239" s="3"/>
      <c r="EC239" s="3"/>
      <c r="ED239" s="3"/>
      <c r="EE239" s="3"/>
      <c r="EF239" s="3"/>
      <c r="EG239" s="3"/>
      <c r="EH239" s="3"/>
      <c r="EI239" s="3"/>
      <c r="EJ239" s="3"/>
      <c r="EK239" s="3"/>
      <c r="EL239" s="3"/>
      <c r="EM239" s="3"/>
      <c r="EN239" s="3"/>
      <c r="EO239" s="3"/>
      <c r="EP239" s="3"/>
      <c r="EQ239" s="3"/>
      <c r="ER239" s="3"/>
      <c r="ES239" s="3"/>
      <c r="ET239" s="3"/>
      <c r="EU239" s="3"/>
      <c r="EV239" s="3"/>
      <c r="EW239" s="3"/>
      <c r="EX239" s="3"/>
      <c r="EY239" s="3"/>
      <c r="EZ239" s="3"/>
      <c r="FA239" s="3"/>
      <c r="FB239" s="3"/>
      <c r="FC239" s="3"/>
      <c r="FD239" s="3"/>
      <c r="FE239" s="3"/>
      <c r="FF239" s="3"/>
      <c r="FG239" s="3"/>
      <c r="FH239" s="3"/>
      <c r="FI239" s="3"/>
      <c r="FJ239" s="3"/>
      <c r="FK239" s="3"/>
      <c r="FL239" s="3"/>
      <c r="FM239" s="3"/>
      <c r="FN239" s="3"/>
      <c r="FO239" s="3"/>
      <c r="FP239" s="3"/>
      <c r="FQ239" s="3"/>
      <c r="FR239" s="3"/>
      <c r="FS239" s="3"/>
      <c r="FT239" s="3"/>
      <c r="FU239" s="3"/>
      <c r="FV239" s="3"/>
      <c r="FW239" s="3"/>
      <c r="FX239" s="3"/>
      <c r="FY239" s="3"/>
      <c r="FZ239" s="3"/>
      <c r="GA239" s="3"/>
      <c r="GB239" s="3"/>
      <c r="GC239" s="3"/>
      <c r="GD239" s="3"/>
      <c r="GE239" s="3"/>
      <c r="GF239" s="3"/>
      <c r="GG239" s="3"/>
      <c r="GH239" s="3"/>
      <c r="GI239" s="3"/>
      <c r="GJ239" s="3"/>
      <c r="GK239" s="3"/>
      <c r="GL239" s="3"/>
      <c r="GM239" s="3"/>
      <c r="GN239" s="3"/>
      <c r="GO239" s="3"/>
      <c r="GP239" s="3"/>
      <c r="GQ239" s="3"/>
      <c r="GR239" s="3"/>
      <c r="GS239" s="3"/>
      <c r="GT239" s="3"/>
      <c r="GU239" s="3"/>
      <c r="GV239" s="3"/>
      <c r="GW239" s="3"/>
      <c r="GX239" s="3">
        <v>0</v>
      </c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201</v>
      </c>
      <c r="F241" s="4">
        <f>ROUND(Source!O239,O241)</f>
        <v>188287.75</v>
      </c>
      <c r="G241" s="4" t="s">
        <v>74</v>
      </c>
      <c r="H241" s="4" t="s">
        <v>75</v>
      </c>
      <c r="I241" s="4"/>
      <c r="J241" s="4"/>
      <c r="K241" s="4">
        <v>201</v>
      </c>
      <c r="L241" s="4">
        <v>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188287.75</v>
      </c>
      <c r="X241" s="4">
        <v>1</v>
      </c>
      <c r="Y241" s="4">
        <v>188287.75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202</v>
      </c>
      <c r="F242" s="4">
        <f>ROUND(Source!P239,O242)</f>
        <v>134053.21</v>
      </c>
      <c r="G242" s="4" t="s">
        <v>76</v>
      </c>
      <c r="H242" s="4" t="s">
        <v>77</v>
      </c>
      <c r="I242" s="4"/>
      <c r="J242" s="4"/>
      <c r="K242" s="4">
        <v>202</v>
      </c>
      <c r="L242" s="4">
        <v>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134053.21</v>
      </c>
      <c r="X242" s="4">
        <v>1</v>
      </c>
      <c r="Y242" s="4">
        <v>134053.21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222</v>
      </c>
      <c r="F243" s="4">
        <f>ROUND(Source!AO239,O243)</f>
        <v>0</v>
      </c>
      <c r="G243" s="4" t="s">
        <v>78</v>
      </c>
      <c r="H243" s="4" t="s">
        <v>79</v>
      </c>
      <c r="I243" s="4"/>
      <c r="J243" s="4"/>
      <c r="K243" s="4">
        <v>222</v>
      </c>
      <c r="L243" s="4">
        <v>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225</v>
      </c>
      <c r="F244" s="4">
        <f>ROUND(Source!AV239,O244)</f>
        <v>134053.21</v>
      </c>
      <c r="G244" s="4" t="s">
        <v>80</v>
      </c>
      <c r="H244" s="4" t="s">
        <v>81</v>
      </c>
      <c r="I244" s="4"/>
      <c r="J244" s="4"/>
      <c r="K244" s="4">
        <v>225</v>
      </c>
      <c r="L244" s="4">
        <v>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134053.21</v>
      </c>
      <c r="X244" s="4">
        <v>1</v>
      </c>
      <c r="Y244" s="4">
        <v>134053.21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226</v>
      </c>
      <c r="F245" s="4">
        <f>ROUND(Source!AW239,O245)</f>
        <v>134053.21</v>
      </c>
      <c r="G245" s="4" t="s">
        <v>82</v>
      </c>
      <c r="H245" s="4" t="s">
        <v>83</v>
      </c>
      <c r="I245" s="4"/>
      <c r="J245" s="4"/>
      <c r="K245" s="4">
        <v>226</v>
      </c>
      <c r="L245" s="4">
        <v>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134053.21</v>
      </c>
      <c r="X245" s="4">
        <v>1</v>
      </c>
      <c r="Y245" s="4">
        <v>134053.21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227</v>
      </c>
      <c r="F246" s="4">
        <f>ROUND(Source!AX239,O246)</f>
        <v>0</v>
      </c>
      <c r="G246" s="4" t="s">
        <v>84</v>
      </c>
      <c r="H246" s="4" t="s">
        <v>85</v>
      </c>
      <c r="I246" s="4"/>
      <c r="J246" s="4"/>
      <c r="K246" s="4">
        <v>227</v>
      </c>
      <c r="L246" s="4">
        <v>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228</v>
      </c>
      <c r="F247" s="4">
        <f>ROUND(Source!AY239,O247)</f>
        <v>134053.21</v>
      </c>
      <c r="G247" s="4" t="s">
        <v>86</v>
      </c>
      <c r="H247" s="4" t="s">
        <v>87</v>
      </c>
      <c r="I247" s="4"/>
      <c r="J247" s="4"/>
      <c r="K247" s="4">
        <v>228</v>
      </c>
      <c r="L247" s="4">
        <v>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134053.21</v>
      </c>
      <c r="X247" s="4">
        <v>1</v>
      </c>
      <c r="Y247" s="4">
        <v>134053.21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216</v>
      </c>
      <c r="F248" s="4">
        <f>ROUND(Source!AP239,O248)</f>
        <v>0</v>
      </c>
      <c r="G248" s="4" t="s">
        <v>88</v>
      </c>
      <c r="H248" s="4" t="s">
        <v>89</v>
      </c>
      <c r="I248" s="4"/>
      <c r="J248" s="4"/>
      <c r="K248" s="4">
        <v>216</v>
      </c>
      <c r="L248" s="4">
        <v>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223</v>
      </c>
      <c r="F249" s="4">
        <f>ROUND(Source!AQ239,O249)</f>
        <v>0</v>
      </c>
      <c r="G249" s="4" t="s">
        <v>90</v>
      </c>
      <c r="H249" s="4" t="s">
        <v>91</v>
      </c>
      <c r="I249" s="4"/>
      <c r="J249" s="4"/>
      <c r="K249" s="4">
        <v>223</v>
      </c>
      <c r="L249" s="4">
        <v>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229</v>
      </c>
      <c r="F250" s="4">
        <f>ROUND(Source!AZ239,O250)</f>
        <v>0</v>
      </c>
      <c r="G250" s="4" t="s">
        <v>92</v>
      </c>
      <c r="H250" s="4" t="s">
        <v>93</v>
      </c>
      <c r="I250" s="4"/>
      <c r="J250" s="4"/>
      <c r="K250" s="4">
        <v>229</v>
      </c>
      <c r="L250" s="4">
        <v>10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203</v>
      </c>
      <c r="F251" s="4">
        <f>ROUND(Source!Q239,O251)</f>
        <v>378.35</v>
      </c>
      <c r="G251" s="4" t="s">
        <v>94</v>
      </c>
      <c r="H251" s="4" t="s">
        <v>95</v>
      </c>
      <c r="I251" s="4"/>
      <c r="J251" s="4"/>
      <c r="K251" s="4">
        <v>203</v>
      </c>
      <c r="L251" s="4">
        <v>11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378.35</v>
      </c>
      <c r="X251" s="4">
        <v>1</v>
      </c>
      <c r="Y251" s="4">
        <v>378.35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231</v>
      </c>
      <c r="F252" s="4">
        <f>ROUND(Source!BB239,O252)</f>
        <v>0</v>
      </c>
      <c r="G252" s="4" t="s">
        <v>96</v>
      </c>
      <c r="H252" s="4" t="s">
        <v>97</v>
      </c>
      <c r="I252" s="4"/>
      <c r="J252" s="4"/>
      <c r="K252" s="4">
        <v>231</v>
      </c>
      <c r="L252" s="4">
        <v>12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204</v>
      </c>
      <c r="F253" s="4">
        <f>ROUND(Source!R239,O253)</f>
        <v>16.28</v>
      </c>
      <c r="G253" s="4" t="s">
        <v>98</v>
      </c>
      <c r="H253" s="4" t="s">
        <v>99</v>
      </c>
      <c r="I253" s="4"/>
      <c r="J253" s="4"/>
      <c r="K253" s="4">
        <v>204</v>
      </c>
      <c r="L253" s="4">
        <v>13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16.28</v>
      </c>
      <c r="X253" s="4">
        <v>1</v>
      </c>
      <c r="Y253" s="4">
        <v>16.28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205</v>
      </c>
      <c r="F254" s="4">
        <f>ROUND(Source!S239,O254)</f>
        <v>53856.19</v>
      </c>
      <c r="G254" s="4" t="s">
        <v>100</v>
      </c>
      <c r="H254" s="4" t="s">
        <v>101</v>
      </c>
      <c r="I254" s="4"/>
      <c r="J254" s="4"/>
      <c r="K254" s="4">
        <v>205</v>
      </c>
      <c r="L254" s="4">
        <v>14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53856.19</v>
      </c>
      <c r="X254" s="4">
        <v>1</v>
      </c>
      <c r="Y254" s="4">
        <v>53856.19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232</v>
      </c>
      <c r="F255" s="4">
        <f>ROUND(Source!BC239,O255)</f>
        <v>0</v>
      </c>
      <c r="G255" s="4" t="s">
        <v>102</v>
      </c>
      <c r="H255" s="4" t="s">
        <v>103</v>
      </c>
      <c r="I255" s="4"/>
      <c r="J255" s="4"/>
      <c r="K255" s="4">
        <v>232</v>
      </c>
      <c r="L255" s="4">
        <v>15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214</v>
      </c>
      <c r="F256" s="4">
        <f>ROUND(Source!AS239,O256)</f>
        <v>0</v>
      </c>
      <c r="G256" s="4" t="s">
        <v>104</v>
      </c>
      <c r="H256" s="4" t="s">
        <v>105</v>
      </c>
      <c r="I256" s="4"/>
      <c r="J256" s="4"/>
      <c r="K256" s="4">
        <v>214</v>
      </c>
      <c r="L256" s="4">
        <v>16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06" x14ac:dyDescent="0.2">
      <c r="A257" s="4">
        <v>50</v>
      </c>
      <c r="B257" s="4">
        <v>0</v>
      </c>
      <c r="C257" s="4">
        <v>0</v>
      </c>
      <c r="D257" s="4">
        <v>1</v>
      </c>
      <c r="E257" s="4">
        <v>215</v>
      </c>
      <c r="F257" s="4">
        <f>ROUND(Source!AT239,O257)</f>
        <v>0</v>
      </c>
      <c r="G257" s="4" t="s">
        <v>106</v>
      </c>
      <c r="H257" s="4" t="s">
        <v>107</v>
      </c>
      <c r="I257" s="4"/>
      <c r="J257" s="4"/>
      <c r="K257" s="4">
        <v>215</v>
      </c>
      <c r="L257" s="4">
        <v>17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06" x14ac:dyDescent="0.2">
      <c r="A258" s="4">
        <v>50</v>
      </c>
      <c r="B258" s="4">
        <v>0</v>
      </c>
      <c r="C258" s="4">
        <v>0</v>
      </c>
      <c r="D258" s="4">
        <v>1</v>
      </c>
      <c r="E258" s="4">
        <v>217</v>
      </c>
      <c r="F258" s="4">
        <f>ROUND(Source!AU239,O258)</f>
        <v>231390.31</v>
      </c>
      <c r="G258" s="4" t="s">
        <v>108</v>
      </c>
      <c r="H258" s="4" t="s">
        <v>109</v>
      </c>
      <c r="I258" s="4"/>
      <c r="J258" s="4"/>
      <c r="K258" s="4">
        <v>217</v>
      </c>
      <c r="L258" s="4">
        <v>18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231390.31</v>
      </c>
      <c r="X258" s="4">
        <v>1</v>
      </c>
      <c r="Y258" s="4">
        <v>231390.31</v>
      </c>
      <c r="Z258" s="4"/>
      <c r="AA258" s="4"/>
      <c r="AB258" s="4"/>
    </row>
    <row r="259" spans="1:206" x14ac:dyDescent="0.2">
      <c r="A259" s="4">
        <v>50</v>
      </c>
      <c r="B259" s="4">
        <v>0</v>
      </c>
      <c r="C259" s="4">
        <v>0</v>
      </c>
      <c r="D259" s="4">
        <v>1</v>
      </c>
      <c r="E259" s="4">
        <v>230</v>
      </c>
      <c r="F259" s="4">
        <f>ROUND(Source!BA239,O259)</f>
        <v>0</v>
      </c>
      <c r="G259" s="4" t="s">
        <v>110</v>
      </c>
      <c r="H259" s="4" t="s">
        <v>111</v>
      </c>
      <c r="I259" s="4"/>
      <c r="J259" s="4"/>
      <c r="K259" s="4">
        <v>230</v>
      </c>
      <c r="L259" s="4">
        <v>19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06" x14ac:dyDescent="0.2">
      <c r="A260" s="4">
        <v>50</v>
      </c>
      <c r="B260" s="4">
        <v>0</v>
      </c>
      <c r="C260" s="4">
        <v>0</v>
      </c>
      <c r="D260" s="4">
        <v>1</v>
      </c>
      <c r="E260" s="4">
        <v>206</v>
      </c>
      <c r="F260" s="4">
        <f>ROUND(Source!T239,O260)</f>
        <v>0</v>
      </c>
      <c r="G260" s="4" t="s">
        <v>112</v>
      </c>
      <c r="H260" s="4" t="s">
        <v>113</v>
      </c>
      <c r="I260" s="4"/>
      <c r="J260" s="4"/>
      <c r="K260" s="4">
        <v>206</v>
      </c>
      <c r="L260" s="4">
        <v>20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207</v>
      </c>
      <c r="F261" s="4">
        <f>Source!U239</f>
        <v>118.07234</v>
      </c>
      <c r="G261" s="4" t="s">
        <v>114</v>
      </c>
      <c r="H261" s="4" t="s">
        <v>115</v>
      </c>
      <c r="I261" s="4"/>
      <c r="J261" s="4"/>
      <c r="K261" s="4">
        <v>207</v>
      </c>
      <c r="L261" s="4">
        <v>21</v>
      </c>
      <c r="M261" s="4">
        <v>3</v>
      </c>
      <c r="N261" s="4" t="s">
        <v>3</v>
      </c>
      <c r="O261" s="4">
        <v>-1</v>
      </c>
      <c r="P261" s="4"/>
      <c r="Q261" s="4"/>
      <c r="R261" s="4"/>
      <c r="S261" s="4"/>
      <c r="T261" s="4"/>
      <c r="U261" s="4"/>
      <c r="V261" s="4"/>
      <c r="W261" s="4">
        <v>118.07234</v>
      </c>
      <c r="X261" s="4">
        <v>1</v>
      </c>
      <c r="Y261" s="4">
        <v>118.07234</v>
      </c>
      <c r="Z261" s="4"/>
      <c r="AA261" s="4"/>
      <c r="AB261" s="4"/>
    </row>
    <row r="262" spans="1:206" x14ac:dyDescent="0.2">
      <c r="A262" s="4">
        <v>50</v>
      </c>
      <c r="B262" s="4">
        <v>0</v>
      </c>
      <c r="C262" s="4">
        <v>0</v>
      </c>
      <c r="D262" s="4">
        <v>1</v>
      </c>
      <c r="E262" s="4">
        <v>208</v>
      </c>
      <c r="F262" s="4">
        <f>Source!V239</f>
        <v>0</v>
      </c>
      <c r="G262" s="4" t="s">
        <v>116</v>
      </c>
      <c r="H262" s="4" t="s">
        <v>117</v>
      </c>
      <c r="I262" s="4"/>
      <c r="J262" s="4"/>
      <c r="K262" s="4">
        <v>208</v>
      </c>
      <c r="L262" s="4">
        <v>22</v>
      </c>
      <c r="M262" s="4">
        <v>3</v>
      </c>
      <c r="N262" s="4" t="s">
        <v>3</v>
      </c>
      <c r="O262" s="4">
        <v>-1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06" x14ac:dyDescent="0.2">
      <c r="A263" s="4">
        <v>50</v>
      </c>
      <c r="B263" s="4">
        <v>0</v>
      </c>
      <c r="C263" s="4">
        <v>0</v>
      </c>
      <c r="D263" s="4">
        <v>1</v>
      </c>
      <c r="E263" s="4">
        <v>209</v>
      </c>
      <c r="F263" s="4">
        <f>ROUND(Source!W239,O263)</f>
        <v>0</v>
      </c>
      <c r="G263" s="4" t="s">
        <v>118</v>
      </c>
      <c r="H263" s="4" t="s">
        <v>119</v>
      </c>
      <c r="I263" s="4"/>
      <c r="J263" s="4"/>
      <c r="K263" s="4">
        <v>209</v>
      </c>
      <c r="L263" s="4">
        <v>23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06" x14ac:dyDescent="0.2">
      <c r="A264" s="4">
        <v>50</v>
      </c>
      <c r="B264" s="4">
        <v>0</v>
      </c>
      <c r="C264" s="4">
        <v>0</v>
      </c>
      <c r="D264" s="4">
        <v>1</v>
      </c>
      <c r="E264" s="4">
        <v>233</v>
      </c>
      <c r="F264" s="4">
        <f>ROUND(Source!BD239,O264)</f>
        <v>0</v>
      </c>
      <c r="G264" s="4" t="s">
        <v>120</v>
      </c>
      <c r="H264" s="4" t="s">
        <v>121</v>
      </c>
      <c r="I264" s="4"/>
      <c r="J264" s="4"/>
      <c r="K264" s="4">
        <v>233</v>
      </c>
      <c r="L264" s="4">
        <v>24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06" x14ac:dyDescent="0.2">
      <c r="A265" s="4">
        <v>50</v>
      </c>
      <c r="B265" s="4">
        <v>0</v>
      </c>
      <c r="C265" s="4">
        <v>0</v>
      </c>
      <c r="D265" s="4">
        <v>1</v>
      </c>
      <c r="E265" s="4">
        <v>210</v>
      </c>
      <c r="F265" s="4">
        <f>ROUND(Source!X239,O265)</f>
        <v>37699.339999999997</v>
      </c>
      <c r="G265" s="4" t="s">
        <v>122</v>
      </c>
      <c r="H265" s="4" t="s">
        <v>123</v>
      </c>
      <c r="I265" s="4"/>
      <c r="J265" s="4"/>
      <c r="K265" s="4">
        <v>210</v>
      </c>
      <c r="L265" s="4">
        <v>25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37699.339999999997</v>
      </c>
      <c r="X265" s="4">
        <v>1</v>
      </c>
      <c r="Y265" s="4">
        <v>37699.339999999997</v>
      </c>
      <c r="Z265" s="4"/>
      <c r="AA265" s="4"/>
      <c r="AB265" s="4"/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211</v>
      </c>
      <c r="F266" s="4">
        <f>ROUND(Source!Y239,O266)</f>
        <v>5385.64</v>
      </c>
      <c r="G266" s="4" t="s">
        <v>124</v>
      </c>
      <c r="H266" s="4" t="s">
        <v>125</v>
      </c>
      <c r="I266" s="4"/>
      <c r="J266" s="4"/>
      <c r="K266" s="4">
        <v>211</v>
      </c>
      <c r="L266" s="4">
        <v>26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5385.64</v>
      </c>
      <c r="X266" s="4">
        <v>1</v>
      </c>
      <c r="Y266" s="4">
        <v>5385.64</v>
      </c>
      <c r="Z266" s="4"/>
      <c r="AA266" s="4"/>
      <c r="AB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224</v>
      </c>
      <c r="F267" s="4">
        <f>ROUND(Source!AR239,O267)</f>
        <v>231390.31</v>
      </c>
      <c r="G267" s="4" t="s">
        <v>126</v>
      </c>
      <c r="H267" s="4" t="s">
        <v>127</v>
      </c>
      <c r="I267" s="4"/>
      <c r="J267" s="4"/>
      <c r="K267" s="4">
        <v>224</v>
      </c>
      <c r="L267" s="4">
        <v>27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231390.31</v>
      </c>
      <c r="X267" s="4">
        <v>1</v>
      </c>
      <c r="Y267" s="4">
        <v>231390.31</v>
      </c>
      <c r="Z267" s="4"/>
      <c r="AA267" s="4"/>
      <c r="AB267" s="4"/>
    </row>
    <row r="269" spans="1:206" x14ac:dyDescent="0.2">
      <c r="A269" s="1">
        <v>4</v>
      </c>
      <c r="B269" s="1">
        <v>1</v>
      </c>
      <c r="C269" s="1"/>
      <c r="D269" s="1">
        <f>ROW(A558)</f>
        <v>558</v>
      </c>
      <c r="E269" s="1"/>
      <c r="F269" s="1" t="s">
        <v>13</v>
      </c>
      <c r="G269" s="1" t="s">
        <v>229</v>
      </c>
      <c r="H269" s="1" t="s">
        <v>3</v>
      </c>
      <c r="I269" s="1">
        <v>0</v>
      </c>
      <c r="J269" s="1"/>
      <c r="K269" s="1">
        <v>0</v>
      </c>
      <c r="L269" s="1"/>
      <c r="M269" s="1" t="s">
        <v>3</v>
      </c>
      <c r="N269" s="1"/>
      <c r="O269" s="1"/>
      <c r="P269" s="1"/>
      <c r="Q269" s="1"/>
      <c r="R269" s="1"/>
      <c r="S269" s="1">
        <v>0</v>
      </c>
      <c r="T269" s="1"/>
      <c r="U269" s="1" t="s">
        <v>3</v>
      </c>
      <c r="V269" s="1">
        <v>0</v>
      </c>
      <c r="W269" s="1"/>
      <c r="X269" s="1"/>
      <c r="Y269" s="1"/>
      <c r="Z269" s="1"/>
      <c r="AA269" s="1"/>
      <c r="AB269" s="1" t="s">
        <v>3</v>
      </c>
      <c r="AC269" s="1" t="s">
        <v>3</v>
      </c>
      <c r="AD269" s="1" t="s">
        <v>3</v>
      </c>
      <c r="AE269" s="1" t="s">
        <v>3</v>
      </c>
      <c r="AF269" s="1" t="s">
        <v>3</v>
      </c>
      <c r="AG269" s="1" t="s">
        <v>3</v>
      </c>
      <c r="AH269" s="1"/>
      <c r="AI269" s="1"/>
      <c r="AJ269" s="1"/>
      <c r="AK269" s="1"/>
      <c r="AL269" s="1"/>
      <c r="AM269" s="1"/>
      <c r="AN269" s="1"/>
      <c r="AO269" s="1"/>
      <c r="AP269" s="1" t="s">
        <v>3</v>
      </c>
      <c r="AQ269" s="1" t="s">
        <v>3</v>
      </c>
      <c r="AR269" s="1" t="s">
        <v>3</v>
      </c>
      <c r="AS269" s="1"/>
      <c r="AT269" s="1"/>
      <c r="AU269" s="1"/>
      <c r="AV269" s="1"/>
      <c r="AW269" s="1"/>
      <c r="AX269" s="1"/>
      <c r="AY269" s="1"/>
      <c r="AZ269" s="1" t="s">
        <v>3</v>
      </c>
      <c r="BA269" s="1"/>
      <c r="BB269" s="1" t="s">
        <v>3</v>
      </c>
      <c r="BC269" s="1" t="s">
        <v>3</v>
      </c>
      <c r="BD269" s="1" t="s">
        <v>3</v>
      </c>
      <c r="BE269" s="1" t="s">
        <v>3</v>
      </c>
      <c r="BF269" s="1" t="s">
        <v>3</v>
      </c>
      <c r="BG269" s="1" t="s">
        <v>3</v>
      </c>
      <c r="BH269" s="1" t="s">
        <v>3</v>
      </c>
      <c r="BI269" s="1" t="s">
        <v>3</v>
      </c>
      <c r="BJ269" s="1" t="s">
        <v>3</v>
      </c>
      <c r="BK269" s="1" t="s">
        <v>3</v>
      </c>
      <c r="BL269" s="1" t="s">
        <v>3</v>
      </c>
      <c r="BM269" s="1" t="s">
        <v>3</v>
      </c>
      <c r="BN269" s="1" t="s">
        <v>3</v>
      </c>
      <c r="BO269" s="1" t="s">
        <v>3</v>
      </c>
      <c r="BP269" s="1" t="s">
        <v>3</v>
      </c>
      <c r="BQ269" s="1"/>
      <c r="BR269" s="1"/>
      <c r="BS269" s="1"/>
      <c r="BT269" s="1"/>
      <c r="BU269" s="1"/>
      <c r="BV269" s="1"/>
      <c r="BW269" s="1"/>
      <c r="BX269" s="1">
        <v>0</v>
      </c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>
        <v>0</v>
      </c>
    </row>
    <row r="271" spans="1:206" x14ac:dyDescent="0.2">
      <c r="A271" s="2">
        <v>52</v>
      </c>
      <c r="B271" s="2">
        <f t="shared" ref="B271:G271" si="160">B558</f>
        <v>1</v>
      </c>
      <c r="C271" s="2">
        <f t="shared" si="160"/>
        <v>4</v>
      </c>
      <c r="D271" s="2">
        <f t="shared" si="160"/>
        <v>269</v>
      </c>
      <c r="E271" s="2">
        <f t="shared" si="160"/>
        <v>0</v>
      </c>
      <c r="F271" s="2" t="str">
        <f t="shared" si="160"/>
        <v>Новый раздел</v>
      </c>
      <c r="G271" s="2" t="str">
        <f t="shared" si="160"/>
        <v>Второй этаж, кабинет № 311</v>
      </c>
      <c r="H271" s="2"/>
      <c r="I271" s="2"/>
      <c r="J271" s="2"/>
      <c r="K271" s="2"/>
      <c r="L271" s="2"/>
      <c r="M271" s="2"/>
      <c r="N271" s="2"/>
      <c r="O271" s="2">
        <f t="shared" ref="O271:AT271" si="161">O558</f>
        <v>181816.93</v>
      </c>
      <c r="P271" s="2">
        <f t="shared" si="161"/>
        <v>131774.67000000001</v>
      </c>
      <c r="Q271" s="2">
        <f t="shared" si="161"/>
        <v>362.37</v>
      </c>
      <c r="R271" s="2">
        <f t="shared" si="161"/>
        <v>15.71</v>
      </c>
      <c r="S271" s="2">
        <f t="shared" si="161"/>
        <v>49679.89</v>
      </c>
      <c r="T271" s="2">
        <f t="shared" si="161"/>
        <v>0</v>
      </c>
      <c r="U271" s="2">
        <f t="shared" si="161"/>
        <v>107.774849</v>
      </c>
      <c r="V271" s="2">
        <f t="shared" si="161"/>
        <v>0</v>
      </c>
      <c r="W271" s="2">
        <f t="shared" si="161"/>
        <v>0</v>
      </c>
      <c r="X271" s="2">
        <f t="shared" si="161"/>
        <v>34775.94</v>
      </c>
      <c r="Y271" s="2">
        <f t="shared" si="161"/>
        <v>4968</v>
      </c>
      <c r="Z271" s="2">
        <f t="shared" si="161"/>
        <v>0</v>
      </c>
      <c r="AA271" s="2">
        <f t="shared" si="161"/>
        <v>0</v>
      </c>
      <c r="AB271" s="2">
        <f t="shared" si="161"/>
        <v>0</v>
      </c>
      <c r="AC271" s="2">
        <f t="shared" si="161"/>
        <v>0</v>
      </c>
      <c r="AD271" s="2">
        <f t="shared" si="161"/>
        <v>0</v>
      </c>
      <c r="AE271" s="2">
        <f t="shared" si="161"/>
        <v>0</v>
      </c>
      <c r="AF271" s="2">
        <f t="shared" si="161"/>
        <v>0</v>
      </c>
      <c r="AG271" s="2">
        <f t="shared" si="161"/>
        <v>0</v>
      </c>
      <c r="AH271" s="2">
        <f t="shared" si="161"/>
        <v>0</v>
      </c>
      <c r="AI271" s="2">
        <f t="shared" si="161"/>
        <v>0</v>
      </c>
      <c r="AJ271" s="2">
        <f t="shared" si="161"/>
        <v>0</v>
      </c>
      <c r="AK271" s="2">
        <f t="shared" si="161"/>
        <v>0</v>
      </c>
      <c r="AL271" s="2">
        <f t="shared" si="161"/>
        <v>0</v>
      </c>
      <c r="AM271" s="2">
        <f t="shared" si="161"/>
        <v>0</v>
      </c>
      <c r="AN271" s="2">
        <f t="shared" si="161"/>
        <v>0</v>
      </c>
      <c r="AO271" s="2">
        <f t="shared" si="161"/>
        <v>0</v>
      </c>
      <c r="AP271" s="2">
        <f t="shared" si="161"/>
        <v>0</v>
      </c>
      <c r="AQ271" s="2">
        <f t="shared" si="161"/>
        <v>0</v>
      </c>
      <c r="AR271" s="2">
        <f t="shared" si="161"/>
        <v>221577.84</v>
      </c>
      <c r="AS271" s="2">
        <f t="shared" si="161"/>
        <v>0</v>
      </c>
      <c r="AT271" s="2">
        <f t="shared" si="161"/>
        <v>0</v>
      </c>
      <c r="AU271" s="2">
        <f t="shared" ref="AU271:BZ271" si="162">AU558</f>
        <v>221577.84</v>
      </c>
      <c r="AV271" s="2">
        <f t="shared" si="162"/>
        <v>131774.67000000001</v>
      </c>
      <c r="AW271" s="2">
        <f t="shared" si="162"/>
        <v>131774.67000000001</v>
      </c>
      <c r="AX271" s="2">
        <f t="shared" si="162"/>
        <v>0</v>
      </c>
      <c r="AY271" s="2">
        <f t="shared" si="162"/>
        <v>131774.67000000001</v>
      </c>
      <c r="AZ271" s="2">
        <f t="shared" si="162"/>
        <v>0</v>
      </c>
      <c r="BA271" s="2">
        <f t="shared" si="162"/>
        <v>0</v>
      </c>
      <c r="BB271" s="2">
        <f t="shared" si="162"/>
        <v>0</v>
      </c>
      <c r="BC271" s="2">
        <f t="shared" si="162"/>
        <v>0</v>
      </c>
      <c r="BD271" s="2">
        <f t="shared" si="162"/>
        <v>0</v>
      </c>
      <c r="BE271" s="2">
        <f t="shared" si="162"/>
        <v>0</v>
      </c>
      <c r="BF271" s="2">
        <f t="shared" si="162"/>
        <v>0</v>
      </c>
      <c r="BG271" s="2">
        <f t="shared" si="162"/>
        <v>0</v>
      </c>
      <c r="BH271" s="2">
        <f t="shared" si="162"/>
        <v>0</v>
      </c>
      <c r="BI271" s="2">
        <f t="shared" si="162"/>
        <v>0</v>
      </c>
      <c r="BJ271" s="2">
        <f t="shared" si="162"/>
        <v>0</v>
      </c>
      <c r="BK271" s="2">
        <f t="shared" si="162"/>
        <v>0</v>
      </c>
      <c r="BL271" s="2">
        <f t="shared" si="162"/>
        <v>0</v>
      </c>
      <c r="BM271" s="2">
        <f t="shared" si="162"/>
        <v>0</v>
      </c>
      <c r="BN271" s="2">
        <f t="shared" si="162"/>
        <v>0</v>
      </c>
      <c r="BO271" s="2">
        <f t="shared" si="162"/>
        <v>0</v>
      </c>
      <c r="BP271" s="2">
        <f t="shared" si="162"/>
        <v>0</v>
      </c>
      <c r="BQ271" s="2">
        <f t="shared" si="162"/>
        <v>0</v>
      </c>
      <c r="BR271" s="2">
        <f t="shared" si="162"/>
        <v>0</v>
      </c>
      <c r="BS271" s="2">
        <f t="shared" si="162"/>
        <v>0</v>
      </c>
      <c r="BT271" s="2">
        <f t="shared" si="162"/>
        <v>0</v>
      </c>
      <c r="BU271" s="2">
        <f t="shared" si="162"/>
        <v>0</v>
      </c>
      <c r="BV271" s="2">
        <f t="shared" si="162"/>
        <v>0</v>
      </c>
      <c r="BW271" s="2">
        <f t="shared" si="162"/>
        <v>0</v>
      </c>
      <c r="BX271" s="2">
        <f t="shared" si="162"/>
        <v>0</v>
      </c>
      <c r="BY271" s="2">
        <f t="shared" si="162"/>
        <v>0</v>
      </c>
      <c r="BZ271" s="2">
        <f t="shared" si="162"/>
        <v>0</v>
      </c>
      <c r="CA271" s="2">
        <f t="shared" ref="CA271:DF271" si="163">CA558</f>
        <v>0</v>
      </c>
      <c r="CB271" s="2">
        <f t="shared" si="163"/>
        <v>0</v>
      </c>
      <c r="CC271" s="2">
        <f t="shared" si="163"/>
        <v>0</v>
      </c>
      <c r="CD271" s="2">
        <f t="shared" si="163"/>
        <v>0</v>
      </c>
      <c r="CE271" s="2">
        <f t="shared" si="163"/>
        <v>0</v>
      </c>
      <c r="CF271" s="2">
        <f t="shared" si="163"/>
        <v>0</v>
      </c>
      <c r="CG271" s="2">
        <f t="shared" si="163"/>
        <v>0</v>
      </c>
      <c r="CH271" s="2">
        <f t="shared" si="163"/>
        <v>0</v>
      </c>
      <c r="CI271" s="2">
        <f t="shared" si="163"/>
        <v>0</v>
      </c>
      <c r="CJ271" s="2">
        <f t="shared" si="163"/>
        <v>0</v>
      </c>
      <c r="CK271" s="2">
        <f t="shared" si="163"/>
        <v>0</v>
      </c>
      <c r="CL271" s="2">
        <f t="shared" si="163"/>
        <v>0</v>
      </c>
      <c r="CM271" s="2">
        <f t="shared" si="163"/>
        <v>0</v>
      </c>
      <c r="CN271" s="2">
        <f t="shared" si="163"/>
        <v>0</v>
      </c>
      <c r="CO271" s="2">
        <f t="shared" si="163"/>
        <v>0</v>
      </c>
      <c r="CP271" s="2">
        <f t="shared" si="163"/>
        <v>0</v>
      </c>
      <c r="CQ271" s="2">
        <f t="shared" si="163"/>
        <v>0</v>
      </c>
      <c r="CR271" s="2">
        <f t="shared" si="163"/>
        <v>0</v>
      </c>
      <c r="CS271" s="2">
        <f t="shared" si="163"/>
        <v>0</v>
      </c>
      <c r="CT271" s="2">
        <f t="shared" si="163"/>
        <v>0</v>
      </c>
      <c r="CU271" s="2">
        <f t="shared" si="163"/>
        <v>0</v>
      </c>
      <c r="CV271" s="2">
        <f t="shared" si="163"/>
        <v>0</v>
      </c>
      <c r="CW271" s="2">
        <f t="shared" si="163"/>
        <v>0</v>
      </c>
      <c r="CX271" s="2">
        <f t="shared" si="163"/>
        <v>0</v>
      </c>
      <c r="CY271" s="2">
        <f t="shared" si="163"/>
        <v>0</v>
      </c>
      <c r="CZ271" s="2">
        <f t="shared" si="163"/>
        <v>0</v>
      </c>
      <c r="DA271" s="2">
        <f t="shared" si="163"/>
        <v>0</v>
      </c>
      <c r="DB271" s="2">
        <f t="shared" si="163"/>
        <v>0</v>
      </c>
      <c r="DC271" s="2">
        <f t="shared" si="163"/>
        <v>0</v>
      </c>
      <c r="DD271" s="2">
        <f t="shared" si="163"/>
        <v>0</v>
      </c>
      <c r="DE271" s="2">
        <f t="shared" si="163"/>
        <v>0</v>
      </c>
      <c r="DF271" s="2">
        <f t="shared" si="163"/>
        <v>0</v>
      </c>
      <c r="DG271" s="3">
        <f t="shared" ref="DG271:EL271" si="164">DG558</f>
        <v>0</v>
      </c>
      <c r="DH271" s="3">
        <f t="shared" si="164"/>
        <v>0</v>
      </c>
      <c r="DI271" s="3">
        <f t="shared" si="164"/>
        <v>0</v>
      </c>
      <c r="DJ271" s="3">
        <f t="shared" si="164"/>
        <v>0</v>
      </c>
      <c r="DK271" s="3">
        <f t="shared" si="164"/>
        <v>0</v>
      </c>
      <c r="DL271" s="3">
        <f t="shared" si="164"/>
        <v>0</v>
      </c>
      <c r="DM271" s="3">
        <f t="shared" si="164"/>
        <v>0</v>
      </c>
      <c r="DN271" s="3">
        <f t="shared" si="164"/>
        <v>0</v>
      </c>
      <c r="DO271" s="3">
        <f t="shared" si="164"/>
        <v>0</v>
      </c>
      <c r="DP271" s="3">
        <f t="shared" si="164"/>
        <v>0</v>
      </c>
      <c r="DQ271" s="3">
        <f t="shared" si="164"/>
        <v>0</v>
      </c>
      <c r="DR271" s="3">
        <f t="shared" si="164"/>
        <v>0</v>
      </c>
      <c r="DS271" s="3">
        <f t="shared" si="164"/>
        <v>0</v>
      </c>
      <c r="DT271" s="3">
        <f t="shared" si="164"/>
        <v>0</v>
      </c>
      <c r="DU271" s="3">
        <f t="shared" si="164"/>
        <v>0</v>
      </c>
      <c r="DV271" s="3">
        <f t="shared" si="164"/>
        <v>0</v>
      </c>
      <c r="DW271" s="3">
        <f t="shared" si="164"/>
        <v>0</v>
      </c>
      <c r="DX271" s="3">
        <f t="shared" si="164"/>
        <v>0</v>
      </c>
      <c r="DY271" s="3">
        <f t="shared" si="164"/>
        <v>0</v>
      </c>
      <c r="DZ271" s="3">
        <f t="shared" si="164"/>
        <v>0</v>
      </c>
      <c r="EA271" s="3">
        <f t="shared" si="164"/>
        <v>0</v>
      </c>
      <c r="EB271" s="3">
        <f t="shared" si="164"/>
        <v>0</v>
      </c>
      <c r="EC271" s="3">
        <f t="shared" si="164"/>
        <v>0</v>
      </c>
      <c r="ED271" s="3">
        <f t="shared" si="164"/>
        <v>0</v>
      </c>
      <c r="EE271" s="3">
        <f t="shared" si="164"/>
        <v>0</v>
      </c>
      <c r="EF271" s="3">
        <f t="shared" si="164"/>
        <v>0</v>
      </c>
      <c r="EG271" s="3">
        <f t="shared" si="164"/>
        <v>0</v>
      </c>
      <c r="EH271" s="3">
        <f t="shared" si="164"/>
        <v>0</v>
      </c>
      <c r="EI271" s="3">
        <f t="shared" si="164"/>
        <v>0</v>
      </c>
      <c r="EJ271" s="3">
        <f t="shared" si="164"/>
        <v>0</v>
      </c>
      <c r="EK271" s="3">
        <f t="shared" si="164"/>
        <v>0</v>
      </c>
      <c r="EL271" s="3">
        <f t="shared" si="164"/>
        <v>0</v>
      </c>
      <c r="EM271" s="3">
        <f t="shared" ref="EM271:FR271" si="165">EM558</f>
        <v>0</v>
      </c>
      <c r="EN271" s="3">
        <f t="shared" si="165"/>
        <v>0</v>
      </c>
      <c r="EO271" s="3">
        <f t="shared" si="165"/>
        <v>0</v>
      </c>
      <c r="EP271" s="3">
        <f t="shared" si="165"/>
        <v>0</v>
      </c>
      <c r="EQ271" s="3">
        <f t="shared" si="165"/>
        <v>0</v>
      </c>
      <c r="ER271" s="3">
        <f t="shared" si="165"/>
        <v>0</v>
      </c>
      <c r="ES271" s="3">
        <f t="shared" si="165"/>
        <v>0</v>
      </c>
      <c r="ET271" s="3">
        <f t="shared" si="165"/>
        <v>0</v>
      </c>
      <c r="EU271" s="3">
        <f t="shared" si="165"/>
        <v>0</v>
      </c>
      <c r="EV271" s="3">
        <f t="shared" si="165"/>
        <v>0</v>
      </c>
      <c r="EW271" s="3">
        <f t="shared" si="165"/>
        <v>0</v>
      </c>
      <c r="EX271" s="3">
        <f t="shared" si="165"/>
        <v>0</v>
      </c>
      <c r="EY271" s="3">
        <f t="shared" si="165"/>
        <v>0</v>
      </c>
      <c r="EZ271" s="3">
        <f t="shared" si="165"/>
        <v>0</v>
      </c>
      <c r="FA271" s="3">
        <f t="shared" si="165"/>
        <v>0</v>
      </c>
      <c r="FB271" s="3">
        <f t="shared" si="165"/>
        <v>0</v>
      </c>
      <c r="FC271" s="3">
        <f t="shared" si="165"/>
        <v>0</v>
      </c>
      <c r="FD271" s="3">
        <f t="shared" si="165"/>
        <v>0</v>
      </c>
      <c r="FE271" s="3">
        <f t="shared" si="165"/>
        <v>0</v>
      </c>
      <c r="FF271" s="3">
        <f t="shared" si="165"/>
        <v>0</v>
      </c>
      <c r="FG271" s="3">
        <f t="shared" si="165"/>
        <v>0</v>
      </c>
      <c r="FH271" s="3">
        <f t="shared" si="165"/>
        <v>0</v>
      </c>
      <c r="FI271" s="3">
        <f t="shared" si="165"/>
        <v>0</v>
      </c>
      <c r="FJ271" s="3">
        <f t="shared" si="165"/>
        <v>0</v>
      </c>
      <c r="FK271" s="3">
        <f t="shared" si="165"/>
        <v>0</v>
      </c>
      <c r="FL271" s="3">
        <f t="shared" si="165"/>
        <v>0</v>
      </c>
      <c r="FM271" s="3">
        <f t="shared" si="165"/>
        <v>0</v>
      </c>
      <c r="FN271" s="3">
        <f t="shared" si="165"/>
        <v>0</v>
      </c>
      <c r="FO271" s="3">
        <f t="shared" si="165"/>
        <v>0</v>
      </c>
      <c r="FP271" s="3">
        <f t="shared" si="165"/>
        <v>0</v>
      </c>
      <c r="FQ271" s="3">
        <f t="shared" si="165"/>
        <v>0</v>
      </c>
      <c r="FR271" s="3">
        <f t="shared" si="165"/>
        <v>0</v>
      </c>
      <c r="FS271" s="3">
        <f t="shared" ref="FS271:GX271" si="166">FS558</f>
        <v>0</v>
      </c>
      <c r="FT271" s="3">
        <f t="shared" si="166"/>
        <v>0</v>
      </c>
      <c r="FU271" s="3">
        <f t="shared" si="166"/>
        <v>0</v>
      </c>
      <c r="FV271" s="3">
        <f t="shared" si="166"/>
        <v>0</v>
      </c>
      <c r="FW271" s="3">
        <f t="shared" si="166"/>
        <v>0</v>
      </c>
      <c r="FX271" s="3">
        <f t="shared" si="166"/>
        <v>0</v>
      </c>
      <c r="FY271" s="3">
        <f t="shared" si="166"/>
        <v>0</v>
      </c>
      <c r="FZ271" s="3">
        <f t="shared" si="166"/>
        <v>0</v>
      </c>
      <c r="GA271" s="3">
        <f t="shared" si="166"/>
        <v>0</v>
      </c>
      <c r="GB271" s="3">
        <f t="shared" si="166"/>
        <v>0</v>
      </c>
      <c r="GC271" s="3">
        <f t="shared" si="166"/>
        <v>0</v>
      </c>
      <c r="GD271" s="3">
        <f t="shared" si="166"/>
        <v>0</v>
      </c>
      <c r="GE271" s="3">
        <f t="shared" si="166"/>
        <v>0</v>
      </c>
      <c r="GF271" s="3">
        <f t="shared" si="166"/>
        <v>0</v>
      </c>
      <c r="GG271" s="3">
        <f t="shared" si="166"/>
        <v>0</v>
      </c>
      <c r="GH271" s="3">
        <f t="shared" si="166"/>
        <v>0</v>
      </c>
      <c r="GI271" s="3">
        <f t="shared" si="166"/>
        <v>0</v>
      </c>
      <c r="GJ271" s="3">
        <f t="shared" si="166"/>
        <v>0</v>
      </c>
      <c r="GK271" s="3">
        <f t="shared" si="166"/>
        <v>0</v>
      </c>
      <c r="GL271" s="3">
        <f t="shared" si="166"/>
        <v>0</v>
      </c>
      <c r="GM271" s="3">
        <f t="shared" si="166"/>
        <v>0</v>
      </c>
      <c r="GN271" s="3">
        <f t="shared" si="166"/>
        <v>0</v>
      </c>
      <c r="GO271" s="3">
        <f t="shared" si="166"/>
        <v>0</v>
      </c>
      <c r="GP271" s="3">
        <f t="shared" si="166"/>
        <v>0</v>
      </c>
      <c r="GQ271" s="3">
        <f t="shared" si="166"/>
        <v>0</v>
      </c>
      <c r="GR271" s="3">
        <f t="shared" si="166"/>
        <v>0</v>
      </c>
      <c r="GS271" s="3">
        <f t="shared" si="166"/>
        <v>0</v>
      </c>
      <c r="GT271" s="3">
        <f t="shared" si="166"/>
        <v>0</v>
      </c>
      <c r="GU271" s="3">
        <f t="shared" si="166"/>
        <v>0</v>
      </c>
      <c r="GV271" s="3">
        <f t="shared" si="166"/>
        <v>0</v>
      </c>
      <c r="GW271" s="3">
        <f t="shared" si="166"/>
        <v>0</v>
      </c>
      <c r="GX271" s="3">
        <f t="shared" si="166"/>
        <v>0</v>
      </c>
    </row>
    <row r="273" spans="1:245" x14ac:dyDescent="0.2">
      <c r="A273" s="1">
        <v>5</v>
      </c>
      <c r="B273" s="1">
        <v>1</v>
      </c>
      <c r="C273" s="1"/>
      <c r="D273" s="1">
        <f>ROW(A290)</f>
        <v>290</v>
      </c>
      <c r="E273" s="1"/>
      <c r="F273" s="1" t="s">
        <v>15</v>
      </c>
      <c r="G273" s="1" t="s">
        <v>16</v>
      </c>
      <c r="H273" s="1" t="s">
        <v>3</v>
      </c>
      <c r="I273" s="1">
        <v>0</v>
      </c>
      <c r="J273" s="1"/>
      <c r="K273" s="1">
        <v>0</v>
      </c>
      <c r="L273" s="1"/>
      <c r="M273" s="1" t="s">
        <v>3</v>
      </c>
      <c r="N273" s="1"/>
      <c r="O273" s="1"/>
      <c r="P273" s="1"/>
      <c r="Q273" s="1"/>
      <c r="R273" s="1"/>
      <c r="S273" s="1">
        <v>0</v>
      </c>
      <c r="T273" s="1"/>
      <c r="U273" s="1" t="s">
        <v>3</v>
      </c>
      <c r="V273" s="1">
        <v>0</v>
      </c>
      <c r="W273" s="1"/>
      <c r="X273" s="1"/>
      <c r="Y273" s="1"/>
      <c r="Z273" s="1"/>
      <c r="AA273" s="1"/>
      <c r="AB273" s="1" t="s">
        <v>3</v>
      </c>
      <c r="AC273" s="1" t="s">
        <v>3</v>
      </c>
      <c r="AD273" s="1" t="s">
        <v>3</v>
      </c>
      <c r="AE273" s="1" t="s">
        <v>3</v>
      </c>
      <c r="AF273" s="1" t="s">
        <v>3</v>
      </c>
      <c r="AG273" s="1" t="s">
        <v>3</v>
      </c>
      <c r="AH273" s="1"/>
      <c r="AI273" s="1"/>
      <c r="AJ273" s="1"/>
      <c r="AK273" s="1"/>
      <c r="AL273" s="1"/>
      <c r="AM273" s="1"/>
      <c r="AN273" s="1"/>
      <c r="AO273" s="1"/>
      <c r="AP273" s="1" t="s">
        <v>3</v>
      </c>
      <c r="AQ273" s="1" t="s">
        <v>3</v>
      </c>
      <c r="AR273" s="1" t="s">
        <v>3</v>
      </c>
      <c r="AS273" s="1"/>
      <c r="AT273" s="1"/>
      <c r="AU273" s="1"/>
      <c r="AV273" s="1"/>
      <c r="AW273" s="1"/>
      <c r="AX273" s="1"/>
      <c r="AY273" s="1"/>
      <c r="AZ273" s="1" t="s">
        <v>3</v>
      </c>
      <c r="BA273" s="1"/>
      <c r="BB273" s="1" t="s">
        <v>3</v>
      </c>
      <c r="BC273" s="1" t="s">
        <v>3</v>
      </c>
      <c r="BD273" s="1" t="s">
        <v>3</v>
      </c>
      <c r="BE273" s="1" t="s">
        <v>3</v>
      </c>
      <c r="BF273" s="1" t="s">
        <v>3</v>
      </c>
      <c r="BG273" s="1" t="s">
        <v>3</v>
      </c>
      <c r="BH273" s="1" t="s">
        <v>3</v>
      </c>
      <c r="BI273" s="1" t="s">
        <v>3</v>
      </c>
      <c r="BJ273" s="1" t="s">
        <v>3</v>
      </c>
      <c r="BK273" s="1" t="s">
        <v>3</v>
      </c>
      <c r="BL273" s="1" t="s">
        <v>3</v>
      </c>
      <c r="BM273" s="1" t="s">
        <v>3</v>
      </c>
      <c r="BN273" s="1" t="s">
        <v>3</v>
      </c>
      <c r="BO273" s="1" t="s">
        <v>3</v>
      </c>
      <c r="BP273" s="1" t="s">
        <v>3</v>
      </c>
      <c r="BQ273" s="1"/>
      <c r="BR273" s="1"/>
      <c r="BS273" s="1"/>
      <c r="BT273" s="1"/>
      <c r="BU273" s="1"/>
      <c r="BV273" s="1"/>
      <c r="BW273" s="1"/>
      <c r="BX273" s="1">
        <v>0</v>
      </c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>
        <v>0</v>
      </c>
    </row>
    <row r="275" spans="1:245" x14ac:dyDescent="0.2">
      <c r="A275" s="2">
        <v>52</v>
      </c>
      <c r="B275" s="2">
        <f t="shared" ref="B275:G275" si="167">B290</f>
        <v>1</v>
      </c>
      <c r="C275" s="2">
        <f t="shared" si="167"/>
        <v>5</v>
      </c>
      <c r="D275" s="2">
        <f t="shared" si="167"/>
        <v>273</v>
      </c>
      <c r="E275" s="2">
        <f t="shared" si="167"/>
        <v>0</v>
      </c>
      <c r="F275" s="2" t="str">
        <f t="shared" si="167"/>
        <v>Новый подраздел</v>
      </c>
      <c r="G275" s="2" t="str">
        <f t="shared" si="167"/>
        <v>Полы</v>
      </c>
      <c r="H275" s="2"/>
      <c r="I275" s="2"/>
      <c r="J275" s="2"/>
      <c r="K275" s="2"/>
      <c r="L275" s="2"/>
      <c r="M275" s="2"/>
      <c r="N275" s="2"/>
      <c r="O275" s="2">
        <f t="shared" ref="O275:AT275" si="168">O290</f>
        <v>131720.91</v>
      </c>
      <c r="P275" s="2">
        <f t="shared" si="168"/>
        <v>102082.16</v>
      </c>
      <c r="Q275" s="2">
        <f t="shared" si="168"/>
        <v>362.25</v>
      </c>
      <c r="R275" s="2">
        <f t="shared" si="168"/>
        <v>15.67</v>
      </c>
      <c r="S275" s="2">
        <f t="shared" si="168"/>
        <v>29276.5</v>
      </c>
      <c r="T275" s="2">
        <f t="shared" si="168"/>
        <v>0</v>
      </c>
      <c r="U275" s="2">
        <f t="shared" si="168"/>
        <v>63.528148999999999</v>
      </c>
      <c r="V275" s="2">
        <f t="shared" si="168"/>
        <v>0</v>
      </c>
      <c r="W275" s="2">
        <f t="shared" si="168"/>
        <v>0</v>
      </c>
      <c r="X275" s="2">
        <f t="shared" si="168"/>
        <v>20493.54</v>
      </c>
      <c r="Y275" s="2">
        <f t="shared" si="168"/>
        <v>2927.65</v>
      </c>
      <c r="Z275" s="2">
        <f t="shared" si="168"/>
        <v>0</v>
      </c>
      <c r="AA275" s="2">
        <f t="shared" si="168"/>
        <v>0</v>
      </c>
      <c r="AB275" s="2">
        <f t="shared" si="168"/>
        <v>131720.91</v>
      </c>
      <c r="AC275" s="2">
        <f t="shared" si="168"/>
        <v>102082.16</v>
      </c>
      <c r="AD275" s="2">
        <f t="shared" si="168"/>
        <v>362.25</v>
      </c>
      <c r="AE275" s="2">
        <f t="shared" si="168"/>
        <v>15.67</v>
      </c>
      <c r="AF275" s="2">
        <f t="shared" si="168"/>
        <v>29276.5</v>
      </c>
      <c r="AG275" s="2">
        <f t="shared" si="168"/>
        <v>0</v>
      </c>
      <c r="AH275" s="2">
        <f t="shared" si="168"/>
        <v>63.528148999999999</v>
      </c>
      <c r="AI275" s="2">
        <f t="shared" si="168"/>
        <v>0</v>
      </c>
      <c r="AJ275" s="2">
        <f t="shared" si="168"/>
        <v>0</v>
      </c>
      <c r="AK275" s="2">
        <f t="shared" si="168"/>
        <v>20493.54</v>
      </c>
      <c r="AL275" s="2">
        <f t="shared" si="168"/>
        <v>2927.65</v>
      </c>
      <c r="AM275" s="2">
        <f t="shared" si="168"/>
        <v>0</v>
      </c>
      <c r="AN275" s="2">
        <f t="shared" si="168"/>
        <v>0</v>
      </c>
      <c r="AO275" s="2">
        <f t="shared" si="168"/>
        <v>0</v>
      </c>
      <c r="AP275" s="2">
        <f t="shared" si="168"/>
        <v>0</v>
      </c>
      <c r="AQ275" s="2">
        <f t="shared" si="168"/>
        <v>0</v>
      </c>
      <c r="AR275" s="2">
        <f t="shared" si="168"/>
        <v>155159.03</v>
      </c>
      <c r="AS275" s="2">
        <f t="shared" si="168"/>
        <v>0</v>
      </c>
      <c r="AT275" s="2">
        <f t="shared" si="168"/>
        <v>0</v>
      </c>
      <c r="AU275" s="2">
        <f t="shared" ref="AU275:BZ275" si="169">AU290</f>
        <v>155159.03</v>
      </c>
      <c r="AV275" s="2">
        <f t="shared" si="169"/>
        <v>102082.16</v>
      </c>
      <c r="AW275" s="2">
        <f t="shared" si="169"/>
        <v>102082.16</v>
      </c>
      <c r="AX275" s="2">
        <f t="shared" si="169"/>
        <v>0</v>
      </c>
      <c r="AY275" s="2">
        <f t="shared" si="169"/>
        <v>102082.16</v>
      </c>
      <c r="AZ275" s="2">
        <f t="shared" si="169"/>
        <v>0</v>
      </c>
      <c r="BA275" s="2">
        <f t="shared" si="169"/>
        <v>0</v>
      </c>
      <c r="BB275" s="2">
        <f t="shared" si="169"/>
        <v>0</v>
      </c>
      <c r="BC275" s="2">
        <f t="shared" si="169"/>
        <v>0</v>
      </c>
      <c r="BD275" s="2">
        <f t="shared" si="169"/>
        <v>0</v>
      </c>
      <c r="BE275" s="2">
        <f t="shared" si="169"/>
        <v>0</v>
      </c>
      <c r="BF275" s="2">
        <f t="shared" si="169"/>
        <v>0</v>
      </c>
      <c r="BG275" s="2">
        <f t="shared" si="169"/>
        <v>0</v>
      </c>
      <c r="BH275" s="2">
        <f t="shared" si="169"/>
        <v>0</v>
      </c>
      <c r="BI275" s="2">
        <f t="shared" si="169"/>
        <v>0</v>
      </c>
      <c r="BJ275" s="2">
        <f t="shared" si="169"/>
        <v>0</v>
      </c>
      <c r="BK275" s="2">
        <f t="shared" si="169"/>
        <v>0</v>
      </c>
      <c r="BL275" s="2">
        <f t="shared" si="169"/>
        <v>0</v>
      </c>
      <c r="BM275" s="2">
        <f t="shared" si="169"/>
        <v>0</v>
      </c>
      <c r="BN275" s="2">
        <f t="shared" si="169"/>
        <v>0</v>
      </c>
      <c r="BO275" s="2">
        <f t="shared" si="169"/>
        <v>0</v>
      </c>
      <c r="BP275" s="2">
        <f t="shared" si="169"/>
        <v>0</v>
      </c>
      <c r="BQ275" s="2">
        <f t="shared" si="169"/>
        <v>0</v>
      </c>
      <c r="BR275" s="2">
        <f t="shared" si="169"/>
        <v>0</v>
      </c>
      <c r="BS275" s="2">
        <f t="shared" si="169"/>
        <v>0</v>
      </c>
      <c r="BT275" s="2">
        <f t="shared" si="169"/>
        <v>0</v>
      </c>
      <c r="BU275" s="2">
        <f t="shared" si="169"/>
        <v>0</v>
      </c>
      <c r="BV275" s="2">
        <f t="shared" si="169"/>
        <v>0</v>
      </c>
      <c r="BW275" s="2">
        <f t="shared" si="169"/>
        <v>0</v>
      </c>
      <c r="BX275" s="2">
        <f t="shared" si="169"/>
        <v>0</v>
      </c>
      <c r="BY275" s="2">
        <f t="shared" si="169"/>
        <v>0</v>
      </c>
      <c r="BZ275" s="2">
        <f t="shared" si="169"/>
        <v>0</v>
      </c>
      <c r="CA275" s="2">
        <f t="shared" ref="CA275:DF275" si="170">CA290</f>
        <v>155159.03</v>
      </c>
      <c r="CB275" s="2">
        <f t="shared" si="170"/>
        <v>0</v>
      </c>
      <c r="CC275" s="2">
        <f t="shared" si="170"/>
        <v>0</v>
      </c>
      <c r="CD275" s="2">
        <f t="shared" si="170"/>
        <v>155159.03</v>
      </c>
      <c r="CE275" s="2">
        <f t="shared" si="170"/>
        <v>102082.16</v>
      </c>
      <c r="CF275" s="2">
        <f t="shared" si="170"/>
        <v>102082.16</v>
      </c>
      <c r="CG275" s="2">
        <f t="shared" si="170"/>
        <v>0</v>
      </c>
      <c r="CH275" s="2">
        <f t="shared" si="170"/>
        <v>102082.16</v>
      </c>
      <c r="CI275" s="2">
        <f t="shared" si="170"/>
        <v>0</v>
      </c>
      <c r="CJ275" s="2">
        <f t="shared" si="170"/>
        <v>0</v>
      </c>
      <c r="CK275" s="2">
        <f t="shared" si="170"/>
        <v>0</v>
      </c>
      <c r="CL275" s="2">
        <f t="shared" si="170"/>
        <v>0</v>
      </c>
      <c r="CM275" s="2">
        <f t="shared" si="170"/>
        <v>0</v>
      </c>
      <c r="CN275" s="2">
        <f t="shared" si="170"/>
        <v>0</v>
      </c>
      <c r="CO275" s="2">
        <f t="shared" si="170"/>
        <v>0</v>
      </c>
      <c r="CP275" s="2">
        <f t="shared" si="170"/>
        <v>0</v>
      </c>
      <c r="CQ275" s="2">
        <f t="shared" si="170"/>
        <v>0</v>
      </c>
      <c r="CR275" s="2">
        <f t="shared" si="170"/>
        <v>0</v>
      </c>
      <c r="CS275" s="2">
        <f t="shared" si="170"/>
        <v>0</v>
      </c>
      <c r="CT275" s="2">
        <f t="shared" si="170"/>
        <v>0</v>
      </c>
      <c r="CU275" s="2">
        <f t="shared" si="170"/>
        <v>0</v>
      </c>
      <c r="CV275" s="2">
        <f t="shared" si="170"/>
        <v>0</v>
      </c>
      <c r="CW275" s="2">
        <f t="shared" si="170"/>
        <v>0</v>
      </c>
      <c r="CX275" s="2">
        <f t="shared" si="170"/>
        <v>0</v>
      </c>
      <c r="CY275" s="2">
        <f t="shared" si="170"/>
        <v>0</v>
      </c>
      <c r="CZ275" s="2">
        <f t="shared" si="170"/>
        <v>0</v>
      </c>
      <c r="DA275" s="2">
        <f t="shared" si="170"/>
        <v>0</v>
      </c>
      <c r="DB275" s="2">
        <f t="shared" si="170"/>
        <v>0</v>
      </c>
      <c r="DC275" s="2">
        <f t="shared" si="170"/>
        <v>0</v>
      </c>
      <c r="DD275" s="2">
        <f t="shared" si="170"/>
        <v>0</v>
      </c>
      <c r="DE275" s="2">
        <f t="shared" si="170"/>
        <v>0</v>
      </c>
      <c r="DF275" s="2">
        <f t="shared" si="170"/>
        <v>0</v>
      </c>
      <c r="DG275" s="3">
        <f t="shared" ref="DG275:EL275" si="171">DG290</f>
        <v>0</v>
      </c>
      <c r="DH275" s="3">
        <f t="shared" si="171"/>
        <v>0</v>
      </c>
      <c r="DI275" s="3">
        <f t="shared" si="171"/>
        <v>0</v>
      </c>
      <c r="DJ275" s="3">
        <f t="shared" si="171"/>
        <v>0</v>
      </c>
      <c r="DK275" s="3">
        <f t="shared" si="171"/>
        <v>0</v>
      </c>
      <c r="DL275" s="3">
        <f t="shared" si="171"/>
        <v>0</v>
      </c>
      <c r="DM275" s="3">
        <f t="shared" si="171"/>
        <v>0</v>
      </c>
      <c r="DN275" s="3">
        <f t="shared" si="171"/>
        <v>0</v>
      </c>
      <c r="DO275" s="3">
        <f t="shared" si="171"/>
        <v>0</v>
      </c>
      <c r="DP275" s="3">
        <f t="shared" si="171"/>
        <v>0</v>
      </c>
      <c r="DQ275" s="3">
        <f t="shared" si="171"/>
        <v>0</v>
      </c>
      <c r="DR275" s="3">
        <f t="shared" si="171"/>
        <v>0</v>
      </c>
      <c r="DS275" s="3">
        <f t="shared" si="171"/>
        <v>0</v>
      </c>
      <c r="DT275" s="3">
        <f t="shared" si="171"/>
        <v>0</v>
      </c>
      <c r="DU275" s="3">
        <f t="shared" si="171"/>
        <v>0</v>
      </c>
      <c r="DV275" s="3">
        <f t="shared" si="171"/>
        <v>0</v>
      </c>
      <c r="DW275" s="3">
        <f t="shared" si="171"/>
        <v>0</v>
      </c>
      <c r="DX275" s="3">
        <f t="shared" si="171"/>
        <v>0</v>
      </c>
      <c r="DY275" s="3">
        <f t="shared" si="171"/>
        <v>0</v>
      </c>
      <c r="DZ275" s="3">
        <f t="shared" si="171"/>
        <v>0</v>
      </c>
      <c r="EA275" s="3">
        <f t="shared" si="171"/>
        <v>0</v>
      </c>
      <c r="EB275" s="3">
        <f t="shared" si="171"/>
        <v>0</v>
      </c>
      <c r="EC275" s="3">
        <f t="shared" si="171"/>
        <v>0</v>
      </c>
      <c r="ED275" s="3">
        <f t="shared" si="171"/>
        <v>0</v>
      </c>
      <c r="EE275" s="3">
        <f t="shared" si="171"/>
        <v>0</v>
      </c>
      <c r="EF275" s="3">
        <f t="shared" si="171"/>
        <v>0</v>
      </c>
      <c r="EG275" s="3">
        <f t="shared" si="171"/>
        <v>0</v>
      </c>
      <c r="EH275" s="3">
        <f t="shared" si="171"/>
        <v>0</v>
      </c>
      <c r="EI275" s="3">
        <f t="shared" si="171"/>
        <v>0</v>
      </c>
      <c r="EJ275" s="3">
        <f t="shared" si="171"/>
        <v>0</v>
      </c>
      <c r="EK275" s="3">
        <f t="shared" si="171"/>
        <v>0</v>
      </c>
      <c r="EL275" s="3">
        <f t="shared" si="171"/>
        <v>0</v>
      </c>
      <c r="EM275" s="3">
        <f t="shared" ref="EM275:FR275" si="172">EM290</f>
        <v>0</v>
      </c>
      <c r="EN275" s="3">
        <f t="shared" si="172"/>
        <v>0</v>
      </c>
      <c r="EO275" s="3">
        <f t="shared" si="172"/>
        <v>0</v>
      </c>
      <c r="EP275" s="3">
        <f t="shared" si="172"/>
        <v>0</v>
      </c>
      <c r="EQ275" s="3">
        <f t="shared" si="172"/>
        <v>0</v>
      </c>
      <c r="ER275" s="3">
        <f t="shared" si="172"/>
        <v>0</v>
      </c>
      <c r="ES275" s="3">
        <f t="shared" si="172"/>
        <v>0</v>
      </c>
      <c r="ET275" s="3">
        <f t="shared" si="172"/>
        <v>0</v>
      </c>
      <c r="EU275" s="3">
        <f t="shared" si="172"/>
        <v>0</v>
      </c>
      <c r="EV275" s="3">
        <f t="shared" si="172"/>
        <v>0</v>
      </c>
      <c r="EW275" s="3">
        <f t="shared" si="172"/>
        <v>0</v>
      </c>
      <c r="EX275" s="3">
        <f t="shared" si="172"/>
        <v>0</v>
      </c>
      <c r="EY275" s="3">
        <f t="shared" si="172"/>
        <v>0</v>
      </c>
      <c r="EZ275" s="3">
        <f t="shared" si="172"/>
        <v>0</v>
      </c>
      <c r="FA275" s="3">
        <f t="shared" si="172"/>
        <v>0</v>
      </c>
      <c r="FB275" s="3">
        <f t="shared" si="172"/>
        <v>0</v>
      </c>
      <c r="FC275" s="3">
        <f t="shared" si="172"/>
        <v>0</v>
      </c>
      <c r="FD275" s="3">
        <f t="shared" si="172"/>
        <v>0</v>
      </c>
      <c r="FE275" s="3">
        <f t="shared" si="172"/>
        <v>0</v>
      </c>
      <c r="FF275" s="3">
        <f t="shared" si="172"/>
        <v>0</v>
      </c>
      <c r="FG275" s="3">
        <f t="shared" si="172"/>
        <v>0</v>
      </c>
      <c r="FH275" s="3">
        <f t="shared" si="172"/>
        <v>0</v>
      </c>
      <c r="FI275" s="3">
        <f t="shared" si="172"/>
        <v>0</v>
      </c>
      <c r="FJ275" s="3">
        <f t="shared" si="172"/>
        <v>0</v>
      </c>
      <c r="FK275" s="3">
        <f t="shared" si="172"/>
        <v>0</v>
      </c>
      <c r="FL275" s="3">
        <f t="shared" si="172"/>
        <v>0</v>
      </c>
      <c r="FM275" s="3">
        <f t="shared" si="172"/>
        <v>0</v>
      </c>
      <c r="FN275" s="3">
        <f t="shared" si="172"/>
        <v>0</v>
      </c>
      <c r="FO275" s="3">
        <f t="shared" si="172"/>
        <v>0</v>
      </c>
      <c r="FP275" s="3">
        <f t="shared" si="172"/>
        <v>0</v>
      </c>
      <c r="FQ275" s="3">
        <f t="shared" si="172"/>
        <v>0</v>
      </c>
      <c r="FR275" s="3">
        <f t="shared" si="172"/>
        <v>0</v>
      </c>
      <c r="FS275" s="3">
        <f t="shared" ref="FS275:GX275" si="173">FS290</f>
        <v>0</v>
      </c>
      <c r="FT275" s="3">
        <f t="shared" si="173"/>
        <v>0</v>
      </c>
      <c r="FU275" s="3">
        <f t="shared" si="173"/>
        <v>0</v>
      </c>
      <c r="FV275" s="3">
        <f t="shared" si="173"/>
        <v>0</v>
      </c>
      <c r="FW275" s="3">
        <f t="shared" si="173"/>
        <v>0</v>
      </c>
      <c r="FX275" s="3">
        <f t="shared" si="173"/>
        <v>0</v>
      </c>
      <c r="FY275" s="3">
        <f t="shared" si="173"/>
        <v>0</v>
      </c>
      <c r="FZ275" s="3">
        <f t="shared" si="173"/>
        <v>0</v>
      </c>
      <c r="GA275" s="3">
        <f t="shared" si="173"/>
        <v>0</v>
      </c>
      <c r="GB275" s="3">
        <f t="shared" si="173"/>
        <v>0</v>
      </c>
      <c r="GC275" s="3">
        <f t="shared" si="173"/>
        <v>0</v>
      </c>
      <c r="GD275" s="3">
        <f t="shared" si="173"/>
        <v>0</v>
      </c>
      <c r="GE275" s="3">
        <f t="shared" si="173"/>
        <v>0</v>
      </c>
      <c r="GF275" s="3">
        <f t="shared" si="173"/>
        <v>0</v>
      </c>
      <c r="GG275" s="3">
        <f t="shared" si="173"/>
        <v>0</v>
      </c>
      <c r="GH275" s="3">
        <f t="shared" si="173"/>
        <v>0</v>
      </c>
      <c r="GI275" s="3">
        <f t="shared" si="173"/>
        <v>0</v>
      </c>
      <c r="GJ275" s="3">
        <f t="shared" si="173"/>
        <v>0</v>
      </c>
      <c r="GK275" s="3">
        <f t="shared" si="173"/>
        <v>0</v>
      </c>
      <c r="GL275" s="3">
        <f t="shared" si="173"/>
        <v>0</v>
      </c>
      <c r="GM275" s="3">
        <f t="shared" si="173"/>
        <v>0</v>
      </c>
      <c r="GN275" s="3">
        <f t="shared" si="173"/>
        <v>0</v>
      </c>
      <c r="GO275" s="3">
        <f t="shared" si="173"/>
        <v>0</v>
      </c>
      <c r="GP275" s="3">
        <f t="shared" si="173"/>
        <v>0</v>
      </c>
      <c r="GQ275" s="3">
        <f t="shared" si="173"/>
        <v>0</v>
      </c>
      <c r="GR275" s="3">
        <f t="shared" si="173"/>
        <v>0</v>
      </c>
      <c r="GS275" s="3">
        <f t="shared" si="173"/>
        <v>0</v>
      </c>
      <c r="GT275" s="3">
        <f t="shared" si="173"/>
        <v>0</v>
      </c>
      <c r="GU275" s="3">
        <f t="shared" si="173"/>
        <v>0</v>
      </c>
      <c r="GV275" s="3">
        <f t="shared" si="173"/>
        <v>0</v>
      </c>
      <c r="GW275" s="3">
        <f t="shared" si="173"/>
        <v>0</v>
      </c>
      <c r="GX275" s="3">
        <f t="shared" si="173"/>
        <v>0</v>
      </c>
    </row>
    <row r="277" spans="1:245" x14ac:dyDescent="0.2">
      <c r="A277">
        <v>17</v>
      </c>
      <c r="B277">
        <v>1</v>
      </c>
      <c r="C277">
        <f>ROW(SmtRes!A93)</f>
        <v>93</v>
      </c>
      <c r="D277">
        <f>ROW(EtalonRes!A83)</f>
        <v>83</v>
      </c>
      <c r="E277" t="s">
        <v>230</v>
      </c>
      <c r="F277" t="s">
        <v>18</v>
      </c>
      <c r="G277" t="s">
        <v>19</v>
      </c>
      <c r="H277" t="s">
        <v>20</v>
      </c>
      <c r="I277">
        <f>ROUND(0.9/100,9)</f>
        <v>8.9999999999999993E-3</v>
      </c>
      <c r="J277">
        <v>0</v>
      </c>
      <c r="K277">
        <f>ROUND(0.9/100,9)</f>
        <v>8.9999999999999993E-3</v>
      </c>
      <c r="O277">
        <f t="shared" ref="O277:O288" si="174">ROUND(CP277,2)</f>
        <v>11.46</v>
      </c>
      <c r="P277">
        <f t="shared" ref="P277:P288" si="175">ROUND(CQ277*I277,2)</f>
        <v>0</v>
      </c>
      <c r="Q277">
        <f t="shared" ref="Q277:Q288" si="176">ROUND(CR277*I277,2)</f>
        <v>7.0000000000000007E-2</v>
      </c>
      <c r="R277">
        <f t="shared" ref="R277:R288" si="177">ROUND(CS277*I277,2)</f>
        <v>0</v>
      </c>
      <c r="S277">
        <f t="shared" ref="S277:S288" si="178">ROUND(CT277*I277,2)</f>
        <v>11.39</v>
      </c>
      <c r="T277">
        <f t="shared" ref="T277:T288" si="179">ROUND(CU277*I277,2)</f>
        <v>0</v>
      </c>
      <c r="U277">
        <f t="shared" ref="U277:U288" si="180">CV277*I277</f>
        <v>2.8169999999999997E-2</v>
      </c>
      <c r="V277">
        <f t="shared" ref="V277:V288" si="181">CW277*I277</f>
        <v>0</v>
      </c>
      <c r="W277">
        <f t="shared" ref="W277:W288" si="182">ROUND(CX277*I277,2)</f>
        <v>0</v>
      </c>
      <c r="X277">
        <f t="shared" ref="X277:X288" si="183">ROUND(CY277,2)</f>
        <v>7.97</v>
      </c>
      <c r="Y277">
        <f t="shared" ref="Y277:Y288" si="184">ROUND(CZ277,2)</f>
        <v>1.1399999999999999</v>
      </c>
      <c r="AA277">
        <v>75700856</v>
      </c>
      <c r="AB277">
        <f t="shared" ref="AB277:AB288" si="185">ROUND((AC277+AD277+AF277),6)</f>
        <v>1273.3399999999999</v>
      </c>
      <c r="AC277">
        <f t="shared" ref="AC277:AC288" si="186">ROUND((ES277),6)</f>
        <v>0</v>
      </c>
      <c r="AD277">
        <f t="shared" ref="AD277:AD288" si="187">ROUND((((ET277)-(EU277))+AE277),6)</f>
        <v>7.44</v>
      </c>
      <c r="AE277">
        <f t="shared" ref="AE277:AE288" si="188">ROUND((EU277),6)</f>
        <v>0.01</v>
      </c>
      <c r="AF277">
        <f t="shared" ref="AF277:AF288" si="189">ROUND((EV277),6)</f>
        <v>1265.9000000000001</v>
      </c>
      <c r="AG277">
        <f t="shared" ref="AG277:AG288" si="190">ROUND((AP277),6)</f>
        <v>0</v>
      </c>
      <c r="AH277">
        <f t="shared" ref="AH277:AH288" si="191">(EW277)</f>
        <v>3.13</v>
      </c>
      <c r="AI277">
        <f t="shared" ref="AI277:AI288" si="192">(EX277)</f>
        <v>0</v>
      </c>
      <c r="AJ277">
        <f t="shared" ref="AJ277:AJ288" si="193">(AS277)</f>
        <v>0</v>
      </c>
      <c r="AK277">
        <v>1273.3399999999999</v>
      </c>
      <c r="AL277">
        <v>0</v>
      </c>
      <c r="AM277">
        <v>7.44</v>
      </c>
      <c r="AN277">
        <v>0.01</v>
      </c>
      <c r="AO277">
        <v>1265.9000000000001</v>
      </c>
      <c r="AP277">
        <v>0</v>
      </c>
      <c r="AQ277">
        <v>3.13</v>
      </c>
      <c r="AR277">
        <v>0</v>
      </c>
      <c r="AS277">
        <v>0</v>
      </c>
      <c r="AT277">
        <v>70</v>
      </c>
      <c r="AU277">
        <v>10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21</v>
      </c>
      <c r="BM277">
        <v>0</v>
      </c>
      <c r="BN277">
        <v>75371441</v>
      </c>
      <c r="BO277" t="s">
        <v>3</v>
      </c>
      <c r="BP277">
        <v>0</v>
      </c>
      <c r="BQ277">
        <v>1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10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ref="CP277:CP288" si="194">(P277+Q277+S277)</f>
        <v>11.46</v>
      </c>
      <c r="CQ277">
        <f t="shared" ref="CQ277:CQ288" si="195">(AC277*BC277*AW277)</f>
        <v>0</v>
      </c>
      <c r="CR277">
        <f t="shared" ref="CR277:CR288" si="196">((((ET277)*BB277-(EU277)*BS277)+AE277*BS277)*AV277)</f>
        <v>7.44</v>
      </c>
      <c r="CS277">
        <f t="shared" ref="CS277:CS288" si="197">(AE277*BS277*AV277)</f>
        <v>0.01</v>
      </c>
      <c r="CT277">
        <f t="shared" ref="CT277:CT288" si="198">(AF277*BA277*AV277)</f>
        <v>1265.9000000000001</v>
      </c>
      <c r="CU277">
        <f t="shared" ref="CU277:CU288" si="199">AG277</f>
        <v>0</v>
      </c>
      <c r="CV277">
        <f t="shared" ref="CV277:CV288" si="200">(AH277*AV277)</f>
        <v>3.13</v>
      </c>
      <c r="CW277">
        <f t="shared" ref="CW277:CW288" si="201">AI277</f>
        <v>0</v>
      </c>
      <c r="CX277">
        <f t="shared" ref="CX277:CX288" si="202">AJ277</f>
        <v>0</v>
      </c>
      <c r="CY277">
        <f t="shared" ref="CY277:CY288" si="203">((S277*BZ277)/100)</f>
        <v>7.9730000000000008</v>
      </c>
      <c r="CZ277">
        <f t="shared" ref="CZ277:CZ288" si="204">((S277*CA277)/100)</f>
        <v>1.139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1003</v>
      </c>
      <c r="DV277" t="s">
        <v>20</v>
      </c>
      <c r="DW277" t="s">
        <v>20</v>
      </c>
      <c r="DX277">
        <v>100</v>
      </c>
      <c r="DZ277" t="s">
        <v>3</v>
      </c>
      <c r="EA277" t="s">
        <v>3</v>
      </c>
      <c r="EB277" t="s">
        <v>3</v>
      </c>
      <c r="EC277" t="s">
        <v>3</v>
      </c>
      <c r="EE277">
        <v>75371444</v>
      </c>
      <c r="EF277">
        <v>1</v>
      </c>
      <c r="EG277" t="s">
        <v>22</v>
      </c>
      <c r="EH277">
        <v>0</v>
      </c>
      <c r="EI277" t="s">
        <v>3</v>
      </c>
      <c r="EJ277">
        <v>4</v>
      </c>
      <c r="EK277">
        <v>0</v>
      </c>
      <c r="EL277" t="s">
        <v>23</v>
      </c>
      <c r="EM277" t="s">
        <v>24</v>
      </c>
      <c r="EO277" t="s">
        <v>3</v>
      </c>
      <c r="EQ277">
        <v>0</v>
      </c>
      <c r="ER277">
        <v>1273.3399999999999</v>
      </c>
      <c r="ES277">
        <v>0</v>
      </c>
      <c r="ET277">
        <v>7.44</v>
      </c>
      <c r="EU277">
        <v>0.01</v>
      </c>
      <c r="EV277">
        <v>1265.9000000000001</v>
      </c>
      <c r="EW277">
        <v>3.13</v>
      </c>
      <c r="EX277">
        <v>0</v>
      </c>
      <c r="EY277">
        <v>0</v>
      </c>
      <c r="FQ277">
        <v>0</v>
      </c>
      <c r="FR277">
        <f t="shared" ref="FR277:FR288" si="205">ROUND(IF(BI277=3,GM277,0),2)</f>
        <v>0</v>
      </c>
      <c r="FS277">
        <v>0</v>
      </c>
      <c r="FX277">
        <v>70</v>
      </c>
      <c r="FY277">
        <v>10</v>
      </c>
      <c r="GA277" t="s">
        <v>3</v>
      </c>
      <c r="GD277">
        <v>0</v>
      </c>
      <c r="GF277">
        <v>-165607115</v>
      </c>
      <c r="GG277">
        <v>2</v>
      </c>
      <c r="GH277">
        <v>1</v>
      </c>
      <c r="GI277">
        <v>-2</v>
      </c>
      <c r="GJ277">
        <v>0</v>
      </c>
      <c r="GK277">
        <f>ROUND(R277*(R12)/100,2)</f>
        <v>0</v>
      </c>
      <c r="GL277">
        <f t="shared" ref="GL277:GL288" si="206">ROUND(IF(AND(BH277=3,BI277=3,FS277&lt;&gt;0),P277,0),2)</f>
        <v>0</v>
      </c>
      <c r="GM277">
        <f t="shared" ref="GM277:GM288" si="207">ROUND(O277+X277+Y277+GK277,2)+GX277</f>
        <v>20.57</v>
      </c>
      <c r="GN277">
        <f t="shared" ref="GN277:GN288" si="208">IF(OR(BI277=0,BI277=1),GM277-GX277,0)</f>
        <v>0</v>
      </c>
      <c r="GO277">
        <f t="shared" ref="GO277:GO288" si="209">IF(BI277=2,GM277-GX277,0)</f>
        <v>0</v>
      </c>
      <c r="GP277">
        <f t="shared" ref="GP277:GP288" si="210">IF(BI277=4,GM277-GX277,0)</f>
        <v>20.57</v>
      </c>
      <c r="GR277">
        <v>0</v>
      </c>
      <c r="GS277">
        <v>3</v>
      </c>
      <c r="GT277">
        <v>0</v>
      </c>
      <c r="GU277" t="s">
        <v>3</v>
      </c>
      <c r="GV277">
        <f t="shared" ref="GV277:GV288" si="211">ROUND((GT277),6)</f>
        <v>0</v>
      </c>
      <c r="GW277">
        <v>1</v>
      </c>
      <c r="GX277">
        <f t="shared" ref="GX277:GX288" si="212">ROUND(HC277*I277,2)</f>
        <v>0</v>
      </c>
      <c r="HA277">
        <v>0</v>
      </c>
      <c r="HB277">
        <v>0</v>
      </c>
      <c r="HC277">
        <f t="shared" ref="HC277:HC288" si="213">GV277*GW277</f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1</v>
      </c>
      <c r="C278">
        <f>ROW(SmtRes!A95)</f>
        <v>95</v>
      </c>
      <c r="D278">
        <f>ROW(EtalonRes!A85)</f>
        <v>85</v>
      </c>
      <c r="E278" t="s">
        <v>231</v>
      </c>
      <c r="F278" t="s">
        <v>232</v>
      </c>
      <c r="G278" t="s">
        <v>233</v>
      </c>
      <c r="H278" t="s">
        <v>20</v>
      </c>
      <c r="I278">
        <f>ROUND(30.95/100,9)</f>
        <v>0.3095</v>
      </c>
      <c r="J278">
        <v>0</v>
      </c>
      <c r="K278">
        <f>ROUND(30.95/100,9)</f>
        <v>0.3095</v>
      </c>
      <c r="O278">
        <f t="shared" si="174"/>
        <v>454.19</v>
      </c>
      <c r="P278">
        <f t="shared" si="175"/>
        <v>0</v>
      </c>
      <c r="Q278">
        <f t="shared" si="176"/>
        <v>0</v>
      </c>
      <c r="R278">
        <f t="shared" si="177"/>
        <v>0</v>
      </c>
      <c r="S278">
        <f t="shared" si="178"/>
        <v>454.19</v>
      </c>
      <c r="T278">
        <f t="shared" si="179"/>
        <v>0</v>
      </c>
      <c r="U278">
        <f t="shared" si="180"/>
        <v>1.1668149999999999</v>
      </c>
      <c r="V278">
        <f t="shared" si="181"/>
        <v>0</v>
      </c>
      <c r="W278">
        <f t="shared" si="182"/>
        <v>0</v>
      </c>
      <c r="X278">
        <f t="shared" si="183"/>
        <v>317.93</v>
      </c>
      <c r="Y278">
        <f t="shared" si="184"/>
        <v>45.42</v>
      </c>
      <c r="AA278">
        <v>75700856</v>
      </c>
      <c r="AB278">
        <f t="shared" si="185"/>
        <v>1467.51</v>
      </c>
      <c r="AC278">
        <f t="shared" si="186"/>
        <v>0</v>
      </c>
      <c r="AD278">
        <f t="shared" si="187"/>
        <v>0</v>
      </c>
      <c r="AE278">
        <f t="shared" si="188"/>
        <v>0</v>
      </c>
      <c r="AF278">
        <f t="shared" si="189"/>
        <v>1467.51</v>
      </c>
      <c r="AG278">
        <f t="shared" si="190"/>
        <v>0</v>
      </c>
      <c r="AH278">
        <f t="shared" si="191"/>
        <v>3.77</v>
      </c>
      <c r="AI278">
        <f t="shared" si="192"/>
        <v>0</v>
      </c>
      <c r="AJ278">
        <f t="shared" si="193"/>
        <v>0</v>
      </c>
      <c r="AK278">
        <v>1467.51</v>
      </c>
      <c r="AL278">
        <v>0</v>
      </c>
      <c r="AM278">
        <v>0</v>
      </c>
      <c r="AN278">
        <v>0</v>
      </c>
      <c r="AO278">
        <v>1467.51</v>
      </c>
      <c r="AP278">
        <v>0</v>
      </c>
      <c r="AQ278">
        <v>3.77</v>
      </c>
      <c r="AR278">
        <v>0</v>
      </c>
      <c r="AS278">
        <v>0</v>
      </c>
      <c r="AT278">
        <v>70</v>
      </c>
      <c r="AU278">
        <v>10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234</v>
      </c>
      <c r="BM278">
        <v>0</v>
      </c>
      <c r="BN278">
        <v>75371441</v>
      </c>
      <c r="BO278" t="s">
        <v>3</v>
      </c>
      <c r="BP278">
        <v>0</v>
      </c>
      <c r="BQ278">
        <v>1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10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194"/>
        <v>454.19</v>
      </c>
      <c r="CQ278">
        <f t="shared" si="195"/>
        <v>0</v>
      </c>
      <c r="CR278">
        <f t="shared" si="196"/>
        <v>0</v>
      </c>
      <c r="CS278">
        <f t="shared" si="197"/>
        <v>0</v>
      </c>
      <c r="CT278">
        <f t="shared" si="198"/>
        <v>1467.51</v>
      </c>
      <c r="CU278">
        <f t="shared" si="199"/>
        <v>0</v>
      </c>
      <c r="CV278">
        <f t="shared" si="200"/>
        <v>3.77</v>
      </c>
      <c r="CW278">
        <f t="shared" si="201"/>
        <v>0</v>
      </c>
      <c r="CX278">
        <f t="shared" si="202"/>
        <v>0</v>
      </c>
      <c r="CY278">
        <f t="shared" si="203"/>
        <v>317.93299999999999</v>
      </c>
      <c r="CZ278">
        <f t="shared" si="204"/>
        <v>45.418999999999997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1003</v>
      </c>
      <c r="DV278" t="s">
        <v>20</v>
      </c>
      <c r="DW278" t="s">
        <v>20</v>
      </c>
      <c r="DX278">
        <v>100</v>
      </c>
      <c r="DZ278" t="s">
        <v>3</v>
      </c>
      <c r="EA278" t="s">
        <v>3</v>
      </c>
      <c r="EB278" t="s">
        <v>3</v>
      </c>
      <c r="EC278" t="s">
        <v>3</v>
      </c>
      <c r="EE278">
        <v>75371444</v>
      </c>
      <c r="EF278">
        <v>1</v>
      </c>
      <c r="EG278" t="s">
        <v>22</v>
      </c>
      <c r="EH278">
        <v>0</v>
      </c>
      <c r="EI278" t="s">
        <v>3</v>
      </c>
      <c r="EJ278">
        <v>4</v>
      </c>
      <c r="EK278">
        <v>0</v>
      </c>
      <c r="EL278" t="s">
        <v>23</v>
      </c>
      <c r="EM278" t="s">
        <v>24</v>
      </c>
      <c r="EO278" t="s">
        <v>3</v>
      </c>
      <c r="EQ278">
        <v>0</v>
      </c>
      <c r="ER278">
        <v>1467.51</v>
      </c>
      <c r="ES278">
        <v>0</v>
      </c>
      <c r="ET278">
        <v>0</v>
      </c>
      <c r="EU278">
        <v>0</v>
      </c>
      <c r="EV278">
        <v>1467.51</v>
      </c>
      <c r="EW278">
        <v>3.77</v>
      </c>
      <c r="EX278">
        <v>0</v>
      </c>
      <c r="EY278">
        <v>0</v>
      </c>
      <c r="FQ278">
        <v>0</v>
      </c>
      <c r="FR278">
        <f t="shared" si="205"/>
        <v>0</v>
      </c>
      <c r="FS278">
        <v>0</v>
      </c>
      <c r="FX278">
        <v>70</v>
      </c>
      <c r="FY278">
        <v>10</v>
      </c>
      <c r="GA278" t="s">
        <v>3</v>
      </c>
      <c r="GD278">
        <v>0</v>
      </c>
      <c r="GF278">
        <v>647258461</v>
      </c>
      <c r="GG278">
        <v>2</v>
      </c>
      <c r="GH278">
        <v>1</v>
      </c>
      <c r="GI278">
        <v>-2</v>
      </c>
      <c r="GJ278">
        <v>0</v>
      </c>
      <c r="GK278">
        <f>ROUND(R278*(R12)/100,2)</f>
        <v>0</v>
      </c>
      <c r="GL278">
        <f t="shared" si="206"/>
        <v>0</v>
      </c>
      <c r="GM278">
        <f t="shared" si="207"/>
        <v>817.54</v>
      </c>
      <c r="GN278">
        <f t="shared" si="208"/>
        <v>0</v>
      </c>
      <c r="GO278">
        <f t="shared" si="209"/>
        <v>0</v>
      </c>
      <c r="GP278">
        <f t="shared" si="210"/>
        <v>817.54</v>
      </c>
      <c r="GR278">
        <v>0</v>
      </c>
      <c r="GS278">
        <v>3</v>
      </c>
      <c r="GT278">
        <v>0</v>
      </c>
      <c r="GU278" t="s">
        <v>3</v>
      </c>
      <c r="GV278">
        <f t="shared" si="211"/>
        <v>0</v>
      </c>
      <c r="GW278">
        <v>1</v>
      </c>
      <c r="GX278">
        <f t="shared" si="212"/>
        <v>0</v>
      </c>
      <c r="HA278">
        <v>0</v>
      </c>
      <c r="HB278">
        <v>0</v>
      </c>
      <c r="HC278">
        <f t="shared" si="213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17</v>
      </c>
      <c r="B279">
        <v>1</v>
      </c>
      <c r="C279">
        <f>ROW(SmtRes!A99)</f>
        <v>99</v>
      </c>
      <c r="D279">
        <f>ROW(EtalonRes!A88)</f>
        <v>88</v>
      </c>
      <c r="E279" t="s">
        <v>235</v>
      </c>
      <c r="F279" t="s">
        <v>43</v>
      </c>
      <c r="G279" t="s">
        <v>44</v>
      </c>
      <c r="H279" t="s">
        <v>20</v>
      </c>
      <c r="I279">
        <f>ROUND(31.5/100,9)</f>
        <v>0.315</v>
      </c>
      <c r="J279">
        <v>0</v>
      </c>
      <c r="K279">
        <f>ROUND(31.5/100,9)</f>
        <v>0.315</v>
      </c>
      <c r="O279">
        <f t="shared" si="174"/>
        <v>2452.96</v>
      </c>
      <c r="P279">
        <f t="shared" si="175"/>
        <v>1246.06</v>
      </c>
      <c r="Q279">
        <f t="shared" si="176"/>
        <v>0</v>
      </c>
      <c r="R279">
        <f t="shared" si="177"/>
        <v>0</v>
      </c>
      <c r="S279">
        <f t="shared" si="178"/>
        <v>1206.9000000000001</v>
      </c>
      <c r="T279">
        <f t="shared" si="179"/>
        <v>0</v>
      </c>
      <c r="U279">
        <f t="shared" si="180"/>
        <v>2.7720000000000002</v>
      </c>
      <c r="V279">
        <f t="shared" si="181"/>
        <v>0</v>
      </c>
      <c r="W279">
        <f t="shared" si="182"/>
        <v>0</v>
      </c>
      <c r="X279">
        <f t="shared" si="183"/>
        <v>844.83</v>
      </c>
      <c r="Y279">
        <f t="shared" si="184"/>
        <v>120.69</v>
      </c>
      <c r="AA279">
        <v>75700856</v>
      </c>
      <c r="AB279">
        <f t="shared" si="185"/>
        <v>7787.19</v>
      </c>
      <c r="AC279">
        <f t="shared" si="186"/>
        <v>3955.76</v>
      </c>
      <c r="AD279">
        <f t="shared" si="187"/>
        <v>0</v>
      </c>
      <c r="AE279">
        <f t="shared" si="188"/>
        <v>0</v>
      </c>
      <c r="AF279">
        <f t="shared" si="189"/>
        <v>3831.43</v>
      </c>
      <c r="AG279">
        <f t="shared" si="190"/>
        <v>0</v>
      </c>
      <c r="AH279">
        <f t="shared" si="191"/>
        <v>8.8000000000000007</v>
      </c>
      <c r="AI279">
        <f t="shared" si="192"/>
        <v>0</v>
      </c>
      <c r="AJ279">
        <f t="shared" si="193"/>
        <v>0</v>
      </c>
      <c r="AK279">
        <v>7787.19</v>
      </c>
      <c r="AL279">
        <v>3955.76</v>
      </c>
      <c r="AM279">
        <v>0</v>
      </c>
      <c r="AN279">
        <v>0</v>
      </c>
      <c r="AO279">
        <v>3831.43</v>
      </c>
      <c r="AP279">
        <v>0</v>
      </c>
      <c r="AQ279">
        <v>8.8000000000000007</v>
      </c>
      <c r="AR279">
        <v>0</v>
      </c>
      <c r="AS279">
        <v>0</v>
      </c>
      <c r="AT279">
        <v>70</v>
      </c>
      <c r="AU279">
        <v>10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45</v>
      </c>
      <c r="BM279">
        <v>0</v>
      </c>
      <c r="BN279">
        <v>75371441</v>
      </c>
      <c r="BO279" t="s">
        <v>3</v>
      </c>
      <c r="BP279">
        <v>0</v>
      </c>
      <c r="BQ279">
        <v>1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70</v>
      </c>
      <c r="CA279">
        <v>10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194"/>
        <v>2452.96</v>
      </c>
      <c r="CQ279">
        <f t="shared" si="195"/>
        <v>3955.76</v>
      </c>
      <c r="CR279">
        <f t="shared" si="196"/>
        <v>0</v>
      </c>
      <c r="CS279">
        <f t="shared" si="197"/>
        <v>0</v>
      </c>
      <c r="CT279">
        <f t="shared" si="198"/>
        <v>3831.43</v>
      </c>
      <c r="CU279">
        <f t="shared" si="199"/>
        <v>0</v>
      </c>
      <c r="CV279">
        <f t="shared" si="200"/>
        <v>8.8000000000000007</v>
      </c>
      <c r="CW279">
        <f t="shared" si="201"/>
        <v>0</v>
      </c>
      <c r="CX279">
        <f t="shared" si="202"/>
        <v>0</v>
      </c>
      <c r="CY279">
        <f t="shared" si="203"/>
        <v>844.83</v>
      </c>
      <c r="CZ279">
        <f t="shared" si="204"/>
        <v>120.69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1003</v>
      </c>
      <c r="DV279" t="s">
        <v>20</v>
      </c>
      <c r="DW279" t="s">
        <v>20</v>
      </c>
      <c r="DX279">
        <v>100</v>
      </c>
      <c r="DZ279" t="s">
        <v>3</v>
      </c>
      <c r="EA279" t="s">
        <v>3</v>
      </c>
      <c r="EB279" t="s">
        <v>3</v>
      </c>
      <c r="EC279" t="s">
        <v>3</v>
      </c>
      <c r="EE279">
        <v>75371444</v>
      </c>
      <c r="EF279">
        <v>1</v>
      </c>
      <c r="EG279" t="s">
        <v>22</v>
      </c>
      <c r="EH279">
        <v>0</v>
      </c>
      <c r="EI279" t="s">
        <v>3</v>
      </c>
      <c r="EJ279">
        <v>4</v>
      </c>
      <c r="EK279">
        <v>0</v>
      </c>
      <c r="EL279" t="s">
        <v>23</v>
      </c>
      <c r="EM279" t="s">
        <v>24</v>
      </c>
      <c r="EO279" t="s">
        <v>3</v>
      </c>
      <c r="EQ279">
        <v>0</v>
      </c>
      <c r="ER279">
        <v>7787.19</v>
      </c>
      <c r="ES279">
        <v>3955.76</v>
      </c>
      <c r="ET279">
        <v>0</v>
      </c>
      <c r="EU279">
        <v>0</v>
      </c>
      <c r="EV279">
        <v>3831.43</v>
      </c>
      <c r="EW279">
        <v>8.8000000000000007</v>
      </c>
      <c r="EX279">
        <v>0</v>
      </c>
      <c r="EY279">
        <v>0</v>
      </c>
      <c r="FQ279">
        <v>0</v>
      </c>
      <c r="FR279">
        <f t="shared" si="205"/>
        <v>0</v>
      </c>
      <c r="FS279">
        <v>0</v>
      </c>
      <c r="FX279">
        <v>70</v>
      </c>
      <c r="FY279">
        <v>10</v>
      </c>
      <c r="GA279" t="s">
        <v>3</v>
      </c>
      <c r="GD279">
        <v>0</v>
      </c>
      <c r="GF279">
        <v>-1418968726</v>
      </c>
      <c r="GG279">
        <v>2</v>
      </c>
      <c r="GH279">
        <v>1</v>
      </c>
      <c r="GI279">
        <v>-2</v>
      </c>
      <c r="GJ279">
        <v>0</v>
      </c>
      <c r="GK279">
        <f>ROUND(R279*(R12)/100,2)</f>
        <v>0</v>
      </c>
      <c r="GL279">
        <f t="shared" si="206"/>
        <v>0</v>
      </c>
      <c r="GM279">
        <f t="shared" si="207"/>
        <v>3418.48</v>
      </c>
      <c r="GN279">
        <f t="shared" si="208"/>
        <v>0</v>
      </c>
      <c r="GO279">
        <f t="shared" si="209"/>
        <v>0</v>
      </c>
      <c r="GP279">
        <f t="shared" si="210"/>
        <v>3418.48</v>
      </c>
      <c r="GR279">
        <v>0</v>
      </c>
      <c r="GS279">
        <v>3</v>
      </c>
      <c r="GT279">
        <v>0</v>
      </c>
      <c r="GU279" t="s">
        <v>3</v>
      </c>
      <c r="GV279">
        <f t="shared" si="211"/>
        <v>0</v>
      </c>
      <c r="GW279">
        <v>1</v>
      </c>
      <c r="GX279">
        <f t="shared" si="212"/>
        <v>0</v>
      </c>
      <c r="HA279">
        <v>0</v>
      </c>
      <c r="HB279">
        <v>0</v>
      </c>
      <c r="HC279">
        <f t="shared" si="213"/>
        <v>0</v>
      </c>
      <c r="HE279" t="s">
        <v>3</v>
      </c>
      <c r="HF279" t="s">
        <v>3</v>
      </c>
      <c r="HM279" t="s">
        <v>3</v>
      </c>
      <c r="HN279" t="s">
        <v>3</v>
      </c>
      <c r="HO279" t="s">
        <v>3</v>
      </c>
      <c r="HP279" t="s">
        <v>3</v>
      </c>
      <c r="HQ279" t="s">
        <v>3</v>
      </c>
      <c r="IK279">
        <v>0</v>
      </c>
    </row>
    <row r="280" spans="1:245" x14ac:dyDescent="0.2">
      <c r="A280">
        <v>18</v>
      </c>
      <c r="B280">
        <v>1</v>
      </c>
      <c r="C280">
        <v>99</v>
      </c>
      <c r="E280" t="s">
        <v>236</v>
      </c>
      <c r="F280" t="s">
        <v>47</v>
      </c>
      <c r="G280" t="s">
        <v>48</v>
      </c>
      <c r="H280" t="s">
        <v>49</v>
      </c>
      <c r="I280">
        <f>I279*J280</f>
        <v>33.075000000000003</v>
      </c>
      <c r="J280">
        <v>105.00000000000001</v>
      </c>
      <c r="K280">
        <v>105</v>
      </c>
      <c r="O280">
        <f t="shared" si="174"/>
        <v>2881.82</v>
      </c>
      <c r="P280">
        <f t="shared" si="175"/>
        <v>2881.82</v>
      </c>
      <c r="Q280">
        <f t="shared" si="176"/>
        <v>0</v>
      </c>
      <c r="R280">
        <f t="shared" si="177"/>
        <v>0</v>
      </c>
      <c r="S280">
        <f t="shared" si="178"/>
        <v>0</v>
      </c>
      <c r="T280">
        <f t="shared" si="179"/>
        <v>0</v>
      </c>
      <c r="U280">
        <f t="shared" si="180"/>
        <v>0</v>
      </c>
      <c r="V280">
        <f t="shared" si="181"/>
        <v>0</v>
      </c>
      <c r="W280">
        <f t="shared" si="182"/>
        <v>0</v>
      </c>
      <c r="X280">
        <f t="shared" si="183"/>
        <v>0</v>
      </c>
      <c r="Y280">
        <f t="shared" si="184"/>
        <v>0</v>
      </c>
      <c r="AA280">
        <v>75700856</v>
      </c>
      <c r="AB280">
        <f t="shared" si="185"/>
        <v>87.13</v>
      </c>
      <c r="AC280">
        <f t="shared" si="186"/>
        <v>87.13</v>
      </c>
      <c r="AD280">
        <f t="shared" si="187"/>
        <v>0</v>
      </c>
      <c r="AE280">
        <f t="shared" si="188"/>
        <v>0</v>
      </c>
      <c r="AF280">
        <f t="shared" si="189"/>
        <v>0</v>
      </c>
      <c r="AG280">
        <f t="shared" si="190"/>
        <v>0</v>
      </c>
      <c r="AH280">
        <f t="shared" si="191"/>
        <v>0</v>
      </c>
      <c r="AI280">
        <f t="shared" si="192"/>
        <v>0</v>
      </c>
      <c r="AJ280">
        <f t="shared" si="193"/>
        <v>0</v>
      </c>
      <c r="AK280">
        <v>87.13</v>
      </c>
      <c r="AL280">
        <v>87.13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70</v>
      </c>
      <c r="AU280">
        <v>10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3</v>
      </c>
      <c r="BI280">
        <v>4</v>
      </c>
      <c r="BJ280" t="s">
        <v>3</v>
      </c>
      <c r="BM280">
        <v>0</v>
      </c>
      <c r="BN280">
        <v>0</v>
      </c>
      <c r="BO280" t="s">
        <v>3</v>
      </c>
      <c r="BP280">
        <v>0</v>
      </c>
      <c r="BQ280">
        <v>1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10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94"/>
        <v>2881.82</v>
      </c>
      <c r="CQ280">
        <f t="shared" si="195"/>
        <v>87.13</v>
      </c>
      <c r="CR280">
        <f t="shared" si="196"/>
        <v>0</v>
      </c>
      <c r="CS280">
        <f t="shared" si="197"/>
        <v>0</v>
      </c>
      <c r="CT280">
        <f t="shared" si="198"/>
        <v>0</v>
      </c>
      <c r="CU280">
        <f t="shared" si="199"/>
        <v>0</v>
      </c>
      <c r="CV280">
        <f t="shared" si="200"/>
        <v>0</v>
      </c>
      <c r="CW280">
        <f t="shared" si="201"/>
        <v>0</v>
      </c>
      <c r="CX280">
        <f t="shared" si="202"/>
        <v>0</v>
      </c>
      <c r="CY280">
        <f t="shared" si="203"/>
        <v>0</v>
      </c>
      <c r="CZ280">
        <f t="shared" si="204"/>
        <v>0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1003</v>
      </c>
      <c r="DV280" t="s">
        <v>49</v>
      </c>
      <c r="DW280" t="s">
        <v>49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75371444</v>
      </c>
      <c r="EF280">
        <v>1</v>
      </c>
      <c r="EG280" t="s">
        <v>22</v>
      </c>
      <c r="EH280">
        <v>0</v>
      </c>
      <c r="EI280" t="s">
        <v>3</v>
      </c>
      <c r="EJ280">
        <v>4</v>
      </c>
      <c r="EK280">
        <v>0</v>
      </c>
      <c r="EL280" t="s">
        <v>23</v>
      </c>
      <c r="EM280" t="s">
        <v>24</v>
      </c>
      <c r="EO280" t="s">
        <v>3</v>
      </c>
      <c r="EQ280">
        <v>0</v>
      </c>
      <c r="ER280">
        <v>87.13</v>
      </c>
      <c r="ES280">
        <v>87.13</v>
      </c>
      <c r="ET280">
        <v>0</v>
      </c>
      <c r="EU280">
        <v>0</v>
      </c>
      <c r="EV280">
        <v>0</v>
      </c>
      <c r="EW280">
        <v>0</v>
      </c>
      <c r="EX280">
        <v>0</v>
      </c>
      <c r="EZ280">
        <v>5</v>
      </c>
      <c r="FC280">
        <v>1</v>
      </c>
      <c r="FD280">
        <v>18</v>
      </c>
      <c r="FF280">
        <v>104.55</v>
      </c>
      <c r="FQ280">
        <v>0</v>
      </c>
      <c r="FR280">
        <f t="shared" si="205"/>
        <v>0</v>
      </c>
      <c r="FS280">
        <v>0</v>
      </c>
      <c r="FX280">
        <v>70</v>
      </c>
      <c r="FY280">
        <v>10</v>
      </c>
      <c r="GA280" t="s">
        <v>50</v>
      </c>
      <c r="GD280">
        <v>0</v>
      </c>
      <c r="GF280">
        <v>1643166817</v>
      </c>
      <c r="GG280">
        <v>2</v>
      </c>
      <c r="GH280">
        <v>3</v>
      </c>
      <c r="GI280">
        <v>-2</v>
      </c>
      <c r="GJ280">
        <v>0</v>
      </c>
      <c r="GK280">
        <f>ROUND(R280*(R12)/100,2)</f>
        <v>0</v>
      </c>
      <c r="GL280">
        <f t="shared" si="206"/>
        <v>0</v>
      </c>
      <c r="GM280">
        <f t="shared" si="207"/>
        <v>2881.82</v>
      </c>
      <c r="GN280">
        <f t="shared" si="208"/>
        <v>0</v>
      </c>
      <c r="GO280">
        <f t="shared" si="209"/>
        <v>0</v>
      </c>
      <c r="GP280">
        <f t="shared" si="210"/>
        <v>2881.82</v>
      </c>
      <c r="GR280">
        <v>1</v>
      </c>
      <c r="GS280">
        <v>1</v>
      </c>
      <c r="GT280">
        <v>0</v>
      </c>
      <c r="GU280" t="s">
        <v>3</v>
      </c>
      <c r="GV280">
        <f t="shared" si="211"/>
        <v>0</v>
      </c>
      <c r="GW280">
        <v>1</v>
      </c>
      <c r="GX280">
        <f t="shared" si="212"/>
        <v>0</v>
      </c>
      <c r="HA280">
        <v>0</v>
      </c>
      <c r="HB280">
        <v>0</v>
      </c>
      <c r="HC280">
        <f t="shared" si="213"/>
        <v>0</v>
      </c>
      <c r="HE280" t="s">
        <v>51</v>
      </c>
      <c r="HF280" t="s">
        <v>51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18</v>
      </c>
      <c r="B281">
        <v>1</v>
      </c>
      <c r="C281">
        <v>98</v>
      </c>
      <c r="E281" t="s">
        <v>237</v>
      </c>
      <c r="F281" t="s">
        <v>53</v>
      </c>
      <c r="G281" t="s">
        <v>54</v>
      </c>
      <c r="H281" t="s">
        <v>49</v>
      </c>
      <c r="I281">
        <f>I279*J281</f>
        <v>-33.075000000000003</v>
      </c>
      <c r="J281">
        <v>-105.00000000000001</v>
      </c>
      <c r="K281">
        <v>-105</v>
      </c>
      <c r="O281">
        <f t="shared" si="174"/>
        <v>-1233.3699999999999</v>
      </c>
      <c r="P281">
        <f t="shared" si="175"/>
        <v>-1233.3699999999999</v>
      </c>
      <c r="Q281">
        <f t="shared" si="176"/>
        <v>0</v>
      </c>
      <c r="R281">
        <f t="shared" si="177"/>
        <v>0</v>
      </c>
      <c r="S281">
        <f t="shared" si="178"/>
        <v>0</v>
      </c>
      <c r="T281">
        <f t="shared" si="179"/>
        <v>0</v>
      </c>
      <c r="U281">
        <f t="shared" si="180"/>
        <v>0</v>
      </c>
      <c r="V281">
        <f t="shared" si="181"/>
        <v>0</v>
      </c>
      <c r="W281">
        <f t="shared" si="182"/>
        <v>0</v>
      </c>
      <c r="X281">
        <f t="shared" si="183"/>
        <v>0</v>
      </c>
      <c r="Y281">
        <f t="shared" si="184"/>
        <v>0</v>
      </c>
      <c r="AA281">
        <v>75700856</v>
      </c>
      <c r="AB281">
        <f t="shared" si="185"/>
        <v>37.29</v>
      </c>
      <c r="AC281">
        <f t="shared" si="186"/>
        <v>37.29</v>
      </c>
      <c r="AD281">
        <f t="shared" si="187"/>
        <v>0</v>
      </c>
      <c r="AE281">
        <f t="shared" si="188"/>
        <v>0</v>
      </c>
      <c r="AF281">
        <f t="shared" si="189"/>
        <v>0</v>
      </c>
      <c r="AG281">
        <f t="shared" si="190"/>
        <v>0</v>
      </c>
      <c r="AH281">
        <f t="shared" si="191"/>
        <v>0</v>
      </c>
      <c r="AI281">
        <f t="shared" si="192"/>
        <v>0</v>
      </c>
      <c r="AJ281">
        <f t="shared" si="193"/>
        <v>0</v>
      </c>
      <c r="AK281">
        <v>37.29</v>
      </c>
      <c r="AL281">
        <v>37.29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70</v>
      </c>
      <c r="AU281">
        <v>10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3</v>
      </c>
      <c r="BI281">
        <v>4</v>
      </c>
      <c r="BJ281" t="s">
        <v>55</v>
      </c>
      <c r="BM281">
        <v>0</v>
      </c>
      <c r="BN281">
        <v>75371441</v>
      </c>
      <c r="BO281" t="s">
        <v>3</v>
      </c>
      <c r="BP281">
        <v>0</v>
      </c>
      <c r="BQ281">
        <v>1</v>
      </c>
      <c r="BR281">
        <v>1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10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94"/>
        <v>-1233.3699999999999</v>
      </c>
      <c r="CQ281">
        <f t="shared" si="195"/>
        <v>37.29</v>
      </c>
      <c r="CR281">
        <f t="shared" si="196"/>
        <v>0</v>
      </c>
      <c r="CS281">
        <f t="shared" si="197"/>
        <v>0</v>
      </c>
      <c r="CT281">
        <f t="shared" si="198"/>
        <v>0</v>
      </c>
      <c r="CU281">
        <f t="shared" si="199"/>
        <v>0</v>
      </c>
      <c r="CV281">
        <f t="shared" si="200"/>
        <v>0</v>
      </c>
      <c r="CW281">
        <f t="shared" si="201"/>
        <v>0</v>
      </c>
      <c r="CX281">
        <f t="shared" si="202"/>
        <v>0</v>
      </c>
      <c r="CY281">
        <f t="shared" si="203"/>
        <v>0</v>
      </c>
      <c r="CZ281">
        <f t="shared" si="204"/>
        <v>0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1003</v>
      </c>
      <c r="DV281" t="s">
        <v>49</v>
      </c>
      <c r="DW281" t="s">
        <v>49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75371444</v>
      </c>
      <c r="EF281">
        <v>1</v>
      </c>
      <c r="EG281" t="s">
        <v>22</v>
      </c>
      <c r="EH281">
        <v>0</v>
      </c>
      <c r="EI281" t="s">
        <v>3</v>
      </c>
      <c r="EJ281">
        <v>4</v>
      </c>
      <c r="EK281">
        <v>0</v>
      </c>
      <c r="EL281" t="s">
        <v>23</v>
      </c>
      <c r="EM281" t="s">
        <v>24</v>
      </c>
      <c r="EO281" t="s">
        <v>3</v>
      </c>
      <c r="EQ281">
        <v>32768</v>
      </c>
      <c r="ER281">
        <v>37.29</v>
      </c>
      <c r="ES281">
        <v>37.29</v>
      </c>
      <c r="ET281">
        <v>0</v>
      </c>
      <c r="EU281">
        <v>0</v>
      </c>
      <c r="EV281">
        <v>0</v>
      </c>
      <c r="EW281">
        <v>0</v>
      </c>
      <c r="EX281">
        <v>0</v>
      </c>
      <c r="FQ281">
        <v>0</v>
      </c>
      <c r="FR281">
        <f t="shared" si="205"/>
        <v>0</v>
      </c>
      <c r="FS281">
        <v>0</v>
      </c>
      <c r="FX281">
        <v>70</v>
      </c>
      <c r="FY281">
        <v>10</v>
      </c>
      <c r="GA281" t="s">
        <v>3</v>
      </c>
      <c r="GD281">
        <v>0</v>
      </c>
      <c r="GF281">
        <v>-621127235</v>
      </c>
      <c r="GG281">
        <v>2</v>
      </c>
      <c r="GH281">
        <v>1</v>
      </c>
      <c r="GI281">
        <v>-2</v>
      </c>
      <c r="GJ281">
        <v>0</v>
      </c>
      <c r="GK281">
        <f>ROUND(R281*(R12)/100,2)</f>
        <v>0</v>
      </c>
      <c r="GL281">
        <f t="shared" si="206"/>
        <v>0</v>
      </c>
      <c r="GM281">
        <f t="shared" si="207"/>
        <v>-1233.3699999999999</v>
      </c>
      <c r="GN281">
        <f t="shared" si="208"/>
        <v>0</v>
      </c>
      <c r="GO281">
        <f t="shared" si="209"/>
        <v>0</v>
      </c>
      <c r="GP281">
        <f t="shared" si="210"/>
        <v>-1233.3699999999999</v>
      </c>
      <c r="GR281">
        <v>0</v>
      </c>
      <c r="GS281">
        <v>3</v>
      </c>
      <c r="GT281">
        <v>0</v>
      </c>
      <c r="GU281" t="s">
        <v>3</v>
      </c>
      <c r="GV281">
        <f t="shared" si="211"/>
        <v>0</v>
      </c>
      <c r="GW281">
        <v>1</v>
      </c>
      <c r="GX281">
        <f t="shared" si="212"/>
        <v>0</v>
      </c>
      <c r="HA281">
        <v>0</v>
      </c>
      <c r="HB281">
        <v>0</v>
      </c>
      <c r="HC281">
        <f t="shared" si="213"/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1</v>
      </c>
      <c r="C282">
        <f>ROW(SmtRes!A102)</f>
        <v>102</v>
      </c>
      <c r="D282">
        <f>ROW(EtalonRes!A90)</f>
        <v>90</v>
      </c>
      <c r="E282" t="s">
        <v>238</v>
      </c>
      <c r="F282" t="s">
        <v>57</v>
      </c>
      <c r="G282" t="s">
        <v>58</v>
      </c>
      <c r="H282" t="s">
        <v>32</v>
      </c>
      <c r="I282">
        <f>ROUND(1.58/100,9)</f>
        <v>1.5800000000000002E-2</v>
      </c>
      <c r="J282">
        <v>0</v>
      </c>
      <c r="K282">
        <f>ROUND(1.58/100,9)</f>
        <v>1.5800000000000002E-2</v>
      </c>
      <c r="O282">
        <f t="shared" si="174"/>
        <v>194.08</v>
      </c>
      <c r="P282">
        <f t="shared" si="175"/>
        <v>81.3</v>
      </c>
      <c r="Q282">
        <f t="shared" si="176"/>
        <v>0</v>
      </c>
      <c r="R282">
        <f t="shared" si="177"/>
        <v>0</v>
      </c>
      <c r="S282">
        <f t="shared" si="178"/>
        <v>112.78</v>
      </c>
      <c r="T282">
        <f t="shared" si="179"/>
        <v>0</v>
      </c>
      <c r="U282">
        <f t="shared" si="180"/>
        <v>0.20350400000000005</v>
      </c>
      <c r="V282">
        <f t="shared" si="181"/>
        <v>0</v>
      </c>
      <c r="W282">
        <f t="shared" si="182"/>
        <v>0</v>
      </c>
      <c r="X282">
        <f t="shared" si="183"/>
        <v>78.95</v>
      </c>
      <c r="Y282">
        <f t="shared" si="184"/>
        <v>11.28</v>
      </c>
      <c r="AA282">
        <v>75700856</v>
      </c>
      <c r="AB282">
        <f t="shared" si="185"/>
        <v>12283.96</v>
      </c>
      <c r="AC282">
        <f t="shared" si="186"/>
        <v>5145.8599999999997</v>
      </c>
      <c r="AD282">
        <f t="shared" si="187"/>
        <v>0</v>
      </c>
      <c r="AE282">
        <f t="shared" si="188"/>
        <v>0</v>
      </c>
      <c r="AF282">
        <f t="shared" si="189"/>
        <v>7138.1</v>
      </c>
      <c r="AG282">
        <f t="shared" si="190"/>
        <v>0</v>
      </c>
      <c r="AH282">
        <f t="shared" si="191"/>
        <v>12.88</v>
      </c>
      <c r="AI282">
        <f t="shared" si="192"/>
        <v>0</v>
      </c>
      <c r="AJ282">
        <f t="shared" si="193"/>
        <v>0</v>
      </c>
      <c r="AK282">
        <v>12283.96</v>
      </c>
      <c r="AL282">
        <v>5145.8599999999997</v>
      </c>
      <c r="AM282">
        <v>0</v>
      </c>
      <c r="AN282">
        <v>0</v>
      </c>
      <c r="AO282">
        <v>7138.1</v>
      </c>
      <c r="AP282">
        <v>0</v>
      </c>
      <c r="AQ282">
        <v>12.88</v>
      </c>
      <c r="AR282">
        <v>0</v>
      </c>
      <c r="AS282">
        <v>0</v>
      </c>
      <c r="AT282">
        <v>70</v>
      </c>
      <c r="AU282">
        <v>10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59</v>
      </c>
      <c r="BM282">
        <v>0</v>
      </c>
      <c r="BN282">
        <v>75371441</v>
      </c>
      <c r="BO282" t="s">
        <v>3</v>
      </c>
      <c r="BP282">
        <v>0</v>
      </c>
      <c r="BQ282">
        <v>1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10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94"/>
        <v>194.07999999999998</v>
      </c>
      <c r="CQ282">
        <f t="shared" si="195"/>
        <v>5145.8599999999997</v>
      </c>
      <c r="CR282">
        <f t="shared" si="196"/>
        <v>0</v>
      </c>
      <c r="CS282">
        <f t="shared" si="197"/>
        <v>0</v>
      </c>
      <c r="CT282">
        <f t="shared" si="198"/>
        <v>7138.1</v>
      </c>
      <c r="CU282">
        <f t="shared" si="199"/>
        <v>0</v>
      </c>
      <c r="CV282">
        <f t="shared" si="200"/>
        <v>12.88</v>
      </c>
      <c r="CW282">
        <f t="shared" si="201"/>
        <v>0</v>
      </c>
      <c r="CX282">
        <f t="shared" si="202"/>
        <v>0</v>
      </c>
      <c r="CY282">
        <f t="shared" si="203"/>
        <v>78.945999999999998</v>
      </c>
      <c r="CZ282">
        <f t="shared" si="204"/>
        <v>11.277999999999999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1005</v>
      </c>
      <c r="DV282" t="s">
        <v>32</v>
      </c>
      <c r="DW282" t="s">
        <v>32</v>
      </c>
      <c r="DX282">
        <v>100</v>
      </c>
      <c r="DZ282" t="s">
        <v>3</v>
      </c>
      <c r="EA282" t="s">
        <v>3</v>
      </c>
      <c r="EB282" t="s">
        <v>3</v>
      </c>
      <c r="EC282" t="s">
        <v>3</v>
      </c>
      <c r="EE282">
        <v>75371444</v>
      </c>
      <c r="EF282">
        <v>1</v>
      </c>
      <c r="EG282" t="s">
        <v>22</v>
      </c>
      <c r="EH282">
        <v>0</v>
      </c>
      <c r="EI282" t="s">
        <v>3</v>
      </c>
      <c r="EJ282">
        <v>4</v>
      </c>
      <c r="EK282">
        <v>0</v>
      </c>
      <c r="EL282" t="s">
        <v>23</v>
      </c>
      <c r="EM282" t="s">
        <v>24</v>
      </c>
      <c r="EO282" t="s">
        <v>3</v>
      </c>
      <c r="EQ282">
        <v>0</v>
      </c>
      <c r="ER282">
        <v>12283.96</v>
      </c>
      <c r="ES282">
        <v>5145.8599999999997</v>
      </c>
      <c r="ET282">
        <v>0</v>
      </c>
      <c r="EU282">
        <v>0</v>
      </c>
      <c r="EV282">
        <v>7138.1</v>
      </c>
      <c r="EW282">
        <v>12.88</v>
      </c>
      <c r="EX282">
        <v>0</v>
      </c>
      <c r="EY282">
        <v>0</v>
      </c>
      <c r="FQ282">
        <v>0</v>
      </c>
      <c r="FR282">
        <f t="shared" si="205"/>
        <v>0</v>
      </c>
      <c r="FS282">
        <v>0</v>
      </c>
      <c r="FX282">
        <v>70</v>
      </c>
      <c r="FY282">
        <v>10</v>
      </c>
      <c r="GA282" t="s">
        <v>3</v>
      </c>
      <c r="GD282">
        <v>0</v>
      </c>
      <c r="GF282">
        <v>-1550398421</v>
      </c>
      <c r="GG282">
        <v>2</v>
      </c>
      <c r="GH282">
        <v>1</v>
      </c>
      <c r="GI282">
        <v>-2</v>
      </c>
      <c r="GJ282">
        <v>0</v>
      </c>
      <c r="GK282">
        <f>ROUND(R282*(R12)/100,2)</f>
        <v>0</v>
      </c>
      <c r="GL282">
        <f t="shared" si="206"/>
        <v>0</v>
      </c>
      <c r="GM282">
        <f t="shared" si="207"/>
        <v>284.31</v>
      </c>
      <c r="GN282">
        <f t="shared" si="208"/>
        <v>0</v>
      </c>
      <c r="GO282">
        <f t="shared" si="209"/>
        <v>0</v>
      </c>
      <c r="GP282">
        <f t="shared" si="210"/>
        <v>284.31</v>
      </c>
      <c r="GR282">
        <v>0</v>
      </c>
      <c r="GS282">
        <v>3</v>
      </c>
      <c r="GT282">
        <v>0</v>
      </c>
      <c r="GU282" t="s">
        <v>3</v>
      </c>
      <c r="GV282">
        <f t="shared" si="211"/>
        <v>0</v>
      </c>
      <c r="GW282">
        <v>1</v>
      </c>
      <c r="GX282">
        <f t="shared" si="212"/>
        <v>0</v>
      </c>
      <c r="HA282">
        <v>0</v>
      </c>
      <c r="HB282">
        <v>0</v>
      </c>
      <c r="HC282">
        <f t="shared" si="213"/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18</v>
      </c>
      <c r="B283">
        <v>1</v>
      </c>
      <c r="C283">
        <v>102</v>
      </c>
      <c r="E283" t="s">
        <v>239</v>
      </c>
      <c r="F283" t="s">
        <v>61</v>
      </c>
      <c r="G283" t="s">
        <v>62</v>
      </c>
      <c r="H283" t="s">
        <v>63</v>
      </c>
      <c r="I283">
        <f>I282*J283</f>
        <v>0.39500000000000002</v>
      </c>
      <c r="J283">
        <v>25</v>
      </c>
      <c r="K283">
        <v>25</v>
      </c>
      <c r="O283">
        <f t="shared" si="174"/>
        <v>122.22</v>
      </c>
      <c r="P283">
        <f t="shared" si="175"/>
        <v>122.22</v>
      </c>
      <c r="Q283">
        <f t="shared" si="176"/>
        <v>0</v>
      </c>
      <c r="R283">
        <f t="shared" si="177"/>
        <v>0</v>
      </c>
      <c r="S283">
        <f t="shared" si="178"/>
        <v>0</v>
      </c>
      <c r="T283">
        <f t="shared" si="179"/>
        <v>0</v>
      </c>
      <c r="U283">
        <f t="shared" si="180"/>
        <v>0</v>
      </c>
      <c r="V283">
        <f t="shared" si="181"/>
        <v>0</v>
      </c>
      <c r="W283">
        <f t="shared" si="182"/>
        <v>0</v>
      </c>
      <c r="X283">
        <f t="shared" si="183"/>
        <v>0</v>
      </c>
      <c r="Y283">
        <f t="shared" si="184"/>
        <v>0</v>
      </c>
      <c r="AA283">
        <v>75700856</v>
      </c>
      <c r="AB283">
        <f t="shared" si="185"/>
        <v>309.42</v>
      </c>
      <c r="AC283">
        <f t="shared" si="186"/>
        <v>309.42</v>
      </c>
      <c r="AD283">
        <f t="shared" si="187"/>
        <v>0</v>
      </c>
      <c r="AE283">
        <f t="shared" si="188"/>
        <v>0</v>
      </c>
      <c r="AF283">
        <f t="shared" si="189"/>
        <v>0</v>
      </c>
      <c r="AG283">
        <f t="shared" si="190"/>
        <v>0</v>
      </c>
      <c r="AH283">
        <f t="shared" si="191"/>
        <v>0</v>
      </c>
      <c r="AI283">
        <f t="shared" si="192"/>
        <v>0</v>
      </c>
      <c r="AJ283">
        <f t="shared" si="193"/>
        <v>0</v>
      </c>
      <c r="AK283">
        <v>309.42</v>
      </c>
      <c r="AL283">
        <v>309.42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70</v>
      </c>
      <c r="AU283">
        <v>10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3</v>
      </c>
      <c r="BI283">
        <v>4</v>
      </c>
      <c r="BJ283" t="s">
        <v>64</v>
      </c>
      <c r="BM283">
        <v>0</v>
      </c>
      <c r="BN283">
        <v>75371441</v>
      </c>
      <c r="BO283" t="s">
        <v>3</v>
      </c>
      <c r="BP283">
        <v>0</v>
      </c>
      <c r="BQ283">
        <v>1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10</v>
      </c>
      <c r="CB283" t="s">
        <v>3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194"/>
        <v>122.22</v>
      </c>
      <c r="CQ283">
        <f t="shared" si="195"/>
        <v>309.42</v>
      </c>
      <c r="CR283">
        <f t="shared" si="196"/>
        <v>0</v>
      </c>
      <c r="CS283">
        <f t="shared" si="197"/>
        <v>0</v>
      </c>
      <c r="CT283">
        <f t="shared" si="198"/>
        <v>0</v>
      </c>
      <c r="CU283">
        <f t="shared" si="199"/>
        <v>0</v>
      </c>
      <c r="CV283">
        <f t="shared" si="200"/>
        <v>0</v>
      </c>
      <c r="CW283">
        <f t="shared" si="201"/>
        <v>0</v>
      </c>
      <c r="CX283">
        <f t="shared" si="202"/>
        <v>0</v>
      </c>
      <c r="CY283">
        <f t="shared" si="203"/>
        <v>0</v>
      </c>
      <c r="CZ283">
        <f t="shared" si="204"/>
        <v>0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1009</v>
      </c>
      <c r="DV283" t="s">
        <v>63</v>
      </c>
      <c r="DW283" t="s">
        <v>63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75371444</v>
      </c>
      <c r="EF283">
        <v>1</v>
      </c>
      <c r="EG283" t="s">
        <v>22</v>
      </c>
      <c r="EH283">
        <v>0</v>
      </c>
      <c r="EI283" t="s">
        <v>3</v>
      </c>
      <c r="EJ283">
        <v>4</v>
      </c>
      <c r="EK283">
        <v>0</v>
      </c>
      <c r="EL283" t="s">
        <v>23</v>
      </c>
      <c r="EM283" t="s">
        <v>24</v>
      </c>
      <c r="EO283" t="s">
        <v>3</v>
      </c>
      <c r="EQ283">
        <v>0</v>
      </c>
      <c r="ER283">
        <v>309.42</v>
      </c>
      <c r="ES283">
        <v>309.42</v>
      </c>
      <c r="ET283">
        <v>0</v>
      </c>
      <c r="EU283">
        <v>0</v>
      </c>
      <c r="EV283">
        <v>0</v>
      </c>
      <c r="EW283">
        <v>0</v>
      </c>
      <c r="EX283">
        <v>0</v>
      </c>
      <c r="FQ283">
        <v>0</v>
      </c>
      <c r="FR283">
        <f t="shared" si="205"/>
        <v>0</v>
      </c>
      <c r="FS283">
        <v>0</v>
      </c>
      <c r="FX283">
        <v>70</v>
      </c>
      <c r="FY283">
        <v>10</v>
      </c>
      <c r="GA283" t="s">
        <v>3</v>
      </c>
      <c r="GD283">
        <v>0</v>
      </c>
      <c r="GF283">
        <v>1429785642</v>
      </c>
      <c r="GG283">
        <v>2</v>
      </c>
      <c r="GH283">
        <v>1</v>
      </c>
      <c r="GI283">
        <v>-2</v>
      </c>
      <c r="GJ283">
        <v>0</v>
      </c>
      <c r="GK283">
        <f>ROUND(R283*(R12)/100,2)</f>
        <v>0</v>
      </c>
      <c r="GL283">
        <f t="shared" si="206"/>
        <v>0</v>
      </c>
      <c r="GM283">
        <f t="shared" si="207"/>
        <v>122.22</v>
      </c>
      <c r="GN283">
        <f t="shared" si="208"/>
        <v>0</v>
      </c>
      <c r="GO283">
        <f t="shared" si="209"/>
        <v>0</v>
      </c>
      <c r="GP283">
        <f t="shared" si="210"/>
        <v>122.22</v>
      </c>
      <c r="GR283">
        <v>0</v>
      </c>
      <c r="GS283">
        <v>3</v>
      </c>
      <c r="GT283">
        <v>0</v>
      </c>
      <c r="GU283" t="s">
        <v>3</v>
      </c>
      <c r="GV283">
        <f t="shared" si="211"/>
        <v>0</v>
      </c>
      <c r="GW283">
        <v>1</v>
      </c>
      <c r="GX283">
        <f t="shared" si="212"/>
        <v>0</v>
      </c>
      <c r="HA283">
        <v>0</v>
      </c>
      <c r="HB283">
        <v>0</v>
      </c>
      <c r="HC283">
        <f t="shared" si="213"/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18</v>
      </c>
      <c r="B284">
        <v>1</v>
      </c>
      <c r="C284">
        <v>101</v>
      </c>
      <c r="E284" t="s">
        <v>240</v>
      </c>
      <c r="F284" t="s">
        <v>66</v>
      </c>
      <c r="G284" t="s">
        <v>67</v>
      </c>
      <c r="H284" t="s">
        <v>68</v>
      </c>
      <c r="I284">
        <f>I282*J284</f>
        <v>-3.2899999999999997E-4</v>
      </c>
      <c r="J284">
        <v>-2.0822784810126577E-2</v>
      </c>
      <c r="K284">
        <v>-2.0799999999999999E-2</v>
      </c>
      <c r="O284">
        <f t="shared" si="174"/>
        <v>-81.39</v>
      </c>
      <c r="P284">
        <f t="shared" si="175"/>
        <v>-81.39</v>
      </c>
      <c r="Q284">
        <f t="shared" si="176"/>
        <v>0</v>
      </c>
      <c r="R284">
        <f t="shared" si="177"/>
        <v>0</v>
      </c>
      <c r="S284">
        <f t="shared" si="178"/>
        <v>0</v>
      </c>
      <c r="T284">
        <f t="shared" si="179"/>
        <v>0</v>
      </c>
      <c r="U284">
        <f t="shared" si="180"/>
        <v>0</v>
      </c>
      <c r="V284">
        <f t="shared" si="181"/>
        <v>0</v>
      </c>
      <c r="W284">
        <f t="shared" si="182"/>
        <v>0</v>
      </c>
      <c r="X284">
        <f t="shared" si="183"/>
        <v>0</v>
      </c>
      <c r="Y284">
        <f t="shared" si="184"/>
        <v>0</v>
      </c>
      <c r="AA284">
        <v>75700856</v>
      </c>
      <c r="AB284">
        <f t="shared" si="185"/>
        <v>247397.04</v>
      </c>
      <c r="AC284">
        <f t="shared" si="186"/>
        <v>247397.04</v>
      </c>
      <c r="AD284">
        <f t="shared" si="187"/>
        <v>0</v>
      </c>
      <c r="AE284">
        <f t="shared" si="188"/>
        <v>0</v>
      </c>
      <c r="AF284">
        <f t="shared" si="189"/>
        <v>0</v>
      </c>
      <c r="AG284">
        <f t="shared" si="190"/>
        <v>0</v>
      </c>
      <c r="AH284">
        <f t="shared" si="191"/>
        <v>0</v>
      </c>
      <c r="AI284">
        <f t="shared" si="192"/>
        <v>0</v>
      </c>
      <c r="AJ284">
        <f t="shared" si="193"/>
        <v>0</v>
      </c>
      <c r="AK284">
        <v>247397.04</v>
      </c>
      <c r="AL284">
        <v>247397.04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70</v>
      </c>
      <c r="AU284">
        <v>10</v>
      </c>
      <c r="AV284">
        <v>1</v>
      </c>
      <c r="AW284">
        <v>1</v>
      </c>
      <c r="AZ284">
        <v>1</v>
      </c>
      <c r="BA284">
        <v>1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3</v>
      </c>
      <c r="BI284">
        <v>4</v>
      </c>
      <c r="BJ284" t="s">
        <v>69</v>
      </c>
      <c r="BM284">
        <v>0</v>
      </c>
      <c r="BN284">
        <v>75371441</v>
      </c>
      <c r="BO284" t="s">
        <v>3</v>
      </c>
      <c r="BP284">
        <v>0</v>
      </c>
      <c r="BQ284">
        <v>1</v>
      </c>
      <c r="BR284">
        <v>1</v>
      </c>
      <c r="BS284">
        <v>1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10</v>
      </c>
      <c r="CB284" t="s">
        <v>3</v>
      </c>
      <c r="CE284">
        <v>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194"/>
        <v>-81.39</v>
      </c>
      <c r="CQ284">
        <f t="shared" si="195"/>
        <v>247397.04</v>
      </c>
      <c r="CR284">
        <f t="shared" si="196"/>
        <v>0</v>
      </c>
      <c r="CS284">
        <f t="shared" si="197"/>
        <v>0</v>
      </c>
      <c r="CT284">
        <f t="shared" si="198"/>
        <v>0</v>
      </c>
      <c r="CU284">
        <f t="shared" si="199"/>
        <v>0</v>
      </c>
      <c r="CV284">
        <f t="shared" si="200"/>
        <v>0</v>
      </c>
      <c r="CW284">
        <f t="shared" si="201"/>
        <v>0</v>
      </c>
      <c r="CX284">
        <f t="shared" si="202"/>
        <v>0</v>
      </c>
      <c r="CY284">
        <f t="shared" si="203"/>
        <v>0</v>
      </c>
      <c r="CZ284">
        <f t="shared" si="204"/>
        <v>0</v>
      </c>
      <c r="DC284" t="s">
        <v>3</v>
      </c>
      <c r="DD284" t="s">
        <v>3</v>
      </c>
      <c r="DE284" t="s">
        <v>3</v>
      </c>
      <c r="DF284" t="s">
        <v>3</v>
      </c>
      <c r="DG284" t="s">
        <v>3</v>
      </c>
      <c r="DH284" t="s">
        <v>3</v>
      </c>
      <c r="DI284" t="s">
        <v>3</v>
      </c>
      <c r="DJ284" t="s">
        <v>3</v>
      </c>
      <c r="DK284" t="s">
        <v>3</v>
      </c>
      <c r="DL284" t="s">
        <v>3</v>
      </c>
      <c r="DM284" t="s">
        <v>3</v>
      </c>
      <c r="DN284">
        <v>0</v>
      </c>
      <c r="DO284">
        <v>0</v>
      </c>
      <c r="DP284">
        <v>1</v>
      </c>
      <c r="DQ284">
        <v>1</v>
      </c>
      <c r="DU284">
        <v>1009</v>
      </c>
      <c r="DV284" t="s">
        <v>68</v>
      </c>
      <c r="DW284" t="s">
        <v>68</v>
      </c>
      <c r="DX284">
        <v>1000</v>
      </c>
      <c r="DZ284" t="s">
        <v>3</v>
      </c>
      <c r="EA284" t="s">
        <v>3</v>
      </c>
      <c r="EB284" t="s">
        <v>3</v>
      </c>
      <c r="EC284" t="s">
        <v>3</v>
      </c>
      <c r="EE284">
        <v>75371444</v>
      </c>
      <c r="EF284">
        <v>1</v>
      </c>
      <c r="EG284" t="s">
        <v>22</v>
      </c>
      <c r="EH284">
        <v>0</v>
      </c>
      <c r="EI284" t="s">
        <v>3</v>
      </c>
      <c r="EJ284">
        <v>4</v>
      </c>
      <c r="EK284">
        <v>0</v>
      </c>
      <c r="EL284" t="s">
        <v>23</v>
      </c>
      <c r="EM284" t="s">
        <v>24</v>
      </c>
      <c r="EO284" t="s">
        <v>3</v>
      </c>
      <c r="EQ284">
        <v>32768</v>
      </c>
      <c r="ER284">
        <v>247397.04</v>
      </c>
      <c r="ES284">
        <v>247397.04</v>
      </c>
      <c r="ET284">
        <v>0</v>
      </c>
      <c r="EU284">
        <v>0</v>
      </c>
      <c r="EV284">
        <v>0</v>
      </c>
      <c r="EW284">
        <v>0</v>
      </c>
      <c r="EX284">
        <v>0</v>
      </c>
      <c r="FQ284">
        <v>0</v>
      </c>
      <c r="FR284">
        <f t="shared" si="205"/>
        <v>0</v>
      </c>
      <c r="FS284">
        <v>0</v>
      </c>
      <c r="FX284">
        <v>70</v>
      </c>
      <c r="FY284">
        <v>10</v>
      </c>
      <c r="GA284" t="s">
        <v>3</v>
      </c>
      <c r="GD284">
        <v>0</v>
      </c>
      <c r="GF284">
        <v>-1906236598</v>
      </c>
      <c r="GG284">
        <v>2</v>
      </c>
      <c r="GH284">
        <v>1</v>
      </c>
      <c r="GI284">
        <v>-2</v>
      </c>
      <c r="GJ284">
        <v>0</v>
      </c>
      <c r="GK284">
        <f>ROUND(R284*(R12)/100,2)</f>
        <v>0</v>
      </c>
      <c r="GL284">
        <f t="shared" si="206"/>
        <v>0</v>
      </c>
      <c r="GM284">
        <f t="shared" si="207"/>
        <v>-81.39</v>
      </c>
      <c r="GN284">
        <f t="shared" si="208"/>
        <v>0</v>
      </c>
      <c r="GO284">
        <f t="shared" si="209"/>
        <v>0</v>
      </c>
      <c r="GP284">
        <f t="shared" si="210"/>
        <v>-81.39</v>
      </c>
      <c r="GR284">
        <v>0</v>
      </c>
      <c r="GS284">
        <v>3</v>
      </c>
      <c r="GT284">
        <v>0</v>
      </c>
      <c r="GU284" t="s">
        <v>3</v>
      </c>
      <c r="GV284">
        <f t="shared" si="211"/>
        <v>0</v>
      </c>
      <c r="GW284">
        <v>1</v>
      </c>
      <c r="GX284">
        <f t="shared" si="212"/>
        <v>0</v>
      </c>
      <c r="HA284">
        <v>0</v>
      </c>
      <c r="HB284">
        <v>0</v>
      </c>
      <c r="HC284">
        <f t="shared" si="213"/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5" spans="1:245" x14ac:dyDescent="0.2">
      <c r="A285">
        <v>17</v>
      </c>
      <c r="B285">
        <v>1</v>
      </c>
      <c r="C285">
        <f>ROW(SmtRes!A108)</f>
        <v>108</v>
      </c>
      <c r="D285">
        <f>ROW(EtalonRes!A96)</f>
        <v>96</v>
      </c>
      <c r="E285" t="s">
        <v>241</v>
      </c>
      <c r="F285" t="s">
        <v>71</v>
      </c>
      <c r="G285" t="s">
        <v>72</v>
      </c>
      <c r="H285" t="s">
        <v>20</v>
      </c>
      <c r="I285">
        <f>ROUND(0.9/100,9)</f>
        <v>8.9999999999999993E-3</v>
      </c>
      <c r="J285">
        <v>0</v>
      </c>
      <c r="K285">
        <f>ROUND(0.9/100,9)</f>
        <v>8.9999999999999993E-3</v>
      </c>
      <c r="O285">
        <f t="shared" si="174"/>
        <v>226.82</v>
      </c>
      <c r="P285">
        <f t="shared" si="175"/>
        <v>148.29</v>
      </c>
      <c r="Q285">
        <f t="shared" si="176"/>
        <v>0.81</v>
      </c>
      <c r="R285">
        <f t="shared" si="177"/>
        <v>0.09</v>
      </c>
      <c r="S285">
        <f t="shared" si="178"/>
        <v>77.72</v>
      </c>
      <c r="T285">
        <f t="shared" si="179"/>
        <v>0</v>
      </c>
      <c r="U285">
        <f t="shared" si="180"/>
        <v>0.17226</v>
      </c>
      <c r="V285">
        <f t="shared" si="181"/>
        <v>0</v>
      </c>
      <c r="W285">
        <f t="shared" si="182"/>
        <v>0</v>
      </c>
      <c r="X285">
        <f t="shared" si="183"/>
        <v>54.4</v>
      </c>
      <c r="Y285">
        <f t="shared" si="184"/>
        <v>7.77</v>
      </c>
      <c r="AA285">
        <v>75700856</v>
      </c>
      <c r="AB285">
        <f t="shared" si="185"/>
        <v>25201.35</v>
      </c>
      <c r="AC285">
        <f t="shared" si="186"/>
        <v>16476.439999999999</v>
      </c>
      <c r="AD285">
        <f t="shared" si="187"/>
        <v>89.91</v>
      </c>
      <c r="AE285">
        <f t="shared" si="188"/>
        <v>10.32</v>
      </c>
      <c r="AF285">
        <f t="shared" si="189"/>
        <v>8635</v>
      </c>
      <c r="AG285">
        <f t="shared" si="190"/>
        <v>0</v>
      </c>
      <c r="AH285">
        <f t="shared" si="191"/>
        <v>19.14</v>
      </c>
      <c r="AI285">
        <f t="shared" si="192"/>
        <v>0</v>
      </c>
      <c r="AJ285">
        <f t="shared" si="193"/>
        <v>0</v>
      </c>
      <c r="AK285">
        <v>25201.35</v>
      </c>
      <c r="AL285">
        <v>16476.439999999999</v>
      </c>
      <c r="AM285">
        <v>89.91</v>
      </c>
      <c r="AN285">
        <v>10.32</v>
      </c>
      <c r="AO285">
        <v>8635</v>
      </c>
      <c r="AP285">
        <v>0</v>
      </c>
      <c r="AQ285">
        <v>19.14</v>
      </c>
      <c r="AR285">
        <v>0</v>
      </c>
      <c r="AS285">
        <v>0</v>
      </c>
      <c r="AT285">
        <v>70</v>
      </c>
      <c r="AU285">
        <v>10</v>
      </c>
      <c r="AV285">
        <v>1</v>
      </c>
      <c r="AW285">
        <v>1</v>
      </c>
      <c r="AZ285">
        <v>1</v>
      </c>
      <c r="BA285">
        <v>1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73</v>
      </c>
      <c r="BM285">
        <v>0</v>
      </c>
      <c r="BN285">
        <v>75371441</v>
      </c>
      <c r="BO285" t="s">
        <v>3</v>
      </c>
      <c r="BP285">
        <v>0</v>
      </c>
      <c r="BQ285">
        <v>1</v>
      </c>
      <c r="BR285">
        <v>0</v>
      </c>
      <c r="BS285">
        <v>1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10</v>
      </c>
      <c r="CB285" t="s">
        <v>3</v>
      </c>
      <c r="CE285">
        <v>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194"/>
        <v>226.82</v>
      </c>
      <c r="CQ285">
        <f t="shared" si="195"/>
        <v>16476.439999999999</v>
      </c>
      <c r="CR285">
        <f t="shared" si="196"/>
        <v>89.91</v>
      </c>
      <c r="CS285">
        <f t="shared" si="197"/>
        <v>10.32</v>
      </c>
      <c r="CT285">
        <f t="shared" si="198"/>
        <v>8635</v>
      </c>
      <c r="CU285">
        <f t="shared" si="199"/>
        <v>0</v>
      </c>
      <c r="CV285">
        <f t="shared" si="200"/>
        <v>19.14</v>
      </c>
      <c r="CW285">
        <f t="shared" si="201"/>
        <v>0</v>
      </c>
      <c r="CX285">
        <f t="shared" si="202"/>
        <v>0</v>
      </c>
      <c r="CY285">
        <f t="shared" si="203"/>
        <v>54.403999999999996</v>
      </c>
      <c r="CZ285">
        <f t="shared" si="204"/>
        <v>7.7720000000000002</v>
      </c>
      <c r="DC285" t="s">
        <v>3</v>
      </c>
      <c r="DD285" t="s">
        <v>3</v>
      </c>
      <c r="DE285" t="s">
        <v>3</v>
      </c>
      <c r="DF285" t="s">
        <v>3</v>
      </c>
      <c r="DG285" t="s">
        <v>3</v>
      </c>
      <c r="DH285" t="s">
        <v>3</v>
      </c>
      <c r="DI285" t="s">
        <v>3</v>
      </c>
      <c r="DJ285" t="s">
        <v>3</v>
      </c>
      <c r="DK285" t="s">
        <v>3</v>
      </c>
      <c r="DL285" t="s">
        <v>3</v>
      </c>
      <c r="DM285" t="s">
        <v>3</v>
      </c>
      <c r="DN285">
        <v>0</v>
      </c>
      <c r="DO285">
        <v>0</v>
      </c>
      <c r="DP285">
        <v>1</v>
      </c>
      <c r="DQ285">
        <v>1</v>
      </c>
      <c r="DU285">
        <v>1003</v>
      </c>
      <c r="DV285" t="s">
        <v>20</v>
      </c>
      <c r="DW285" t="s">
        <v>20</v>
      </c>
      <c r="DX285">
        <v>100</v>
      </c>
      <c r="DZ285" t="s">
        <v>3</v>
      </c>
      <c r="EA285" t="s">
        <v>3</v>
      </c>
      <c r="EB285" t="s">
        <v>3</v>
      </c>
      <c r="EC285" t="s">
        <v>3</v>
      </c>
      <c r="EE285">
        <v>75371444</v>
      </c>
      <c r="EF285">
        <v>1</v>
      </c>
      <c r="EG285" t="s">
        <v>22</v>
      </c>
      <c r="EH285">
        <v>0</v>
      </c>
      <c r="EI285" t="s">
        <v>3</v>
      </c>
      <c r="EJ285">
        <v>4</v>
      </c>
      <c r="EK285">
        <v>0</v>
      </c>
      <c r="EL285" t="s">
        <v>23</v>
      </c>
      <c r="EM285" t="s">
        <v>24</v>
      </c>
      <c r="EO285" t="s">
        <v>3</v>
      </c>
      <c r="EQ285">
        <v>0</v>
      </c>
      <c r="ER285">
        <v>25201.35</v>
      </c>
      <c r="ES285">
        <v>16476.439999999999</v>
      </c>
      <c r="ET285">
        <v>89.91</v>
      </c>
      <c r="EU285">
        <v>10.32</v>
      </c>
      <c r="EV285">
        <v>8635</v>
      </c>
      <c r="EW285">
        <v>19.14</v>
      </c>
      <c r="EX285">
        <v>0</v>
      </c>
      <c r="EY285">
        <v>0</v>
      </c>
      <c r="FQ285">
        <v>0</v>
      </c>
      <c r="FR285">
        <f t="shared" si="205"/>
        <v>0</v>
      </c>
      <c r="FS285">
        <v>0</v>
      </c>
      <c r="FX285">
        <v>70</v>
      </c>
      <c r="FY285">
        <v>10</v>
      </c>
      <c r="GA285" t="s">
        <v>3</v>
      </c>
      <c r="GD285">
        <v>0</v>
      </c>
      <c r="GF285">
        <v>2067592017</v>
      </c>
      <c r="GG285">
        <v>2</v>
      </c>
      <c r="GH285">
        <v>1</v>
      </c>
      <c r="GI285">
        <v>-2</v>
      </c>
      <c r="GJ285">
        <v>0</v>
      </c>
      <c r="GK285">
        <f>ROUND(R285*(R12)/100,2)</f>
        <v>0.1</v>
      </c>
      <c r="GL285">
        <f t="shared" si="206"/>
        <v>0</v>
      </c>
      <c r="GM285">
        <f t="shared" si="207"/>
        <v>289.08999999999997</v>
      </c>
      <c r="GN285">
        <f t="shared" si="208"/>
        <v>0</v>
      </c>
      <c r="GO285">
        <f t="shared" si="209"/>
        <v>0</v>
      </c>
      <c r="GP285">
        <f t="shared" si="210"/>
        <v>289.08999999999997</v>
      </c>
      <c r="GR285">
        <v>0</v>
      </c>
      <c r="GS285">
        <v>3</v>
      </c>
      <c r="GT285">
        <v>0</v>
      </c>
      <c r="GU285" t="s">
        <v>3</v>
      </c>
      <c r="GV285">
        <f t="shared" si="211"/>
        <v>0</v>
      </c>
      <c r="GW285">
        <v>1</v>
      </c>
      <c r="GX285">
        <f t="shared" si="212"/>
        <v>0</v>
      </c>
      <c r="HA285">
        <v>0</v>
      </c>
      <c r="HB285">
        <v>0</v>
      </c>
      <c r="HC285">
        <f t="shared" si="213"/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6" spans="1:245" x14ac:dyDescent="0.2">
      <c r="A286">
        <v>17</v>
      </c>
      <c r="B286">
        <v>1</v>
      </c>
      <c r="C286">
        <f>ROW(SmtRes!A110)</f>
        <v>110</v>
      </c>
      <c r="D286">
        <f>ROW(EtalonRes!A98)</f>
        <v>98</v>
      </c>
      <c r="E286" t="s">
        <v>242</v>
      </c>
      <c r="F286" t="s">
        <v>30</v>
      </c>
      <c r="G286" t="s">
        <v>31</v>
      </c>
      <c r="H286" t="s">
        <v>32</v>
      </c>
      <c r="I286">
        <f>ROUND(54.1/100,9)</f>
        <v>0.54100000000000004</v>
      </c>
      <c r="J286">
        <v>0</v>
      </c>
      <c r="K286">
        <f>ROUND(54.1/100,9)</f>
        <v>0.54100000000000004</v>
      </c>
      <c r="O286">
        <f t="shared" si="174"/>
        <v>2398.62</v>
      </c>
      <c r="P286">
        <f t="shared" si="175"/>
        <v>0</v>
      </c>
      <c r="Q286">
        <f t="shared" si="176"/>
        <v>0</v>
      </c>
      <c r="R286">
        <f t="shared" si="177"/>
        <v>0</v>
      </c>
      <c r="S286">
        <f t="shared" si="178"/>
        <v>2398.62</v>
      </c>
      <c r="T286">
        <f t="shared" si="179"/>
        <v>0</v>
      </c>
      <c r="U286">
        <f t="shared" si="180"/>
        <v>6.1619900000000003</v>
      </c>
      <c r="V286">
        <f t="shared" si="181"/>
        <v>0</v>
      </c>
      <c r="W286">
        <f t="shared" si="182"/>
        <v>0</v>
      </c>
      <c r="X286">
        <f t="shared" si="183"/>
        <v>1679.03</v>
      </c>
      <c r="Y286">
        <f t="shared" si="184"/>
        <v>239.86</v>
      </c>
      <c r="AA286">
        <v>75700856</v>
      </c>
      <c r="AB286">
        <f t="shared" si="185"/>
        <v>4433.67</v>
      </c>
      <c r="AC286">
        <f t="shared" si="186"/>
        <v>0</v>
      </c>
      <c r="AD286">
        <f t="shared" si="187"/>
        <v>0</v>
      </c>
      <c r="AE286">
        <f t="shared" si="188"/>
        <v>0</v>
      </c>
      <c r="AF286">
        <f t="shared" si="189"/>
        <v>4433.67</v>
      </c>
      <c r="AG286">
        <f t="shared" si="190"/>
        <v>0</v>
      </c>
      <c r="AH286">
        <f t="shared" si="191"/>
        <v>11.39</v>
      </c>
      <c r="AI286">
        <f t="shared" si="192"/>
        <v>0</v>
      </c>
      <c r="AJ286">
        <f t="shared" si="193"/>
        <v>0</v>
      </c>
      <c r="AK286">
        <v>4433.67</v>
      </c>
      <c r="AL286">
        <v>0</v>
      </c>
      <c r="AM286">
        <v>0</v>
      </c>
      <c r="AN286">
        <v>0</v>
      </c>
      <c r="AO286">
        <v>4433.67</v>
      </c>
      <c r="AP286">
        <v>0</v>
      </c>
      <c r="AQ286">
        <v>11.39</v>
      </c>
      <c r="AR286">
        <v>0</v>
      </c>
      <c r="AS286">
        <v>0</v>
      </c>
      <c r="AT286">
        <v>70</v>
      </c>
      <c r="AU286">
        <v>10</v>
      </c>
      <c r="AV286">
        <v>1</v>
      </c>
      <c r="AW286">
        <v>1</v>
      </c>
      <c r="AZ286">
        <v>1</v>
      </c>
      <c r="BA286">
        <v>1</v>
      </c>
      <c r="BB286">
        <v>1</v>
      </c>
      <c r="BC286">
        <v>1</v>
      </c>
      <c r="BD286" t="s">
        <v>3</v>
      </c>
      <c r="BE286" t="s">
        <v>3</v>
      </c>
      <c r="BF286" t="s">
        <v>3</v>
      </c>
      <c r="BG286" t="s">
        <v>3</v>
      </c>
      <c r="BH286">
        <v>0</v>
      </c>
      <c r="BI286">
        <v>4</v>
      </c>
      <c r="BJ286" t="s">
        <v>33</v>
      </c>
      <c r="BM286">
        <v>0</v>
      </c>
      <c r="BN286">
        <v>75371441</v>
      </c>
      <c r="BO286" t="s">
        <v>3</v>
      </c>
      <c r="BP286">
        <v>0</v>
      </c>
      <c r="BQ286">
        <v>1</v>
      </c>
      <c r="BR286">
        <v>0</v>
      </c>
      <c r="BS286">
        <v>1</v>
      </c>
      <c r="BT286">
        <v>1</v>
      </c>
      <c r="BU286">
        <v>1</v>
      </c>
      <c r="BV286">
        <v>1</v>
      </c>
      <c r="BW286">
        <v>1</v>
      </c>
      <c r="BX286">
        <v>1</v>
      </c>
      <c r="BY286" t="s">
        <v>3</v>
      </c>
      <c r="BZ286">
        <v>70</v>
      </c>
      <c r="CA286">
        <v>10</v>
      </c>
      <c r="CB286" t="s">
        <v>3</v>
      </c>
      <c r="CE286">
        <v>0</v>
      </c>
      <c r="CF286">
        <v>0</v>
      </c>
      <c r="CG286">
        <v>0</v>
      </c>
      <c r="CM286">
        <v>0</v>
      </c>
      <c r="CN286" t="s">
        <v>3</v>
      </c>
      <c r="CO286">
        <v>0</v>
      </c>
      <c r="CP286">
        <f t="shared" si="194"/>
        <v>2398.62</v>
      </c>
      <c r="CQ286">
        <f t="shared" si="195"/>
        <v>0</v>
      </c>
      <c r="CR286">
        <f t="shared" si="196"/>
        <v>0</v>
      </c>
      <c r="CS286">
        <f t="shared" si="197"/>
        <v>0</v>
      </c>
      <c r="CT286">
        <f t="shared" si="198"/>
        <v>4433.67</v>
      </c>
      <c r="CU286">
        <f t="shared" si="199"/>
        <v>0</v>
      </c>
      <c r="CV286">
        <f t="shared" si="200"/>
        <v>11.39</v>
      </c>
      <c r="CW286">
        <f t="shared" si="201"/>
        <v>0</v>
      </c>
      <c r="CX286">
        <f t="shared" si="202"/>
        <v>0</v>
      </c>
      <c r="CY286">
        <f t="shared" si="203"/>
        <v>1679.0339999999999</v>
      </c>
      <c r="CZ286">
        <f t="shared" si="204"/>
        <v>239.86199999999997</v>
      </c>
      <c r="DC286" t="s">
        <v>3</v>
      </c>
      <c r="DD286" t="s">
        <v>3</v>
      </c>
      <c r="DE286" t="s">
        <v>3</v>
      </c>
      <c r="DF286" t="s">
        <v>3</v>
      </c>
      <c r="DG286" t="s">
        <v>3</v>
      </c>
      <c r="DH286" t="s">
        <v>3</v>
      </c>
      <c r="DI286" t="s">
        <v>3</v>
      </c>
      <c r="DJ286" t="s">
        <v>3</v>
      </c>
      <c r="DK286" t="s">
        <v>3</v>
      </c>
      <c r="DL286" t="s">
        <v>3</v>
      </c>
      <c r="DM286" t="s">
        <v>3</v>
      </c>
      <c r="DN286">
        <v>0</v>
      </c>
      <c r="DO286">
        <v>0</v>
      </c>
      <c r="DP286">
        <v>1</v>
      </c>
      <c r="DQ286">
        <v>1</v>
      </c>
      <c r="DU286">
        <v>1005</v>
      </c>
      <c r="DV286" t="s">
        <v>32</v>
      </c>
      <c r="DW286" t="s">
        <v>32</v>
      </c>
      <c r="DX286">
        <v>100</v>
      </c>
      <c r="DZ286" t="s">
        <v>3</v>
      </c>
      <c r="EA286" t="s">
        <v>3</v>
      </c>
      <c r="EB286" t="s">
        <v>3</v>
      </c>
      <c r="EC286" t="s">
        <v>3</v>
      </c>
      <c r="EE286">
        <v>75371444</v>
      </c>
      <c r="EF286">
        <v>1</v>
      </c>
      <c r="EG286" t="s">
        <v>22</v>
      </c>
      <c r="EH286">
        <v>0</v>
      </c>
      <c r="EI286" t="s">
        <v>3</v>
      </c>
      <c r="EJ286">
        <v>4</v>
      </c>
      <c r="EK286">
        <v>0</v>
      </c>
      <c r="EL286" t="s">
        <v>23</v>
      </c>
      <c r="EM286" t="s">
        <v>24</v>
      </c>
      <c r="EO286" t="s">
        <v>3</v>
      </c>
      <c r="EQ286">
        <v>0</v>
      </c>
      <c r="ER286">
        <v>4433.67</v>
      </c>
      <c r="ES286">
        <v>0</v>
      </c>
      <c r="ET286">
        <v>0</v>
      </c>
      <c r="EU286">
        <v>0</v>
      </c>
      <c r="EV286">
        <v>4433.67</v>
      </c>
      <c r="EW286">
        <v>11.39</v>
      </c>
      <c r="EX286">
        <v>0</v>
      </c>
      <c r="EY286">
        <v>0</v>
      </c>
      <c r="FQ286">
        <v>0</v>
      </c>
      <c r="FR286">
        <f t="shared" si="205"/>
        <v>0</v>
      </c>
      <c r="FS286">
        <v>0</v>
      </c>
      <c r="FX286">
        <v>70</v>
      </c>
      <c r="FY286">
        <v>10</v>
      </c>
      <c r="GA286" t="s">
        <v>3</v>
      </c>
      <c r="GD286">
        <v>0</v>
      </c>
      <c r="GF286">
        <v>-1234166715</v>
      </c>
      <c r="GG286">
        <v>2</v>
      </c>
      <c r="GH286">
        <v>1</v>
      </c>
      <c r="GI286">
        <v>-2</v>
      </c>
      <c r="GJ286">
        <v>0</v>
      </c>
      <c r="GK286">
        <f>ROUND(R286*(R12)/100,2)</f>
        <v>0</v>
      </c>
      <c r="GL286">
        <f t="shared" si="206"/>
        <v>0</v>
      </c>
      <c r="GM286">
        <f t="shared" si="207"/>
        <v>4317.51</v>
      </c>
      <c r="GN286">
        <f t="shared" si="208"/>
        <v>0</v>
      </c>
      <c r="GO286">
        <f t="shared" si="209"/>
        <v>0</v>
      </c>
      <c r="GP286">
        <f t="shared" si="210"/>
        <v>4317.51</v>
      </c>
      <c r="GR286">
        <v>0</v>
      </c>
      <c r="GS286">
        <v>3</v>
      </c>
      <c r="GT286">
        <v>0</v>
      </c>
      <c r="GU286" t="s">
        <v>3</v>
      </c>
      <c r="GV286">
        <f t="shared" si="211"/>
        <v>0</v>
      </c>
      <c r="GW286">
        <v>1</v>
      </c>
      <c r="GX286">
        <f t="shared" si="212"/>
        <v>0</v>
      </c>
      <c r="HA286">
        <v>0</v>
      </c>
      <c r="HB286">
        <v>0</v>
      </c>
      <c r="HC286">
        <f t="shared" si="213"/>
        <v>0</v>
      </c>
      <c r="HE286" t="s">
        <v>3</v>
      </c>
      <c r="HF286" t="s">
        <v>3</v>
      </c>
      <c r="HM286" t="s">
        <v>3</v>
      </c>
      <c r="HN286" t="s">
        <v>3</v>
      </c>
      <c r="HO286" t="s">
        <v>3</v>
      </c>
      <c r="HP286" t="s">
        <v>3</v>
      </c>
      <c r="HQ286" t="s">
        <v>3</v>
      </c>
      <c r="IK286">
        <v>0</v>
      </c>
    </row>
    <row r="287" spans="1:245" x14ac:dyDescent="0.2">
      <c r="A287">
        <v>17</v>
      </c>
      <c r="B287">
        <v>1</v>
      </c>
      <c r="C287">
        <f>ROW(SmtRes!A118)</f>
        <v>118</v>
      </c>
      <c r="D287">
        <f>ROW(EtalonRes!A106)</f>
        <v>106</v>
      </c>
      <c r="E287" t="s">
        <v>243</v>
      </c>
      <c r="F287" t="s">
        <v>35</v>
      </c>
      <c r="G287" t="s">
        <v>36</v>
      </c>
      <c r="H287" t="s">
        <v>32</v>
      </c>
      <c r="I287">
        <f>ROUND(54.1/100,9)</f>
        <v>0.54100000000000004</v>
      </c>
      <c r="J287">
        <v>0</v>
      </c>
      <c r="K287">
        <f>ROUND(54.1/100,9)</f>
        <v>0.54100000000000004</v>
      </c>
      <c r="O287">
        <f t="shared" si="174"/>
        <v>37084.19</v>
      </c>
      <c r="P287">
        <f t="shared" si="175"/>
        <v>27282.33</v>
      </c>
      <c r="Q287">
        <f t="shared" si="176"/>
        <v>131.15</v>
      </c>
      <c r="R287">
        <f t="shared" si="177"/>
        <v>14.46</v>
      </c>
      <c r="S287">
        <f t="shared" si="178"/>
        <v>9670.7099999999991</v>
      </c>
      <c r="T287">
        <f t="shared" si="179"/>
        <v>0</v>
      </c>
      <c r="U287">
        <f t="shared" si="180"/>
        <v>20.54177</v>
      </c>
      <c r="V287">
        <f t="shared" si="181"/>
        <v>0</v>
      </c>
      <c r="W287">
        <f t="shared" si="182"/>
        <v>0</v>
      </c>
      <c r="X287">
        <f t="shared" si="183"/>
        <v>6769.5</v>
      </c>
      <c r="Y287">
        <f t="shared" si="184"/>
        <v>967.07</v>
      </c>
      <c r="AA287">
        <v>75700856</v>
      </c>
      <c r="AB287">
        <f t="shared" si="185"/>
        <v>68547.48</v>
      </c>
      <c r="AC287">
        <f t="shared" si="186"/>
        <v>50429.440000000002</v>
      </c>
      <c r="AD287">
        <f t="shared" si="187"/>
        <v>242.43</v>
      </c>
      <c r="AE287">
        <f t="shared" si="188"/>
        <v>26.72</v>
      </c>
      <c r="AF287">
        <f t="shared" si="189"/>
        <v>17875.61</v>
      </c>
      <c r="AG287">
        <f t="shared" si="190"/>
        <v>0</v>
      </c>
      <c r="AH287">
        <f t="shared" si="191"/>
        <v>37.97</v>
      </c>
      <c r="AI287">
        <f t="shared" si="192"/>
        <v>0</v>
      </c>
      <c r="AJ287">
        <f t="shared" si="193"/>
        <v>0</v>
      </c>
      <c r="AK287">
        <v>68547.48</v>
      </c>
      <c r="AL287">
        <v>50429.440000000002</v>
      </c>
      <c r="AM287">
        <v>242.43</v>
      </c>
      <c r="AN287">
        <v>26.72</v>
      </c>
      <c r="AO287">
        <v>17875.61</v>
      </c>
      <c r="AP287">
        <v>0</v>
      </c>
      <c r="AQ287">
        <v>37.97</v>
      </c>
      <c r="AR287">
        <v>0</v>
      </c>
      <c r="AS287">
        <v>0</v>
      </c>
      <c r="AT287">
        <v>70</v>
      </c>
      <c r="AU287">
        <v>10</v>
      </c>
      <c r="AV287">
        <v>1</v>
      </c>
      <c r="AW287">
        <v>1</v>
      </c>
      <c r="AZ287">
        <v>1</v>
      </c>
      <c r="BA287">
        <v>1</v>
      </c>
      <c r="BB287">
        <v>1</v>
      </c>
      <c r="BC287">
        <v>1</v>
      </c>
      <c r="BD287" t="s">
        <v>3</v>
      </c>
      <c r="BE287" t="s">
        <v>3</v>
      </c>
      <c r="BF287" t="s">
        <v>3</v>
      </c>
      <c r="BG287" t="s">
        <v>3</v>
      </c>
      <c r="BH287">
        <v>0</v>
      </c>
      <c r="BI287">
        <v>4</v>
      </c>
      <c r="BJ287" t="s">
        <v>37</v>
      </c>
      <c r="BM287">
        <v>0</v>
      </c>
      <c r="BN287">
        <v>75371441</v>
      </c>
      <c r="BO287" t="s">
        <v>3</v>
      </c>
      <c r="BP287">
        <v>0</v>
      </c>
      <c r="BQ287">
        <v>1</v>
      </c>
      <c r="BR287">
        <v>0</v>
      </c>
      <c r="BS287">
        <v>1</v>
      </c>
      <c r="BT287">
        <v>1</v>
      </c>
      <c r="BU287">
        <v>1</v>
      </c>
      <c r="BV287">
        <v>1</v>
      </c>
      <c r="BW287">
        <v>1</v>
      </c>
      <c r="BX287">
        <v>1</v>
      </c>
      <c r="BY287" t="s">
        <v>3</v>
      </c>
      <c r="BZ287">
        <v>70</v>
      </c>
      <c r="CA287">
        <v>10</v>
      </c>
      <c r="CB287" t="s">
        <v>3</v>
      </c>
      <c r="CE287">
        <v>0</v>
      </c>
      <c r="CF287">
        <v>0</v>
      </c>
      <c r="CG287">
        <v>0</v>
      </c>
      <c r="CM287">
        <v>0</v>
      </c>
      <c r="CN287" t="s">
        <v>3</v>
      </c>
      <c r="CO287">
        <v>0</v>
      </c>
      <c r="CP287">
        <f t="shared" si="194"/>
        <v>37084.19</v>
      </c>
      <c r="CQ287">
        <f t="shared" si="195"/>
        <v>50429.440000000002</v>
      </c>
      <c r="CR287">
        <f t="shared" si="196"/>
        <v>242.43</v>
      </c>
      <c r="CS287">
        <f t="shared" si="197"/>
        <v>26.72</v>
      </c>
      <c r="CT287">
        <f t="shared" si="198"/>
        <v>17875.61</v>
      </c>
      <c r="CU287">
        <f t="shared" si="199"/>
        <v>0</v>
      </c>
      <c r="CV287">
        <f t="shared" si="200"/>
        <v>37.97</v>
      </c>
      <c r="CW287">
        <f t="shared" si="201"/>
        <v>0</v>
      </c>
      <c r="CX287">
        <f t="shared" si="202"/>
        <v>0</v>
      </c>
      <c r="CY287">
        <f t="shared" si="203"/>
        <v>6769.4969999999994</v>
      </c>
      <c r="CZ287">
        <f t="shared" si="204"/>
        <v>967.07099999999991</v>
      </c>
      <c r="DC287" t="s">
        <v>3</v>
      </c>
      <c r="DD287" t="s">
        <v>3</v>
      </c>
      <c r="DE287" t="s">
        <v>3</v>
      </c>
      <c r="DF287" t="s">
        <v>3</v>
      </c>
      <c r="DG287" t="s">
        <v>3</v>
      </c>
      <c r="DH287" t="s">
        <v>3</v>
      </c>
      <c r="DI287" t="s">
        <v>3</v>
      </c>
      <c r="DJ287" t="s">
        <v>3</v>
      </c>
      <c r="DK287" t="s">
        <v>3</v>
      </c>
      <c r="DL287" t="s">
        <v>3</v>
      </c>
      <c r="DM287" t="s">
        <v>3</v>
      </c>
      <c r="DN287">
        <v>0</v>
      </c>
      <c r="DO287">
        <v>0</v>
      </c>
      <c r="DP287">
        <v>1</v>
      </c>
      <c r="DQ287">
        <v>1</v>
      </c>
      <c r="DU287">
        <v>1005</v>
      </c>
      <c r="DV287" t="s">
        <v>32</v>
      </c>
      <c r="DW287" t="s">
        <v>32</v>
      </c>
      <c r="DX287">
        <v>100</v>
      </c>
      <c r="DZ287" t="s">
        <v>3</v>
      </c>
      <c r="EA287" t="s">
        <v>3</v>
      </c>
      <c r="EB287" t="s">
        <v>3</v>
      </c>
      <c r="EC287" t="s">
        <v>3</v>
      </c>
      <c r="EE287">
        <v>75371444</v>
      </c>
      <c r="EF287">
        <v>1</v>
      </c>
      <c r="EG287" t="s">
        <v>22</v>
      </c>
      <c r="EH287">
        <v>0</v>
      </c>
      <c r="EI287" t="s">
        <v>3</v>
      </c>
      <c r="EJ287">
        <v>4</v>
      </c>
      <c r="EK287">
        <v>0</v>
      </c>
      <c r="EL287" t="s">
        <v>23</v>
      </c>
      <c r="EM287" t="s">
        <v>24</v>
      </c>
      <c r="EO287" t="s">
        <v>3</v>
      </c>
      <c r="EQ287">
        <v>0</v>
      </c>
      <c r="ER287">
        <v>68547.48</v>
      </c>
      <c r="ES287">
        <v>50429.440000000002</v>
      </c>
      <c r="ET287">
        <v>242.43</v>
      </c>
      <c r="EU287">
        <v>26.72</v>
      </c>
      <c r="EV287">
        <v>17875.61</v>
      </c>
      <c r="EW287">
        <v>37.97</v>
      </c>
      <c r="EX287">
        <v>0</v>
      </c>
      <c r="EY287">
        <v>0</v>
      </c>
      <c r="FQ287">
        <v>0</v>
      </c>
      <c r="FR287">
        <f t="shared" si="205"/>
        <v>0</v>
      </c>
      <c r="FS287">
        <v>0</v>
      </c>
      <c r="FX287">
        <v>70</v>
      </c>
      <c r="FY287">
        <v>10</v>
      </c>
      <c r="GA287" t="s">
        <v>3</v>
      </c>
      <c r="GD287">
        <v>0</v>
      </c>
      <c r="GF287">
        <v>-1728316976</v>
      </c>
      <c r="GG287">
        <v>2</v>
      </c>
      <c r="GH287">
        <v>1</v>
      </c>
      <c r="GI287">
        <v>-2</v>
      </c>
      <c r="GJ287">
        <v>0</v>
      </c>
      <c r="GK287">
        <f>ROUND(R287*(R12)/100,2)</f>
        <v>15.62</v>
      </c>
      <c r="GL287">
        <f t="shared" si="206"/>
        <v>0</v>
      </c>
      <c r="GM287">
        <f t="shared" si="207"/>
        <v>44836.38</v>
      </c>
      <c r="GN287">
        <f t="shared" si="208"/>
        <v>0</v>
      </c>
      <c r="GO287">
        <f t="shared" si="209"/>
        <v>0</v>
      </c>
      <c r="GP287">
        <f t="shared" si="210"/>
        <v>44836.38</v>
      </c>
      <c r="GR287">
        <v>0</v>
      </c>
      <c r="GS287">
        <v>3</v>
      </c>
      <c r="GT287">
        <v>0</v>
      </c>
      <c r="GU287" t="s">
        <v>3</v>
      </c>
      <c r="GV287">
        <f t="shared" si="211"/>
        <v>0</v>
      </c>
      <c r="GW287">
        <v>1</v>
      </c>
      <c r="GX287">
        <f t="shared" si="212"/>
        <v>0</v>
      </c>
      <c r="HA287">
        <v>0</v>
      </c>
      <c r="HB287">
        <v>0</v>
      </c>
      <c r="HC287">
        <f t="shared" si="213"/>
        <v>0</v>
      </c>
      <c r="HE287" t="s">
        <v>3</v>
      </c>
      <c r="HF287" t="s">
        <v>3</v>
      </c>
      <c r="HM287" t="s">
        <v>3</v>
      </c>
      <c r="HN287" t="s">
        <v>3</v>
      </c>
      <c r="HO287" t="s">
        <v>3</v>
      </c>
      <c r="HP287" t="s">
        <v>3</v>
      </c>
      <c r="HQ287" t="s">
        <v>3</v>
      </c>
      <c r="IK287">
        <v>0</v>
      </c>
    </row>
    <row r="288" spans="1:245" x14ac:dyDescent="0.2">
      <c r="A288">
        <v>17</v>
      </c>
      <c r="B288">
        <v>1</v>
      </c>
      <c r="C288">
        <f>ROW(SmtRes!A126)</f>
        <v>126</v>
      </c>
      <c r="D288">
        <f>ROW(EtalonRes!A114)</f>
        <v>114</v>
      </c>
      <c r="E288" t="s">
        <v>244</v>
      </c>
      <c r="F288" t="s">
        <v>39</v>
      </c>
      <c r="G288" t="s">
        <v>40</v>
      </c>
      <c r="H288" t="s">
        <v>32</v>
      </c>
      <c r="I288">
        <f>ROUND(54.1/100,9)</f>
        <v>0.54100000000000004</v>
      </c>
      <c r="J288">
        <v>0</v>
      </c>
      <c r="K288">
        <f>ROUND(54.1/100,9)</f>
        <v>0.54100000000000004</v>
      </c>
      <c r="O288">
        <f t="shared" si="174"/>
        <v>87209.31</v>
      </c>
      <c r="P288">
        <f t="shared" si="175"/>
        <v>71634.899999999994</v>
      </c>
      <c r="Q288">
        <f t="shared" si="176"/>
        <v>230.22</v>
      </c>
      <c r="R288">
        <f t="shared" si="177"/>
        <v>1.1200000000000001</v>
      </c>
      <c r="S288">
        <f t="shared" si="178"/>
        <v>15344.19</v>
      </c>
      <c r="T288">
        <f t="shared" si="179"/>
        <v>0</v>
      </c>
      <c r="U288">
        <f t="shared" si="180"/>
        <v>32.481639999999999</v>
      </c>
      <c r="V288">
        <f t="shared" si="181"/>
        <v>0</v>
      </c>
      <c r="W288">
        <f t="shared" si="182"/>
        <v>0</v>
      </c>
      <c r="X288">
        <f t="shared" si="183"/>
        <v>10740.93</v>
      </c>
      <c r="Y288">
        <f t="shared" si="184"/>
        <v>1534.42</v>
      </c>
      <c r="AA288">
        <v>75700856</v>
      </c>
      <c r="AB288">
        <f t="shared" si="185"/>
        <v>161200.22</v>
      </c>
      <c r="AC288">
        <f t="shared" si="186"/>
        <v>132412.01999999999</v>
      </c>
      <c r="AD288">
        <f t="shared" si="187"/>
        <v>425.55</v>
      </c>
      <c r="AE288">
        <f t="shared" si="188"/>
        <v>2.0699999999999998</v>
      </c>
      <c r="AF288">
        <f t="shared" si="189"/>
        <v>28362.65</v>
      </c>
      <c r="AG288">
        <f t="shared" si="190"/>
        <v>0</v>
      </c>
      <c r="AH288">
        <f t="shared" si="191"/>
        <v>60.04</v>
      </c>
      <c r="AI288">
        <f t="shared" si="192"/>
        <v>0</v>
      </c>
      <c r="AJ288">
        <f t="shared" si="193"/>
        <v>0</v>
      </c>
      <c r="AK288">
        <v>161200.22</v>
      </c>
      <c r="AL288">
        <v>132412.01999999999</v>
      </c>
      <c r="AM288">
        <v>425.55</v>
      </c>
      <c r="AN288">
        <v>2.0699999999999998</v>
      </c>
      <c r="AO288">
        <v>28362.65</v>
      </c>
      <c r="AP288">
        <v>0</v>
      </c>
      <c r="AQ288">
        <v>60.04</v>
      </c>
      <c r="AR288">
        <v>0</v>
      </c>
      <c r="AS288">
        <v>0</v>
      </c>
      <c r="AT288">
        <v>70</v>
      </c>
      <c r="AU288">
        <v>10</v>
      </c>
      <c r="AV288">
        <v>1</v>
      </c>
      <c r="AW288">
        <v>1</v>
      </c>
      <c r="AZ288">
        <v>1</v>
      </c>
      <c r="BA288">
        <v>1</v>
      </c>
      <c r="BB288">
        <v>1</v>
      </c>
      <c r="BC288">
        <v>1</v>
      </c>
      <c r="BD288" t="s">
        <v>3</v>
      </c>
      <c r="BE288" t="s">
        <v>3</v>
      </c>
      <c r="BF288" t="s">
        <v>3</v>
      </c>
      <c r="BG288" t="s">
        <v>3</v>
      </c>
      <c r="BH288">
        <v>0</v>
      </c>
      <c r="BI288">
        <v>4</v>
      </c>
      <c r="BJ288" t="s">
        <v>41</v>
      </c>
      <c r="BM288">
        <v>0</v>
      </c>
      <c r="BN288">
        <v>75371441</v>
      </c>
      <c r="BO288" t="s">
        <v>3</v>
      </c>
      <c r="BP288">
        <v>0</v>
      </c>
      <c r="BQ288">
        <v>1</v>
      </c>
      <c r="BR288">
        <v>0</v>
      </c>
      <c r="BS288">
        <v>1</v>
      </c>
      <c r="BT288">
        <v>1</v>
      </c>
      <c r="BU288">
        <v>1</v>
      </c>
      <c r="BV288">
        <v>1</v>
      </c>
      <c r="BW288">
        <v>1</v>
      </c>
      <c r="BX288">
        <v>1</v>
      </c>
      <c r="BY288" t="s">
        <v>3</v>
      </c>
      <c r="BZ288">
        <v>70</v>
      </c>
      <c r="CA288">
        <v>10</v>
      </c>
      <c r="CB288" t="s">
        <v>3</v>
      </c>
      <c r="CE288">
        <v>0</v>
      </c>
      <c r="CF288">
        <v>0</v>
      </c>
      <c r="CG288">
        <v>0</v>
      </c>
      <c r="CM288">
        <v>0</v>
      </c>
      <c r="CN288" t="s">
        <v>3</v>
      </c>
      <c r="CO288">
        <v>0</v>
      </c>
      <c r="CP288">
        <f t="shared" si="194"/>
        <v>87209.31</v>
      </c>
      <c r="CQ288">
        <f t="shared" si="195"/>
        <v>132412.01999999999</v>
      </c>
      <c r="CR288">
        <f t="shared" si="196"/>
        <v>425.55</v>
      </c>
      <c r="CS288">
        <f t="shared" si="197"/>
        <v>2.0699999999999998</v>
      </c>
      <c r="CT288">
        <f t="shared" si="198"/>
        <v>28362.65</v>
      </c>
      <c r="CU288">
        <f t="shared" si="199"/>
        <v>0</v>
      </c>
      <c r="CV288">
        <f t="shared" si="200"/>
        <v>60.04</v>
      </c>
      <c r="CW288">
        <f t="shared" si="201"/>
        <v>0</v>
      </c>
      <c r="CX288">
        <f t="shared" si="202"/>
        <v>0</v>
      </c>
      <c r="CY288">
        <f t="shared" si="203"/>
        <v>10740.933000000001</v>
      </c>
      <c r="CZ288">
        <f t="shared" si="204"/>
        <v>1534.4189999999999</v>
      </c>
      <c r="DC288" t="s">
        <v>3</v>
      </c>
      <c r="DD288" t="s">
        <v>3</v>
      </c>
      <c r="DE288" t="s">
        <v>3</v>
      </c>
      <c r="DF288" t="s">
        <v>3</v>
      </c>
      <c r="DG288" t="s">
        <v>3</v>
      </c>
      <c r="DH288" t="s">
        <v>3</v>
      </c>
      <c r="DI288" t="s">
        <v>3</v>
      </c>
      <c r="DJ288" t="s">
        <v>3</v>
      </c>
      <c r="DK288" t="s">
        <v>3</v>
      </c>
      <c r="DL288" t="s">
        <v>3</v>
      </c>
      <c r="DM288" t="s">
        <v>3</v>
      </c>
      <c r="DN288">
        <v>0</v>
      </c>
      <c r="DO288">
        <v>0</v>
      </c>
      <c r="DP288">
        <v>1</v>
      </c>
      <c r="DQ288">
        <v>1</v>
      </c>
      <c r="DU288">
        <v>1005</v>
      </c>
      <c r="DV288" t="s">
        <v>32</v>
      </c>
      <c r="DW288" t="s">
        <v>32</v>
      </c>
      <c r="DX288">
        <v>100</v>
      </c>
      <c r="DZ288" t="s">
        <v>3</v>
      </c>
      <c r="EA288" t="s">
        <v>3</v>
      </c>
      <c r="EB288" t="s">
        <v>3</v>
      </c>
      <c r="EC288" t="s">
        <v>3</v>
      </c>
      <c r="EE288">
        <v>75371444</v>
      </c>
      <c r="EF288">
        <v>1</v>
      </c>
      <c r="EG288" t="s">
        <v>22</v>
      </c>
      <c r="EH288">
        <v>0</v>
      </c>
      <c r="EI288" t="s">
        <v>3</v>
      </c>
      <c r="EJ288">
        <v>4</v>
      </c>
      <c r="EK288">
        <v>0</v>
      </c>
      <c r="EL288" t="s">
        <v>23</v>
      </c>
      <c r="EM288" t="s">
        <v>24</v>
      </c>
      <c r="EO288" t="s">
        <v>3</v>
      </c>
      <c r="EQ288">
        <v>0</v>
      </c>
      <c r="ER288">
        <v>161200.22</v>
      </c>
      <c r="ES288">
        <v>132412.01999999999</v>
      </c>
      <c r="ET288">
        <v>425.55</v>
      </c>
      <c r="EU288">
        <v>2.0699999999999998</v>
      </c>
      <c r="EV288">
        <v>28362.65</v>
      </c>
      <c r="EW288">
        <v>60.04</v>
      </c>
      <c r="EX288">
        <v>0</v>
      </c>
      <c r="EY288">
        <v>0</v>
      </c>
      <c r="FQ288">
        <v>0</v>
      </c>
      <c r="FR288">
        <f t="shared" si="205"/>
        <v>0</v>
      </c>
      <c r="FS288">
        <v>0</v>
      </c>
      <c r="FX288">
        <v>70</v>
      </c>
      <c r="FY288">
        <v>10</v>
      </c>
      <c r="GA288" t="s">
        <v>3</v>
      </c>
      <c r="GD288">
        <v>0</v>
      </c>
      <c r="GF288">
        <v>726381480</v>
      </c>
      <c r="GG288">
        <v>2</v>
      </c>
      <c r="GH288">
        <v>1</v>
      </c>
      <c r="GI288">
        <v>-2</v>
      </c>
      <c r="GJ288">
        <v>0</v>
      </c>
      <c r="GK288">
        <f>ROUND(R288*(R12)/100,2)</f>
        <v>1.21</v>
      </c>
      <c r="GL288">
        <f t="shared" si="206"/>
        <v>0</v>
      </c>
      <c r="GM288">
        <f t="shared" si="207"/>
        <v>99485.87</v>
      </c>
      <c r="GN288">
        <f t="shared" si="208"/>
        <v>0</v>
      </c>
      <c r="GO288">
        <f t="shared" si="209"/>
        <v>0</v>
      </c>
      <c r="GP288">
        <f t="shared" si="210"/>
        <v>99485.87</v>
      </c>
      <c r="GR288">
        <v>0</v>
      </c>
      <c r="GS288">
        <v>3</v>
      </c>
      <c r="GT288">
        <v>0</v>
      </c>
      <c r="GU288" t="s">
        <v>3</v>
      </c>
      <c r="GV288">
        <f t="shared" si="211"/>
        <v>0</v>
      </c>
      <c r="GW288">
        <v>1</v>
      </c>
      <c r="GX288">
        <f t="shared" si="212"/>
        <v>0</v>
      </c>
      <c r="HA288">
        <v>0</v>
      </c>
      <c r="HB288">
        <v>0</v>
      </c>
      <c r="HC288">
        <f t="shared" si="213"/>
        <v>0</v>
      </c>
      <c r="HE288" t="s">
        <v>3</v>
      </c>
      <c r="HF288" t="s">
        <v>3</v>
      </c>
      <c r="HM288" t="s">
        <v>3</v>
      </c>
      <c r="HN288" t="s">
        <v>3</v>
      </c>
      <c r="HO288" t="s">
        <v>3</v>
      </c>
      <c r="HP288" t="s">
        <v>3</v>
      </c>
      <c r="HQ288" t="s">
        <v>3</v>
      </c>
      <c r="IK288">
        <v>0</v>
      </c>
    </row>
    <row r="290" spans="1:206" x14ac:dyDescent="0.2">
      <c r="A290" s="2">
        <v>51</v>
      </c>
      <c r="B290" s="2">
        <f>B273</f>
        <v>1</v>
      </c>
      <c r="C290" s="2">
        <f>A273</f>
        <v>5</v>
      </c>
      <c r="D290" s="2">
        <f>ROW(A273)</f>
        <v>273</v>
      </c>
      <c r="E290" s="2"/>
      <c r="F290" s="2" t="str">
        <f>IF(F273&lt;&gt;"",F273,"")</f>
        <v>Новый подраздел</v>
      </c>
      <c r="G290" s="2" t="str">
        <f>IF(G273&lt;&gt;"",G273,"")</f>
        <v>Полы</v>
      </c>
      <c r="H290" s="2">
        <v>0</v>
      </c>
      <c r="I290" s="2"/>
      <c r="J290" s="2"/>
      <c r="K290" s="2"/>
      <c r="L290" s="2"/>
      <c r="M290" s="2"/>
      <c r="N290" s="2"/>
      <c r="O290" s="2">
        <f t="shared" ref="O290:T290" si="214">ROUND(AB290,2)</f>
        <v>131720.91</v>
      </c>
      <c r="P290" s="2">
        <f t="shared" si="214"/>
        <v>102082.16</v>
      </c>
      <c r="Q290" s="2">
        <f t="shared" si="214"/>
        <v>362.25</v>
      </c>
      <c r="R290" s="2">
        <f t="shared" si="214"/>
        <v>15.67</v>
      </c>
      <c r="S290" s="2">
        <f t="shared" si="214"/>
        <v>29276.5</v>
      </c>
      <c r="T290" s="2">
        <f t="shared" si="214"/>
        <v>0</v>
      </c>
      <c r="U290" s="2">
        <f>AH290</f>
        <v>63.528148999999999</v>
      </c>
      <c r="V290" s="2">
        <f>AI290</f>
        <v>0</v>
      </c>
      <c r="W290" s="2">
        <f>ROUND(AJ290,2)</f>
        <v>0</v>
      </c>
      <c r="X290" s="2">
        <f>ROUND(AK290,2)</f>
        <v>20493.54</v>
      </c>
      <c r="Y290" s="2">
        <f>ROUND(AL290,2)</f>
        <v>2927.65</v>
      </c>
      <c r="Z290" s="2"/>
      <c r="AA290" s="2"/>
      <c r="AB290" s="2">
        <f>ROUND(SUMIF(AA277:AA288,"=75700856",O277:O288),2)</f>
        <v>131720.91</v>
      </c>
      <c r="AC290" s="2">
        <f>ROUND(SUMIF(AA277:AA288,"=75700856",P277:P288),2)</f>
        <v>102082.16</v>
      </c>
      <c r="AD290" s="2">
        <f>ROUND(SUMIF(AA277:AA288,"=75700856",Q277:Q288),2)</f>
        <v>362.25</v>
      </c>
      <c r="AE290" s="2">
        <f>ROUND(SUMIF(AA277:AA288,"=75700856",R277:R288),2)</f>
        <v>15.67</v>
      </c>
      <c r="AF290" s="2">
        <f>ROUND(SUMIF(AA277:AA288,"=75700856",S277:S288),2)</f>
        <v>29276.5</v>
      </c>
      <c r="AG290" s="2">
        <f>ROUND(SUMIF(AA277:AA288,"=75700856",T277:T288),2)</f>
        <v>0</v>
      </c>
      <c r="AH290" s="2">
        <f>SUMIF(AA277:AA288,"=75700856",U277:U288)</f>
        <v>63.528148999999999</v>
      </c>
      <c r="AI290" s="2">
        <f>SUMIF(AA277:AA288,"=75700856",V277:V288)</f>
        <v>0</v>
      </c>
      <c r="AJ290" s="2">
        <f>ROUND(SUMIF(AA277:AA288,"=75700856",W277:W288),2)</f>
        <v>0</v>
      </c>
      <c r="AK290" s="2">
        <f>ROUND(SUMIF(AA277:AA288,"=75700856",X277:X288),2)</f>
        <v>20493.54</v>
      </c>
      <c r="AL290" s="2">
        <f>ROUND(SUMIF(AA277:AA288,"=75700856",Y277:Y288),2)</f>
        <v>2927.65</v>
      </c>
      <c r="AM290" s="2"/>
      <c r="AN290" s="2"/>
      <c r="AO290" s="2">
        <f t="shared" ref="AO290:BD290" si="215">ROUND(BX290,2)</f>
        <v>0</v>
      </c>
      <c r="AP290" s="2">
        <f t="shared" si="215"/>
        <v>0</v>
      </c>
      <c r="AQ290" s="2">
        <f t="shared" si="215"/>
        <v>0</v>
      </c>
      <c r="AR290" s="2">
        <f t="shared" si="215"/>
        <v>155159.03</v>
      </c>
      <c r="AS290" s="2">
        <f t="shared" si="215"/>
        <v>0</v>
      </c>
      <c r="AT290" s="2">
        <f t="shared" si="215"/>
        <v>0</v>
      </c>
      <c r="AU290" s="2">
        <f t="shared" si="215"/>
        <v>155159.03</v>
      </c>
      <c r="AV290" s="2">
        <f t="shared" si="215"/>
        <v>102082.16</v>
      </c>
      <c r="AW290" s="2">
        <f t="shared" si="215"/>
        <v>102082.16</v>
      </c>
      <c r="AX290" s="2">
        <f t="shared" si="215"/>
        <v>0</v>
      </c>
      <c r="AY290" s="2">
        <f t="shared" si="215"/>
        <v>102082.16</v>
      </c>
      <c r="AZ290" s="2">
        <f t="shared" si="215"/>
        <v>0</v>
      </c>
      <c r="BA290" s="2">
        <f t="shared" si="215"/>
        <v>0</v>
      </c>
      <c r="BB290" s="2">
        <f t="shared" si="215"/>
        <v>0</v>
      </c>
      <c r="BC290" s="2">
        <f t="shared" si="215"/>
        <v>0</v>
      </c>
      <c r="BD290" s="2">
        <f t="shared" si="215"/>
        <v>0</v>
      </c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>
        <f>ROUND(SUMIF(AA277:AA288,"=75700856",FQ277:FQ288),2)</f>
        <v>0</v>
      </c>
      <c r="BY290" s="2">
        <f>ROUND(SUMIF(AA277:AA288,"=75700856",FR277:FR288),2)</f>
        <v>0</v>
      </c>
      <c r="BZ290" s="2">
        <f>ROUND(SUMIF(AA277:AA288,"=75700856",GL277:GL288),2)</f>
        <v>0</v>
      </c>
      <c r="CA290" s="2">
        <f>ROUND(SUMIF(AA277:AA288,"=75700856",GM277:GM288),2)</f>
        <v>155159.03</v>
      </c>
      <c r="CB290" s="2">
        <f>ROUND(SUMIF(AA277:AA288,"=75700856",GN277:GN288),2)</f>
        <v>0</v>
      </c>
      <c r="CC290" s="2">
        <f>ROUND(SUMIF(AA277:AA288,"=75700856",GO277:GO288),2)</f>
        <v>0</v>
      </c>
      <c r="CD290" s="2">
        <f>ROUND(SUMIF(AA277:AA288,"=75700856",GP277:GP288),2)</f>
        <v>155159.03</v>
      </c>
      <c r="CE290" s="2">
        <f>AC290-BX290</f>
        <v>102082.16</v>
      </c>
      <c r="CF290" s="2">
        <f>AC290-BY290</f>
        <v>102082.16</v>
      </c>
      <c r="CG290" s="2">
        <f>BX290-BZ290</f>
        <v>0</v>
      </c>
      <c r="CH290" s="2">
        <f>AC290-BX290-BY290+BZ290</f>
        <v>102082.16</v>
      </c>
      <c r="CI290" s="2">
        <f>BY290-BZ290</f>
        <v>0</v>
      </c>
      <c r="CJ290" s="2">
        <f>ROUND(SUMIF(AA277:AA288,"=75700856",GX277:GX288),2)</f>
        <v>0</v>
      </c>
      <c r="CK290" s="2">
        <f>ROUND(SUMIF(AA277:AA288,"=75700856",GY277:GY288),2)</f>
        <v>0</v>
      </c>
      <c r="CL290" s="2">
        <f>ROUND(SUMIF(AA277:AA288,"=75700856",GZ277:GZ288),2)</f>
        <v>0</v>
      </c>
      <c r="CM290" s="2">
        <f>ROUND(SUMIF(AA277:AA288,"=75700856",HD277:HD288),2)</f>
        <v>0</v>
      </c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  <c r="DW290" s="3"/>
      <c r="DX290" s="3"/>
      <c r="DY290" s="3"/>
      <c r="DZ290" s="3"/>
      <c r="EA290" s="3"/>
      <c r="EB290" s="3"/>
      <c r="EC290" s="3"/>
      <c r="ED290" s="3"/>
      <c r="EE290" s="3"/>
      <c r="EF290" s="3"/>
      <c r="EG290" s="3"/>
      <c r="EH290" s="3"/>
      <c r="EI290" s="3"/>
      <c r="EJ290" s="3"/>
      <c r="EK290" s="3"/>
      <c r="EL290" s="3"/>
      <c r="EM290" s="3"/>
      <c r="EN290" s="3"/>
      <c r="EO290" s="3"/>
      <c r="EP290" s="3"/>
      <c r="EQ290" s="3"/>
      <c r="ER290" s="3"/>
      <c r="ES290" s="3"/>
      <c r="ET290" s="3"/>
      <c r="EU290" s="3"/>
      <c r="EV290" s="3"/>
      <c r="EW290" s="3"/>
      <c r="EX290" s="3"/>
      <c r="EY290" s="3"/>
      <c r="EZ290" s="3"/>
      <c r="FA290" s="3"/>
      <c r="FB290" s="3"/>
      <c r="FC290" s="3"/>
      <c r="FD290" s="3"/>
      <c r="FE290" s="3"/>
      <c r="FF290" s="3"/>
      <c r="FG290" s="3"/>
      <c r="FH290" s="3"/>
      <c r="FI290" s="3"/>
      <c r="FJ290" s="3"/>
      <c r="FK290" s="3"/>
      <c r="FL290" s="3"/>
      <c r="FM290" s="3"/>
      <c r="FN290" s="3"/>
      <c r="FO290" s="3"/>
      <c r="FP290" s="3"/>
      <c r="FQ290" s="3"/>
      <c r="FR290" s="3"/>
      <c r="FS290" s="3"/>
      <c r="FT290" s="3"/>
      <c r="FU290" s="3"/>
      <c r="FV290" s="3"/>
      <c r="FW290" s="3"/>
      <c r="FX290" s="3"/>
      <c r="FY290" s="3"/>
      <c r="FZ290" s="3"/>
      <c r="GA290" s="3"/>
      <c r="GB290" s="3"/>
      <c r="GC290" s="3"/>
      <c r="GD290" s="3"/>
      <c r="GE290" s="3"/>
      <c r="GF290" s="3"/>
      <c r="GG290" s="3"/>
      <c r="GH290" s="3"/>
      <c r="GI290" s="3"/>
      <c r="GJ290" s="3"/>
      <c r="GK290" s="3"/>
      <c r="GL290" s="3"/>
      <c r="GM290" s="3"/>
      <c r="GN290" s="3"/>
      <c r="GO290" s="3"/>
      <c r="GP290" s="3"/>
      <c r="GQ290" s="3"/>
      <c r="GR290" s="3"/>
      <c r="GS290" s="3"/>
      <c r="GT290" s="3"/>
      <c r="GU290" s="3"/>
      <c r="GV290" s="3"/>
      <c r="GW290" s="3"/>
      <c r="GX290" s="3">
        <v>0</v>
      </c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201</v>
      </c>
      <c r="F292" s="4">
        <f>ROUND(Source!O290,O292)</f>
        <v>131720.91</v>
      </c>
      <c r="G292" s="4" t="s">
        <v>74</v>
      </c>
      <c r="H292" s="4" t="s">
        <v>75</v>
      </c>
      <c r="I292" s="4"/>
      <c r="J292" s="4"/>
      <c r="K292" s="4">
        <v>201</v>
      </c>
      <c r="L292" s="4">
        <v>1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131720.91</v>
      </c>
      <c r="X292" s="4">
        <v>1</v>
      </c>
      <c r="Y292" s="4">
        <v>131720.91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202</v>
      </c>
      <c r="F293" s="4">
        <f>ROUND(Source!P290,O293)</f>
        <v>102082.16</v>
      </c>
      <c r="G293" s="4" t="s">
        <v>76</v>
      </c>
      <c r="H293" s="4" t="s">
        <v>77</v>
      </c>
      <c r="I293" s="4"/>
      <c r="J293" s="4"/>
      <c r="K293" s="4">
        <v>202</v>
      </c>
      <c r="L293" s="4">
        <v>2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102082.16</v>
      </c>
      <c r="X293" s="4">
        <v>1</v>
      </c>
      <c r="Y293" s="4">
        <v>102082.16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222</v>
      </c>
      <c r="F294" s="4">
        <f>ROUND(Source!AO290,O294)</f>
        <v>0</v>
      </c>
      <c r="G294" s="4" t="s">
        <v>78</v>
      </c>
      <c r="H294" s="4" t="s">
        <v>79</v>
      </c>
      <c r="I294" s="4"/>
      <c r="J294" s="4"/>
      <c r="K294" s="4">
        <v>222</v>
      </c>
      <c r="L294" s="4">
        <v>3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225</v>
      </c>
      <c r="F295" s="4">
        <f>ROUND(Source!AV290,O295)</f>
        <v>102082.16</v>
      </c>
      <c r="G295" s="4" t="s">
        <v>80</v>
      </c>
      <c r="H295" s="4" t="s">
        <v>81</v>
      </c>
      <c r="I295" s="4"/>
      <c r="J295" s="4"/>
      <c r="K295" s="4">
        <v>225</v>
      </c>
      <c r="L295" s="4">
        <v>4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102082.16</v>
      </c>
      <c r="X295" s="4">
        <v>1</v>
      </c>
      <c r="Y295" s="4">
        <v>102082.16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226</v>
      </c>
      <c r="F296" s="4">
        <f>ROUND(Source!AW290,O296)</f>
        <v>102082.16</v>
      </c>
      <c r="G296" s="4" t="s">
        <v>82</v>
      </c>
      <c r="H296" s="4" t="s">
        <v>83</v>
      </c>
      <c r="I296" s="4"/>
      <c r="J296" s="4"/>
      <c r="K296" s="4">
        <v>226</v>
      </c>
      <c r="L296" s="4">
        <v>5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102082.16</v>
      </c>
      <c r="X296" s="4">
        <v>1</v>
      </c>
      <c r="Y296" s="4">
        <v>102082.16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227</v>
      </c>
      <c r="F297" s="4">
        <f>ROUND(Source!AX290,O297)</f>
        <v>0</v>
      </c>
      <c r="G297" s="4" t="s">
        <v>84</v>
      </c>
      <c r="H297" s="4" t="s">
        <v>85</v>
      </c>
      <c r="I297" s="4"/>
      <c r="J297" s="4"/>
      <c r="K297" s="4">
        <v>227</v>
      </c>
      <c r="L297" s="4">
        <v>6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228</v>
      </c>
      <c r="F298" s="4">
        <f>ROUND(Source!AY290,O298)</f>
        <v>102082.16</v>
      </c>
      <c r="G298" s="4" t="s">
        <v>86</v>
      </c>
      <c r="H298" s="4" t="s">
        <v>87</v>
      </c>
      <c r="I298" s="4"/>
      <c r="J298" s="4"/>
      <c r="K298" s="4">
        <v>228</v>
      </c>
      <c r="L298" s="4">
        <v>7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102082.16</v>
      </c>
      <c r="X298" s="4">
        <v>1</v>
      </c>
      <c r="Y298" s="4">
        <v>102082.16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216</v>
      </c>
      <c r="F299" s="4">
        <f>ROUND(Source!AP290,O299)</f>
        <v>0</v>
      </c>
      <c r="G299" s="4" t="s">
        <v>88</v>
      </c>
      <c r="H299" s="4" t="s">
        <v>89</v>
      </c>
      <c r="I299" s="4"/>
      <c r="J299" s="4"/>
      <c r="K299" s="4">
        <v>216</v>
      </c>
      <c r="L299" s="4">
        <v>8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223</v>
      </c>
      <c r="F300" s="4">
        <f>ROUND(Source!AQ290,O300)</f>
        <v>0</v>
      </c>
      <c r="G300" s="4" t="s">
        <v>90</v>
      </c>
      <c r="H300" s="4" t="s">
        <v>91</v>
      </c>
      <c r="I300" s="4"/>
      <c r="J300" s="4"/>
      <c r="K300" s="4">
        <v>223</v>
      </c>
      <c r="L300" s="4">
        <v>9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229</v>
      </c>
      <c r="F301" s="4">
        <f>ROUND(Source!AZ290,O301)</f>
        <v>0</v>
      </c>
      <c r="G301" s="4" t="s">
        <v>92</v>
      </c>
      <c r="H301" s="4" t="s">
        <v>93</v>
      </c>
      <c r="I301" s="4"/>
      <c r="J301" s="4"/>
      <c r="K301" s="4">
        <v>229</v>
      </c>
      <c r="L301" s="4">
        <v>10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06" x14ac:dyDescent="0.2">
      <c r="A302" s="4">
        <v>50</v>
      </c>
      <c r="B302" s="4">
        <v>0</v>
      </c>
      <c r="C302" s="4">
        <v>0</v>
      </c>
      <c r="D302" s="4">
        <v>1</v>
      </c>
      <c r="E302" s="4">
        <v>203</v>
      </c>
      <c r="F302" s="4">
        <f>ROUND(Source!Q290,O302)</f>
        <v>362.25</v>
      </c>
      <c r="G302" s="4" t="s">
        <v>94</v>
      </c>
      <c r="H302" s="4" t="s">
        <v>95</v>
      </c>
      <c r="I302" s="4"/>
      <c r="J302" s="4"/>
      <c r="K302" s="4">
        <v>203</v>
      </c>
      <c r="L302" s="4">
        <v>11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362.25</v>
      </c>
      <c r="X302" s="4">
        <v>1</v>
      </c>
      <c r="Y302" s="4">
        <v>362.25</v>
      </c>
      <c r="Z302" s="4"/>
      <c r="AA302" s="4"/>
      <c r="AB302" s="4"/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231</v>
      </c>
      <c r="F303" s="4">
        <f>ROUND(Source!BB290,O303)</f>
        <v>0</v>
      </c>
      <c r="G303" s="4" t="s">
        <v>96</v>
      </c>
      <c r="H303" s="4" t="s">
        <v>97</v>
      </c>
      <c r="I303" s="4"/>
      <c r="J303" s="4"/>
      <c r="K303" s="4">
        <v>231</v>
      </c>
      <c r="L303" s="4">
        <v>12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204</v>
      </c>
      <c r="F304" s="4">
        <f>ROUND(Source!R290,O304)</f>
        <v>15.67</v>
      </c>
      <c r="G304" s="4" t="s">
        <v>98</v>
      </c>
      <c r="H304" s="4" t="s">
        <v>99</v>
      </c>
      <c r="I304" s="4"/>
      <c r="J304" s="4"/>
      <c r="K304" s="4">
        <v>204</v>
      </c>
      <c r="L304" s="4">
        <v>13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15.67</v>
      </c>
      <c r="X304" s="4">
        <v>1</v>
      </c>
      <c r="Y304" s="4">
        <v>15.67</v>
      </c>
      <c r="Z304" s="4"/>
      <c r="AA304" s="4"/>
      <c r="AB304" s="4"/>
    </row>
    <row r="305" spans="1:88" x14ac:dyDescent="0.2">
      <c r="A305" s="4">
        <v>50</v>
      </c>
      <c r="B305" s="4">
        <v>0</v>
      </c>
      <c r="C305" s="4">
        <v>0</v>
      </c>
      <c r="D305" s="4">
        <v>1</v>
      </c>
      <c r="E305" s="4">
        <v>205</v>
      </c>
      <c r="F305" s="4">
        <f>ROUND(Source!S290,O305)</f>
        <v>29276.5</v>
      </c>
      <c r="G305" s="4" t="s">
        <v>100</v>
      </c>
      <c r="H305" s="4" t="s">
        <v>101</v>
      </c>
      <c r="I305" s="4"/>
      <c r="J305" s="4"/>
      <c r="K305" s="4">
        <v>205</v>
      </c>
      <c r="L305" s="4">
        <v>14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29276.5</v>
      </c>
      <c r="X305" s="4">
        <v>1</v>
      </c>
      <c r="Y305" s="4">
        <v>29276.5</v>
      </c>
      <c r="Z305" s="4"/>
      <c r="AA305" s="4"/>
      <c r="AB305" s="4"/>
    </row>
    <row r="306" spans="1:88" x14ac:dyDescent="0.2">
      <c r="A306" s="4">
        <v>50</v>
      </c>
      <c r="B306" s="4">
        <v>0</v>
      </c>
      <c r="C306" s="4">
        <v>0</v>
      </c>
      <c r="D306" s="4">
        <v>1</v>
      </c>
      <c r="E306" s="4">
        <v>232</v>
      </c>
      <c r="F306" s="4">
        <f>ROUND(Source!BC290,O306)</f>
        <v>0</v>
      </c>
      <c r="G306" s="4" t="s">
        <v>102</v>
      </c>
      <c r="H306" s="4" t="s">
        <v>103</v>
      </c>
      <c r="I306" s="4"/>
      <c r="J306" s="4"/>
      <c r="K306" s="4">
        <v>232</v>
      </c>
      <c r="L306" s="4">
        <v>15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0</v>
      </c>
      <c r="X306" s="4">
        <v>1</v>
      </c>
      <c r="Y306" s="4">
        <v>0</v>
      </c>
      <c r="Z306" s="4"/>
      <c r="AA306" s="4"/>
      <c r="AB306" s="4"/>
    </row>
    <row r="307" spans="1:88" x14ac:dyDescent="0.2">
      <c r="A307" s="4">
        <v>50</v>
      </c>
      <c r="B307" s="4">
        <v>0</v>
      </c>
      <c r="C307" s="4">
        <v>0</v>
      </c>
      <c r="D307" s="4">
        <v>1</v>
      </c>
      <c r="E307" s="4">
        <v>214</v>
      </c>
      <c r="F307" s="4">
        <f>ROUND(Source!AS290,O307)</f>
        <v>0</v>
      </c>
      <c r="G307" s="4" t="s">
        <v>104</v>
      </c>
      <c r="H307" s="4" t="s">
        <v>105</v>
      </c>
      <c r="I307" s="4"/>
      <c r="J307" s="4"/>
      <c r="K307" s="4">
        <v>214</v>
      </c>
      <c r="L307" s="4">
        <v>16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88" x14ac:dyDescent="0.2">
      <c r="A308" s="4">
        <v>50</v>
      </c>
      <c r="B308" s="4">
        <v>0</v>
      </c>
      <c r="C308" s="4">
        <v>0</v>
      </c>
      <c r="D308" s="4">
        <v>1</v>
      </c>
      <c r="E308" s="4">
        <v>215</v>
      </c>
      <c r="F308" s="4">
        <f>ROUND(Source!AT290,O308)</f>
        <v>0</v>
      </c>
      <c r="G308" s="4" t="s">
        <v>106</v>
      </c>
      <c r="H308" s="4" t="s">
        <v>107</v>
      </c>
      <c r="I308" s="4"/>
      <c r="J308" s="4"/>
      <c r="K308" s="4">
        <v>215</v>
      </c>
      <c r="L308" s="4">
        <v>17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88" x14ac:dyDescent="0.2">
      <c r="A309" s="4">
        <v>50</v>
      </c>
      <c r="B309" s="4">
        <v>0</v>
      </c>
      <c r="C309" s="4">
        <v>0</v>
      </c>
      <c r="D309" s="4">
        <v>1</v>
      </c>
      <c r="E309" s="4">
        <v>217</v>
      </c>
      <c r="F309" s="4">
        <f>ROUND(Source!AU290,O309)</f>
        <v>155159.03</v>
      </c>
      <c r="G309" s="4" t="s">
        <v>108</v>
      </c>
      <c r="H309" s="4" t="s">
        <v>109</v>
      </c>
      <c r="I309" s="4"/>
      <c r="J309" s="4"/>
      <c r="K309" s="4">
        <v>217</v>
      </c>
      <c r="L309" s="4">
        <v>18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155159.03</v>
      </c>
      <c r="X309" s="4">
        <v>1</v>
      </c>
      <c r="Y309" s="4">
        <v>155159.03</v>
      </c>
      <c r="Z309" s="4"/>
      <c r="AA309" s="4"/>
      <c r="AB309" s="4"/>
    </row>
    <row r="310" spans="1:88" x14ac:dyDescent="0.2">
      <c r="A310" s="4">
        <v>50</v>
      </c>
      <c r="B310" s="4">
        <v>0</v>
      </c>
      <c r="C310" s="4">
        <v>0</v>
      </c>
      <c r="D310" s="4">
        <v>1</v>
      </c>
      <c r="E310" s="4">
        <v>230</v>
      </c>
      <c r="F310" s="4">
        <f>ROUND(Source!BA290,O310)</f>
        <v>0</v>
      </c>
      <c r="G310" s="4" t="s">
        <v>110</v>
      </c>
      <c r="H310" s="4" t="s">
        <v>111</v>
      </c>
      <c r="I310" s="4"/>
      <c r="J310" s="4"/>
      <c r="K310" s="4">
        <v>230</v>
      </c>
      <c r="L310" s="4">
        <v>19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88" x14ac:dyDescent="0.2">
      <c r="A311" s="4">
        <v>50</v>
      </c>
      <c r="B311" s="4">
        <v>0</v>
      </c>
      <c r="C311" s="4">
        <v>0</v>
      </c>
      <c r="D311" s="4">
        <v>1</v>
      </c>
      <c r="E311" s="4">
        <v>206</v>
      </c>
      <c r="F311" s="4">
        <f>ROUND(Source!T290,O311)</f>
        <v>0</v>
      </c>
      <c r="G311" s="4" t="s">
        <v>112</v>
      </c>
      <c r="H311" s="4" t="s">
        <v>113</v>
      </c>
      <c r="I311" s="4"/>
      <c r="J311" s="4"/>
      <c r="K311" s="4">
        <v>206</v>
      </c>
      <c r="L311" s="4">
        <v>20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88" x14ac:dyDescent="0.2">
      <c r="A312" s="4">
        <v>50</v>
      </c>
      <c r="B312" s="4">
        <v>0</v>
      </c>
      <c r="C312" s="4">
        <v>0</v>
      </c>
      <c r="D312" s="4">
        <v>1</v>
      </c>
      <c r="E312" s="4">
        <v>207</v>
      </c>
      <c r="F312" s="4">
        <f>Source!U290</f>
        <v>63.528148999999999</v>
      </c>
      <c r="G312" s="4" t="s">
        <v>114</v>
      </c>
      <c r="H312" s="4" t="s">
        <v>115</v>
      </c>
      <c r="I312" s="4"/>
      <c r="J312" s="4"/>
      <c r="K312" s="4">
        <v>207</v>
      </c>
      <c r="L312" s="4">
        <v>21</v>
      </c>
      <c r="M312" s="4">
        <v>3</v>
      </c>
      <c r="N312" s="4" t="s">
        <v>3</v>
      </c>
      <c r="O312" s="4">
        <v>-1</v>
      </c>
      <c r="P312" s="4"/>
      <c r="Q312" s="4"/>
      <c r="R312" s="4"/>
      <c r="S312" s="4"/>
      <c r="T312" s="4"/>
      <c r="U312" s="4"/>
      <c r="V312" s="4"/>
      <c r="W312" s="4">
        <v>63.528148999999999</v>
      </c>
      <c r="X312" s="4">
        <v>1</v>
      </c>
      <c r="Y312" s="4">
        <v>63.528148999999999</v>
      </c>
      <c r="Z312" s="4"/>
      <c r="AA312" s="4"/>
      <c r="AB312" s="4"/>
    </row>
    <row r="313" spans="1:88" x14ac:dyDescent="0.2">
      <c r="A313" s="4">
        <v>50</v>
      </c>
      <c r="B313" s="4">
        <v>0</v>
      </c>
      <c r="C313" s="4">
        <v>0</v>
      </c>
      <c r="D313" s="4">
        <v>1</v>
      </c>
      <c r="E313" s="4">
        <v>208</v>
      </c>
      <c r="F313" s="4">
        <f>Source!V290</f>
        <v>0</v>
      </c>
      <c r="G313" s="4" t="s">
        <v>116</v>
      </c>
      <c r="H313" s="4" t="s">
        <v>117</v>
      </c>
      <c r="I313" s="4"/>
      <c r="J313" s="4"/>
      <c r="K313" s="4">
        <v>208</v>
      </c>
      <c r="L313" s="4">
        <v>22</v>
      </c>
      <c r="M313" s="4">
        <v>3</v>
      </c>
      <c r="N313" s="4" t="s">
        <v>3</v>
      </c>
      <c r="O313" s="4">
        <v>-1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88" x14ac:dyDescent="0.2">
      <c r="A314" s="4">
        <v>50</v>
      </c>
      <c r="B314" s="4">
        <v>0</v>
      </c>
      <c r="C314" s="4">
        <v>0</v>
      </c>
      <c r="D314" s="4">
        <v>1</v>
      </c>
      <c r="E314" s="4">
        <v>209</v>
      </c>
      <c r="F314" s="4">
        <f>ROUND(Source!W290,O314)</f>
        <v>0</v>
      </c>
      <c r="G314" s="4" t="s">
        <v>118</v>
      </c>
      <c r="H314" s="4" t="s">
        <v>119</v>
      </c>
      <c r="I314" s="4"/>
      <c r="J314" s="4"/>
      <c r="K314" s="4">
        <v>209</v>
      </c>
      <c r="L314" s="4">
        <v>23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88" x14ac:dyDescent="0.2">
      <c r="A315" s="4">
        <v>50</v>
      </c>
      <c r="B315" s="4">
        <v>0</v>
      </c>
      <c r="C315" s="4">
        <v>0</v>
      </c>
      <c r="D315" s="4">
        <v>1</v>
      </c>
      <c r="E315" s="4">
        <v>233</v>
      </c>
      <c r="F315" s="4">
        <f>ROUND(Source!BD290,O315)</f>
        <v>0</v>
      </c>
      <c r="G315" s="4" t="s">
        <v>120</v>
      </c>
      <c r="H315" s="4" t="s">
        <v>121</v>
      </c>
      <c r="I315" s="4"/>
      <c r="J315" s="4"/>
      <c r="K315" s="4">
        <v>233</v>
      </c>
      <c r="L315" s="4">
        <v>24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88" x14ac:dyDescent="0.2">
      <c r="A316" s="4">
        <v>50</v>
      </c>
      <c r="B316" s="4">
        <v>0</v>
      </c>
      <c r="C316" s="4">
        <v>0</v>
      </c>
      <c r="D316" s="4">
        <v>1</v>
      </c>
      <c r="E316" s="4">
        <v>210</v>
      </c>
      <c r="F316" s="4">
        <f>ROUND(Source!X290,O316)</f>
        <v>20493.54</v>
      </c>
      <c r="G316" s="4" t="s">
        <v>122</v>
      </c>
      <c r="H316" s="4" t="s">
        <v>123</v>
      </c>
      <c r="I316" s="4"/>
      <c r="J316" s="4"/>
      <c r="K316" s="4">
        <v>210</v>
      </c>
      <c r="L316" s="4">
        <v>25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20493.54</v>
      </c>
      <c r="X316" s="4">
        <v>1</v>
      </c>
      <c r="Y316" s="4">
        <v>20493.54</v>
      </c>
      <c r="Z316" s="4"/>
      <c r="AA316" s="4"/>
      <c r="AB316" s="4"/>
    </row>
    <row r="317" spans="1:88" x14ac:dyDescent="0.2">
      <c r="A317" s="4">
        <v>50</v>
      </c>
      <c r="B317" s="4">
        <v>0</v>
      </c>
      <c r="C317" s="4">
        <v>0</v>
      </c>
      <c r="D317" s="4">
        <v>1</v>
      </c>
      <c r="E317" s="4">
        <v>211</v>
      </c>
      <c r="F317" s="4">
        <f>ROUND(Source!Y290,O317)</f>
        <v>2927.65</v>
      </c>
      <c r="G317" s="4" t="s">
        <v>124</v>
      </c>
      <c r="H317" s="4" t="s">
        <v>125</v>
      </c>
      <c r="I317" s="4"/>
      <c r="J317" s="4"/>
      <c r="K317" s="4">
        <v>211</v>
      </c>
      <c r="L317" s="4">
        <v>26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2927.65</v>
      </c>
      <c r="X317" s="4">
        <v>1</v>
      </c>
      <c r="Y317" s="4">
        <v>2927.65</v>
      </c>
      <c r="Z317" s="4"/>
      <c r="AA317" s="4"/>
      <c r="AB317" s="4"/>
    </row>
    <row r="318" spans="1:88" x14ac:dyDescent="0.2">
      <c r="A318" s="4">
        <v>50</v>
      </c>
      <c r="B318" s="4">
        <v>0</v>
      </c>
      <c r="C318" s="4">
        <v>0</v>
      </c>
      <c r="D318" s="4">
        <v>1</v>
      </c>
      <c r="E318" s="4">
        <v>224</v>
      </c>
      <c r="F318" s="4">
        <f>ROUND(Source!AR290,O318)</f>
        <v>155159.03</v>
      </c>
      <c r="G318" s="4" t="s">
        <v>126</v>
      </c>
      <c r="H318" s="4" t="s">
        <v>127</v>
      </c>
      <c r="I318" s="4"/>
      <c r="J318" s="4"/>
      <c r="K318" s="4">
        <v>224</v>
      </c>
      <c r="L318" s="4">
        <v>27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155159.03</v>
      </c>
      <c r="X318" s="4">
        <v>1</v>
      </c>
      <c r="Y318" s="4">
        <v>155159.03</v>
      </c>
      <c r="Z318" s="4"/>
      <c r="AA318" s="4"/>
      <c r="AB318" s="4"/>
    </row>
    <row r="320" spans="1:88" x14ac:dyDescent="0.2">
      <c r="A320" s="1">
        <v>5</v>
      </c>
      <c r="B320" s="1">
        <v>1</v>
      </c>
      <c r="C320" s="1"/>
      <c r="D320" s="1">
        <f>ROW(A327)</f>
        <v>327</v>
      </c>
      <c r="E320" s="1"/>
      <c r="F320" s="1" t="s">
        <v>15</v>
      </c>
      <c r="G320" s="1" t="s">
        <v>128</v>
      </c>
      <c r="H320" s="1" t="s">
        <v>3</v>
      </c>
      <c r="I320" s="1">
        <v>0</v>
      </c>
      <c r="J320" s="1"/>
      <c r="K320" s="1">
        <v>0</v>
      </c>
      <c r="L320" s="1"/>
      <c r="M320" s="1" t="s">
        <v>3</v>
      </c>
      <c r="N320" s="1"/>
      <c r="O320" s="1"/>
      <c r="P320" s="1"/>
      <c r="Q320" s="1"/>
      <c r="R320" s="1"/>
      <c r="S320" s="1">
        <v>0</v>
      </c>
      <c r="T320" s="1"/>
      <c r="U320" s="1" t="s">
        <v>3</v>
      </c>
      <c r="V320" s="1">
        <v>0</v>
      </c>
      <c r="W320" s="1"/>
      <c r="X320" s="1"/>
      <c r="Y320" s="1"/>
      <c r="Z320" s="1"/>
      <c r="AA320" s="1"/>
      <c r="AB320" s="1" t="s">
        <v>3</v>
      </c>
      <c r="AC320" s="1" t="s">
        <v>3</v>
      </c>
      <c r="AD320" s="1" t="s">
        <v>3</v>
      </c>
      <c r="AE320" s="1" t="s">
        <v>3</v>
      </c>
      <c r="AF320" s="1" t="s">
        <v>3</v>
      </c>
      <c r="AG320" s="1" t="s">
        <v>3</v>
      </c>
      <c r="AH320" s="1"/>
      <c r="AI320" s="1"/>
      <c r="AJ320" s="1"/>
      <c r="AK320" s="1"/>
      <c r="AL320" s="1"/>
      <c r="AM320" s="1"/>
      <c r="AN320" s="1"/>
      <c r="AO320" s="1"/>
      <c r="AP320" s="1" t="s">
        <v>3</v>
      </c>
      <c r="AQ320" s="1" t="s">
        <v>3</v>
      </c>
      <c r="AR320" s="1" t="s">
        <v>3</v>
      </c>
      <c r="AS320" s="1"/>
      <c r="AT320" s="1"/>
      <c r="AU320" s="1"/>
      <c r="AV320" s="1"/>
      <c r="AW320" s="1"/>
      <c r="AX320" s="1"/>
      <c r="AY320" s="1"/>
      <c r="AZ320" s="1" t="s">
        <v>3</v>
      </c>
      <c r="BA320" s="1"/>
      <c r="BB320" s="1" t="s">
        <v>3</v>
      </c>
      <c r="BC320" s="1" t="s">
        <v>3</v>
      </c>
      <c r="BD320" s="1" t="s">
        <v>3</v>
      </c>
      <c r="BE320" s="1" t="s">
        <v>3</v>
      </c>
      <c r="BF320" s="1" t="s">
        <v>3</v>
      </c>
      <c r="BG320" s="1" t="s">
        <v>3</v>
      </c>
      <c r="BH320" s="1" t="s">
        <v>3</v>
      </c>
      <c r="BI320" s="1" t="s">
        <v>3</v>
      </c>
      <c r="BJ320" s="1" t="s">
        <v>3</v>
      </c>
      <c r="BK320" s="1" t="s">
        <v>3</v>
      </c>
      <c r="BL320" s="1" t="s">
        <v>3</v>
      </c>
      <c r="BM320" s="1" t="s">
        <v>3</v>
      </c>
      <c r="BN320" s="1" t="s">
        <v>3</v>
      </c>
      <c r="BO320" s="1" t="s">
        <v>3</v>
      </c>
      <c r="BP320" s="1" t="s">
        <v>3</v>
      </c>
      <c r="BQ320" s="1"/>
      <c r="BR320" s="1"/>
      <c r="BS320" s="1"/>
      <c r="BT320" s="1"/>
      <c r="BU320" s="1"/>
      <c r="BV320" s="1"/>
      <c r="BW320" s="1"/>
      <c r="BX320" s="1">
        <v>0</v>
      </c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>
        <v>0</v>
      </c>
    </row>
    <row r="322" spans="1:245" x14ac:dyDescent="0.2">
      <c r="A322" s="2">
        <v>52</v>
      </c>
      <c r="B322" s="2">
        <f t="shared" ref="B322:G322" si="216">B327</f>
        <v>1</v>
      </c>
      <c r="C322" s="2">
        <f t="shared" si="216"/>
        <v>5</v>
      </c>
      <c r="D322" s="2">
        <f t="shared" si="216"/>
        <v>320</v>
      </c>
      <c r="E322" s="2">
        <f t="shared" si="216"/>
        <v>0</v>
      </c>
      <c r="F322" s="2" t="str">
        <f t="shared" si="216"/>
        <v>Новый подраздел</v>
      </c>
      <c r="G322" s="2" t="str">
        <f t="shared" si="216"/>
        <v>Стены</v>
      </c>
      <c r="H322" s="2"/>
      <c r="I322" s="2"/>
      <c r="J322" s="2"/>
      <c r="K322" s="2"/>
      <c r="L322" s="2"/>
      <c r="M322" s="2"/>
      <c r="N322" s="2"/>
      <c r="O322" s="2">
        <f t="shared" ref="O322:AT322" si="217">O327</f>
        <v>14675.51</v>
      </c>
      <c r="P322" s="2">
        <f t="shared" si="217"/>
        <v>5910.1</v>
      </c>
      <c r="Q322" s="2">
        <f t="shared" si="217"/>
        <v>0</v>
      </c>
      <c r="R322" s="2">
        <f t="shared" si="217"/>
        <v>0</v>
      </c>
      <c r="S322" s="2">
        <f t="shared" si="217"/>
        <v>8765.41</v>
      </c>
      <c r="T322" s="2">
        <f t="shared" si="217"/>
        <v>0</v>
      </c>
      <c r="U322" s="2">
        <f t="shared" si="217"/>
        <v>19.076560000000001</v>
      </c>
      <c r="V322" s="2">
        <f t="shared" si="217"/>
        <v>0</v>
      </c>
      <c r="W322" s="2">
        <f t="shared" si="217"/>
        <v>0</v>
      </c>
      <c r="X322" s="2">
        <f t="shared" si="217"/>
        <v>6135.79</v>
      </c>
      <c r="Y322" s="2">
        <f t="shared" si="217"/>
        <v>876.54</v>
      </c>
      <c r="Z322" s="2">
        <f t="shared" si="217"/>
        <v>0</v>
      </c>
      <c r="AA322" s="2">
        <f t="shared" si="217"/>
        <v>0</v>
      </c>
      <c r="AB322" s="2">
        <f t="shared" si="217"/>
        <v>14675.51</v>
      </c>
      <c r="AC322" s="2">
        <f t="shared" si="217"/>
        <v>5910.1</v>
      </c>
      <c r="AD322" s="2">
        <f t="shared" si="217"/>
        <v>0</v>
      </c>
      <c r="AE322" s="2">
        <f t="shared" si="217"/>
        <v>0</v>
      </c>
      <c r="AF322" s="2">
        <f t="shared" si="217"/>
        <v>8765.41</v>
      </c>
      <c r="AG322" s="2">
        <f t="shared" si="217"/>
        <v>0</v>
      </c>
      <c r="AH322" s="2">
        <f t="shared" si="217"/>
        <v>19.076560000000001</v>
      </c>
      <c r="AI322" s="2">
        <f t="shared" si="217"/>
        <v>0</v>
      </c>
      <c r="AJ322" s="2">
        <f t="shared" si="217"/>
        <v>0</v>
      </c>
      <c r="AK322" s="2">
        <f t="shared" si="217"/>
        <v>6135.79</v>
      </c>
      <c r="AL322" s="2">
        <f t="shared" si="217"/>
        <v>876.54</v>
      </c>
      <c r="AM322" s="2">
        <f t="shared" si="217"/>
        <v>0</v>
      </c>
      <c r="AN322" s="2">
        <f t="shared" si="217"/>
        <v>0</v>
      </c>
      <c r="AO322" s="2">
        <f t="shared" si="217"/>
        <v>0</v>
      </c>
      <c r="AP322" s="2">
        <f t="shared" si="217"/>
        <v>0</v>
      </c>
      <c r="AQ322" s="2">
        <f t="shared" si="217"/>
        <v>0</v>
      </c>
      <c r="AR322" s="2">
        <f t="shared" si="217"/>
        <v>21687.84</v>
      </c>
      <c r="AS322" s="2">
        <f t="shared" si="217"/>
        <v>0</v>
      </c>
      <c r="AT322" s="2">
        <f t="shared" si="217"/>
        <v>0</v>
      </c>
      <c r="AU322" s="2">
        <f t="shared" ref="AU322:BZ322" si="218">AU327</f>
        <v>21687.84</v>
      </c>
      <c r="AV322" s="2">
        <f t="shared" si="218"/>
        <v>5910.1</v>
      </c>
      <c r="AW322" s="2">
        <f t="shared" si="218"/>
        <v>5910.1</v>
      </c>
      <c r="AX322" s="2">
        <f t="shared" si="218"/>
        <v>0</v>
      </c>
      <c r="AY322" s="2">
        <f t="shared" si="218"/>
        <v>5910.1</v>
      </c>
      <c r="AZ322" s="2">
        <f t="shared" si="218"/>
        <v>0</v>
      </c>
      <c r="BA322" s="2">
        <f t="shared" si="218"/>
        <v>0</v>
      </c>
      <c r="BB322" s="2">
        <f t="shared" si="218"/>
        <v>0</v>
      </c>
      <c r="BC322" s="2">
        <f t="shared" si="218"/>
        <v>0</v>
      </c>
      <c r="BD322" s="2">
        <f t="shared" si="218"/>
        <v>0</v>
      </c>
      <c r="BE322" s="2">
        <f t="shared" si="218"/>
        <v>0</v>
      </c>
      <c r="BF322" s="2">
        <f t="shared" si="218"/>
        <v>0</v>
      </c>
      <c r="BG322" s="2">
        <f t="shared" si="218"/>
        <v>0</v>
      </c>
      <c r="BH322" s="2">
        <f t="shared" si="218"/>
        <v>0</v>
      </c>
      <c r="BI322" s="2">
        <f t="shared" si="218"/>
        <v>0</v>
      </c>
      <c r="BJ322" s="2">
        <f t="shared" si="218"/>
        <v>0</v>
      </c>
      <c r="BK322" s="2">
        <f t="shared" si="218"/>
        <v>0</v>
      </c>
      <c r="BL322" s="2">
        <f t="shared" si="218"/>
        <v>0</v>
      </c>
      <c r="BM322" s="2">
        <f t="shared" si="218"/>
        <v>0</v>
      </c>
      <c r="BN322" s="2">
        <f t="shared" si="218"/>
        <v>0</v>
      </c>
      <c r="BO322" s="2">
        <f t="shared" si="218"/>
        <v>0</v>
      </c>
      <c r="BP322" s="2">
        <f t="shared" si="218"/>
        <v>0</v>
      </c>
      <c r="BQ322" s="2">
        <f t="shared" si="218"/>
        <v>0</v>
      </c>
      <c r="BR322" s="2">
        <f t="shared" si="218"/>
        <v>0</v>
      </c>
      <c r="BS322" s="2">
        <f t="shared" si="218"/>
        <v>0</v>
      </c>
      <c r="BT322" s="2">
        <f t="shared" si="218"/>
        <v>0</v>
      </c>
      <c r="BU322" s="2">
        <f t="shared" si="218"/>
        <v>0</v>
      </c>
      <c r="BV322" s="2">
        <f t="shared" si="218"/>
        <v>0</v>
      </c>
      <c r="BW322" s="2">
        <f t="shared" si="218"/>
        <v>0</v>
      </c>
      <c r="BX322" s="2">
        <f t="shared" si="218"/>
        <v>0</v>
      </c>
      <c r="BY322" s="2">
        <f t="shared" si="218"/>
        <v>0</v>
      </c>
      <c r="BZ322" s="2">
        <f t="shared" si="218"/>
        <v>0</v>
      </c>
      <c r="CA322" s="2">
        <f t="shared" ref="CA322:DF322" si="219">CA327</f>
        <v>21687.84</v>
      </c>
      <c r="CB322" s="2">
        <f t="shared" si="219"/>
        <v>0</v>
      </c>
      <c r="CC322" s="2">
        <f t="shared" si="219"/>
        <v>0</v>
      </c>
      <c r="CD322" s="2">
        <f t="shared" si="219"/>
        <v>21687.84</v>
      </c>
      <c r="CE322" s="2">
        <f t="shared" si="219"/>
        <v>5910.1</v>
      </c>
      <c r="CF322" s="2">
        <f t="shared" si="219"/>
        <v>5910.1</v>
      </c>
      <c r="CG322" s="2">
        <f t="shared" si="219"/>
        <v>0</v>
      </c>
      <c r="CH322" s="2">
        <f t="shared" si="219"/>
        <v>5910.1</v>
      </c>
      <c r="CI322" s="2">
        <f t="shared" si="219"/>
        <v>0</v>
      </c>
      <c r="CJ322" s="2">
        <f t="shared" si="219"/>
        <v>0</v>
      </c>
      <c r="CK322" s="2">
        <f t="shared" si="219"/>
        <v>0</v>
      </c>
      <c r="CL322" s="2">
        <f t="shared" si="219"/>
        <v>0</v>
      </c>
      <c r="CM322" s="2">
        <f t="shared" si="219"/>
        <v>0</v>
      </c>
      <c r="CN322" s="2">
        <f t="shared" si="219"/>
        <v>0</v>
      </c>
      <c r="CO322" s="2">
        <f t="shared" si="219"/>
        <v>0</v>
      </c>
      <c r="CP322" s="2">
        <f t="shared" si="219"/>
        <v>0</v>
      </c>
      <c r="CQ322" s="2">
        <f t="shared" si="219"/>
        <v>0</v>
      </c>
      <c r="CR322" s="2">
        <f t="shared" si="219"/>
        <v>0</v>
      </c>
      <c r="CS322" s="2">
        <f t="shared" si="219"/>
        <v>0</v>
      </c>
      <c r="CT322" s="2">
        <f t="shared" si="219"/>
        <v>0</v>
      </c>
      <c r="CU322" s="2">
        <f t="shared" si="219"/>
        <v>0</v>
      </c>
      <c r="CV322" s="2">
        <f t="shared" si="219"/>
        <v>0</v>
      </c>
      <c r="CW322" s="2">
        <f t="shared" si="219"/>
        <v>0</v>
      </c>
      <c r="CX322" s="2">
        <f t="shared" si="219"/>
        <v>0</v>
      </c>
      <c r="CY322" s="2">
        <f t="shared" si="219"/>
        <v>0</v>
      </c>
      <c r="CZ322" s="2">
        <f t="shared" si="219"/>
        <v>0</v>
      </c>
      <c r="DA322" s="2">
        <f t="shared" si="219"/>
        <v>0</v>
      </c>
      <c r="DB322" s="2">
        <f t="shared" si="219"/>
        <v>0</v>
      </c>
      <c r="DC322" s="2">
        <f t="shared" si="219"/>
        <v>0</v>
      </c>
      <c r="DD322" s="2">
        <f t="shared" si="219"/>
        <v>0</v>
      </c>
      <c r="DE322" s="2">
        <f t="shared" si="219"/>
        <v>0</v>
      </c>
      <c r="DF322" s="2">
        <f t="shared" si="219"/>
        <v>0</v>
      </c>
      <c r="DG322" s="3">
        <f t="shared" ref="DG322:EL322" si="220">DG327</f>
        <v>0</v>
      </c>
      <c r="DH322" s="3">
        <f t="shared" si="220"/>
        <v>0</v>
      </c>
      <c r="DI322" s="3">
        <f t="shared" si="220"/>
        <v>0</v>
      </c>
      <c r="DJ322" s="3">
        <f t="shared" si="220"/>
        <v>0</v>
      </c>
      <c r="DK322" s="3">
        <f t="shared" si="220"/>
        <v>0</v>
      </c>
      <c r="DL322" s="3">
        <f t="shared" si="220"/>
        <v>0</v>
      </c>
      <c r="DM322" s="3">
        <f t="shared" si="220"/>
        <v>0</v>
      </c>
      <c r="DN322" s="3">
        <f t="shared" si="220"/>
        <v>0</v>
      </c>
      <c r="DO322" s="3">
        <f t="shared" si="220"/>
        <v>0</v>
      </c>
      <c r="DP322" s="3">
        <f t="shared" si="220"/>
        <v>0</v>
      </c>
      <c r="DQ322" s="3">
        <f t="shared" si="220"/>
        <v>0</v>
      </c>
      <c r="DR322" s="3">
        <f t="shared" si="220"/>
        <v>0</v>
      </c>
      <c r="DS322" s="3">
        <f t="shared" si="220"/>
        <v>0</v>
      </c>
      <c r="DT322" s="3">
        <f t="shared" si="220"/>
        <v>0</v>
      </c>
      <c r="DU322" s="3">
        <f t="shared" si="220"/>
        <v>0</v>
      </c>
      <c r="DV322" s="3">
        <f t="shared" si="220"/>
        <v>0</v>
      </c>
      <c r="DW322" s="3">
        <f t="shared" si="220"/>
        <v>0</v>
      </c>
      <c r="DX322" s="3">
        <f t="shared" si="220"/>
        <v>0</v>
      </c>
      <c r="DY322" s="3">
        <f t="shared" si="220"/>
        <v>0</v>
      </c>
      <c r="DZ322" s="3">
        <f t="shared" si="220"/>
        <v>0</v>
      </c>
      <c r="EA322" s="3">
        <f t="shared" si="220"/>
        <v>0</v>
      </c>
      <c r="EB322" s="3">
        <f t="shared" si="220"/>
        <v>0</v>
      </c>
      <c r="EC322" s="3">
        <f t="shared" si="220"/>
        <v>0</v>
      </c>
      <c r="ED322" s="3">
        <f t="shared" si="220"/>
        <v>0</v>
      </c>
      <c r="EE322" s="3">
        <f t="shared" si="220"/>
        <v>0</v>
      </c>
      <c r="EF322" s="3">
        <f t="shared" si="220"/>
        <v>0</v>
      </c>
      <c r="EG322" s="3">
        <f t="shared" si="220"/>
        <v>0</v>
      </c>
      <c r="EH322" s="3">
        <f t="shared" si="220"/>
        <v>0</v>
      </c>
      <c r="EI322" s="3">
        <f t="shared" si="220"/>
        <v>0</v>
      </c>
      <c r="EJ322" s="3">
        <f t="shared" si="220"/>
        <v>0</v>
      </c>
      <c r="EK322" s="3">
        <f t="shared" si="220"/>
        <v>0</v>
      </c>
      <c r="EL322" s="3">
        <f t="shared" si="220"/>
        <v>0</v>
      </c>
      <c r="EM322" s="3">
        <f t="shared" ref="EM322:FR322" si="221">EM327</f>
        <v>0</v>
      </c>
      <c r="EN322" s="3">
        <f t="shared" si="221"/>
        <v>0</v>
      </c>
      <c r="EO322" s="3">
        <f t="shared" si="221"/>
        <v>0</v>
      </c>
      <c r="EP322" s="3">
        <f t="shared" si="221"/>
        <v>0</v>
      </c>
      <c r="EQ322" s="3">
        <f t="shared" si="221"/>
        <v>0</v>
      </c>
      <c r="ER322" s="3">
        <f t="shared" si="221"/>
        <v>0</v>
      </c>
      <c r="ES322" s="3">
        <f t="shared" si="221"/>
        <v>0</v>
      </c>
      <c r="ET322" s="3">
        <f t="shared" si="221"/>
        <v>0</v>
      </c>
      <c r="EU322" s="3">
        <f t="shared" si="221"/>
        <v>0</v>
      </c>
      <c r="EV322" s="3">
        <f t="shared" si="221"/>
        <v>0</v>
      </c>
      <c r="EW322" s="3">
        <f t="shared" si="221"/>
        <v>0</v>
      </c>
      <c r="EX322" s="3">
        <f t="shared" si="221"/>
        <v>0</v>
      </c>
      <c r="EY322" s="3">
        <f t="shared" si="221"/>
        <v>0</v>
      </c>
      <c r="EZ322" s="3">
        <f t="shared" si="221"/>
        <v>0</v>
      </c>
      <c r="FA322" s="3">
        <f t="shared" si="221"/>
        <v>0</v>
      </c>
      <c r="FB322" s="3">
        <f t="shared" si="221"/>
        <v>0</v>
      </c>
      <c r="FC322" s="3">
        <f t="shared" si="221"/>
        <v>0</v>
      </c>
      <c r="FD322" s="3">
        <f t="shared" si="221"/>
        <v>0</v>
      </c>
      <c r="FE322" s="3">
        <f t="shared" si="221"/>
        <v>0</v>
      </c>
      <c r="FF322" s="3">
        <f t="shared" si="221"/>
        <v>0</v>
      </c>
      <c r="FG322" s="3">
        <f t="shared" si="221"/>
        <v>0</v>
      </c>
      <c r="FH322" s="3">
        <f t="shared" si="221"/>
        <v>0</v>
      </c>
      <c r="FI322" s="3">
        <f t="shared" si="221"/>
        <v>0</v>
      </c>
      <c r="FJ322" s="3">
        <f t="shared" si="221"/>
        <v>0</v>
      </c>
      <c r="FK322" s="3">
        <f t="shared" si="221"/>
        <v>0</v>
      </c>
      <c r="FL322" s="3">
        <f t="shared" si="221"/>
        <v>0</v>
      </c>
      <c r="FM322" s="3">
        <f t="shared" si="221"/>
        <v>0</v>
      </c>
      <c r="FN322" s="3">
        <f t="shared" si="221"/>
        <v>0</v>
      </c>
      <c r="FO322" s="3">
        <f t="shared" si="221"/>
        <v>0</v>
      </c>
      <c r="FP322" s="3">
        <f t="shared" si="221"/>
        <v>0</v>
      </c>
      <c r="FQ322" s="3">
        <f t="shared" si="221"/>
        <v>0</v>
      </c>
      <c r="FR322" s="3">
        <f t="shared" si="221"/>
        <v>0</v>
      </c>
      <c r="FS322" s="3">
        <f t="shared" ref="FS322:GX322" si="222">FS327</f>
        <v>0</v>
      </c>
      <c r="FT322" s="3">
        <f t="shared" si="222"/>
        <v>0</v>
      </c>
      <c r="FU322" s="3">
        <f t="shared" si="222"/>
        <v>0</v>
      </c>
      <c r="FV322" s="3">
        <f t="shared" si="222"/>
        <v>0</v>
      </c>
      <c r="FW322" s="3">
        <f t="shared" si="222"/>
        <v>0</v>
      </c>
      <c r="FX322" s="3">
        <f t="shared" si="222"/>
        <v>0</v>
      </c>
      <c r="FY322" s="3">
        <f t="shared" si="222"/>
        <v>0</v>
      </c>
      <c r="FZ322" s="3">
        <f t="shared" si="222"/>
        <v>0</v>
      </c>
      <c r="GA322" s="3">
        <f t="shared" si="222"/>
        <v>0</v>
      </c>
      <c r="GB322" s="3">
        <f t="shared" si="222"/>
        <v>0</v>
      </c>
      <c r="GC322" s="3">
        <f t="shared" si="222"/>
        <v>0</v>
      </c>
      <c r="GD322" s="3">
        <f t="shared" si="222"/>
        <v>0</v>
      </c>
      <c r="GE322" s="3">
        <f t="shared" si="222"/>
        <v>0</v>
      </c>
      <c r="GF322" s="3">
        <f t="shared" si="222"/>
        <v>0</v>
      </c>
      <c r="GG322" s="3">
        <f t="shared" si="222"/>
        <v>0</v>
      </c>
      <c r="GH322" s="3">
        <f t="shared" si="222"/>
        <v>0</v>
      </c>
      <c r="GI322" s="3">
        <f t="shared" si="222"/>
        <v>0</v>
      </c>
      <c r="GJ322" s="3">
        <f t="shared" si="222"/>
        <v>0</v>
      </c>
      <c r="GK322" s="3">
        <f t="shared" si="222"/>
        <v>0</v>
      </c>
      <c r="GL322" s="3">
        <f t="shared" si="222"/>
        <v>0</v>
      </c>
      <c r="GM322" s="3">
        <f t="shared" si="222"/>
        <v>0</v>
      </c>
      <c r="GN322" s="3">
        <f t="shared" si="222"/>
        <v>0</v>
      </c>
      <c r="GO322" s="3">
        <f t="shared" si="222"/>
        <v>0</v>
      </c>
      <c r="GP322" s="3">
        <f t="shared" si="222"/>
        <v>0</v>
      </c>
      <c r="GQ322" s="3">
        <f t="shared" si="222"/>
        <v>0</v>
      </c>
      <c r="GR322" s="3">
        <f t="shared" si="222"/>
        <v>0</v>
      </c>
      <c r="GS322" s="3">
        <f t="shared" si="222"/>
        <v>0</v>
      </c>
      <c r="GT322" s="3">
        <f t="shared" si="222"/>
        <v>0</v>
      </c>
      <c r="GU322" s="3">
        <f t="shared" si="222"/>
        <v>0</v>
      </c>
      <c r="GV322" s="3">
        <f t="shared" si="222"/>
        <v>0</v>
      </c>
      <c r="GW322" s="3">
        <f t="shared" si="222"/>
        <v>0</v>
      </c>
      <c r="GX322" s="3">
        <f t="shared" si="222"/>
        <v>0</v>
      </c>
    </row>
    <row r="324" spans="1:245" x14ac:dyDescent="0.2">
      <c r="A324">
        <v>17</v>
      </c>
      <c r="B324">
        <v>1</v>
      </c>
      <c r="C324">
        <f>ROW(SmtRes!A134)</f>
        <v>134</v>
      </c>
      <c r="D324">
        <f>ROW(EtalonRes!A121)</f>
        <v>121</v>
      </c>
      <c r="E324" t="s">
        <v>245</v>
      </c>
      <c r="F324" t="s">
        <v>246</v>
      </c>
      <c r="G324" t="s">
        <v>247</v>
      </c>
      <c r="H324" t="s">
        <v>32</v>
      </c>
      <c r="I324">
        <f>ROUND(77.8/100,9)</f>
        <v>0.77800000000000002</v>
      </c>
      <c r="J324">
        <v>0</v>
      </c>
      <c r="K324">
        <f>ROUND(77.8/100,9)</f>
        <v>0.77800000000000002</v>
      </c>
      <c r="O324">
        <f>ROUND(CP324,2)</f>
        <v>14412.24</v>
      </c>
      <c r="P324">
        <f>ROUND(CQ324*I324,2)</f>
        <v>5646.83</v>
      </c>
      <c r="Q324">
        <f>ROUND(CR324*I324,2)</f>
        <v>0</v>
      </c>
      <c r="R324">
        <f>ROUND(CS324*I324,2)</f>
        <v>0</v>
      </c>
      <c r="S324">
        <f>ROUND(CT324*I324,2)</f>
        <v>8765.41</v>
      </c>
      <c r="T324">
        <f>ROUND(CU324*I324,2)</f>
        <v>0</v>
      </c>
      <c r="U324">
        <f>CV324*I324</f>
        <v>19.076560000000001</v>
      </c>
      <c r="V324">
        <f>CW324*I324</f>
        <v>0</v>
      </c>
      <c r="W324">
        <f>ROUND(CX324*I324,2)</f>
        <v>0</v>
      </c>
      <c r="X324">
        <f>ROUND(CY324,2)</f>
        <v>6135.79</v>
      </c>
      <c r="Y324">
        <f>ROUND(CZ324,2)</f>
        <v>876.54</v>
      </c>
      <c r="AA324">
        <v>75700856</v>
      </c>
      <c r="AB324">
        <f>ROUND((AC324+AD324+AF324),6)</f>
        <v>18524.72</v>
      </c>
      <c r="AC324">
        <f>ROUND((ES324),6)</f>
        <v>7258.13</v>
      </c>
      <c r="AD324">
        <f>ROUND((((ET324)-(EU324))+AE324),6)</f>
        <v>0</v>
      </c>
      <c r="AE324">
        <f>ROUND((EU324),6)</f>
        <v>0</v>
      </c>
      <c r="AF324">
        <f>ROUND((EV324),6)</f>
        <v>11266.59</v>
      </c>
      <c r="AG324">
        <f>ROUND((AP324),6)</f>
        <v>0</v>
      </c>
      <c r="AH324">
        <f>(EW324)</f>
        <v>24.52</v>
      </c>
      <c r="AI324">
        <f>(EX324)</f>
        <v>0</v>
      </c>
      <c r="AJ324">
        <f>(AS324)</f>
        <v>0</v>
      </c>
      <c r="AK324">
        <v>18524.72</v>
      </c>
      <c r="AL324">
        <v>7258.13</v>
      </c>
      <c r="AM324">
        <v>0</v>
      </c>
      <c r="AN324">
        <v>0</v>
      </c>
      <c r="AO324">
        <v>11266.59</v>
      </c>
      <c r="AP324">
        <v>0</v>
      </c>
      <c r="AQ324">
        <v>24.52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248</v>
      </c>
      <c r="BM324">
        <v>0</v>
      </c>
      <c r="BN324">
        <v>75371441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>(P324+Q324+S324)</f>
        <v>14412.24</v>
      </c>
      <c r="CQ324">
        <f>(AC324*BC324*AW324)</f>
        <v>7258.13</v>
      </c>
      <c r="CR324">
        <f>((((ET324)*BB324-(EU324)*BS324)+AE324*BS324)*AV324)</f>
        <v>0</v>
      </c>
      <c r="CS324">
        <f>(AE324*BS324*AV324)</f>
        <v>0</v>
      </c>
      <c r="CT324">
        <f>(AF324*BA324*AV324)</f>
        <v>11266.59</v>
      </c>
      <c r="CU324">
        <f>AG324</f>
        <v>0</v>
      </c>
      <c r="CV324">
        <f>(AH324*AV324)</f>
        <v>24.52</v>
      </c>
      <c r="CW324">
        <f>AI324</f>
        <v>0</v>
      </c>
      <c r="CX324">
        <f>AJ324</f>
        <v>0</v>
      </c>
      <c r="CY324">
        <f>((S324*BZ324)/100)</f>
        <v>6135.7869999999994</v>
      </c>
      <c r="CZ324">
        <f>((S324*CA324)/100)</f>
        <v>876.54100000000005</v>
      </c>
      <c r="DC324" t="s">
        <v>3</v>
      </c>
      <c r="DD324" t="s">
        <v>3</v>
      </c>
      <c r="DE324" t="s">
        <v>3</v>
      </c>
      <c r="DF324" t="s">
        <v>3</v>
      </c>
      <c r="DG324" t="s">
        <v>3</v>
      </c>
      <c r="DH324" t="s">
        <v>3</v>
      </c>
      <c r="DI324" t="s">
        <v>3</v>
      </c>
      <c r="DJ324" t="s">
        <v>3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1005</v>
      </c>
      <c r="DV324" t="s">
        <v>32</v>
      </c>
      <c r="DW324" t="s">
        <v>32</v>
      </c>
      <c r="DX324">
        <v>100</v>
      </c>
      <c r="DZ324" t="s">
        <v>3</v>
      </c>
      <c r="EA324" t="s">
        <v>3</v>
      </c>
      <c r="EB324" t="s">
        <v>3</v>
      </c>
      <c r="EC324" t="s">
        <v>3</v>
      </c>
      <c r="EE324">
        <v>75371444</v>
      </c>
      <c r="EF324">
        <v>1</v>
      </c>
      <c r="EG324" t="s">
        <v>22</v>
      </c>
      <c r="EH324">
        <v>0</v>
      </c>
      <c r="EI324" t="s">
        <v>3</v>
      </c>
      <c r="EJ324">
        <v>4</v>
      </c>
      <c r="EK324">
        <v>0</v>
      </c>
      <c r="EL324" t="s">
        <v>23</v>
      </c>
      <c r="EM324" t="s">
        <v>24</v>
      </c>
      <c r="EO324" t="s">
        <v>3</v>
      </c>
      <c r="EQ324">
        <v>0</v>
      </c>
      <c r="ER324">
        <v>18524.72</v>
      </c>
      <c r="ES324">
        <v>7258.13</v>
      </c>
      <c r="ET324">
        <v>0</v>
      </c>
      <c r="EU324">
        <v>0</v>
      </c>
      <c r="EV324">
        <v>11266.59</v>
      </c>
      <c r="EW324">
        <v>24.52</v>
      </c>
      <c r="EX324">
        <v>0</v>
      </c>
      <c r="EY324">
        <v>0</v>
      </c>
      <c r="FQ324">
        <v>0</v>
      </c>
      <c r="FR324">
        <f>ROUND(IF(BI324=3,GM324,0),2)</f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-2010515144</v>
      </c>
      <c r="GG324">
        <v>2</v>
      </c>
      <c r="GH324">
        <v>1</v>
      </c>
      <c r="GI324">
        <v>-2</v>
      </c>
      <c r="GJ324">
        <v>0</v>
      </c>
      <c r="GK324">
        <f>ROUND(R324*(R12)/100,2)</f>
        <v>0</v>
      </c>
      <c r="GL324">
        <f>ROUND(IF(AND(BH324=3,BI324=3,FS324&lt;&gt;0),P324,0),2)</f>
        <v>0</v>
      </c>
      <c r="GM324">
        <f>ROUND(O324+X324+Y324+GK324,2)+GX324</f>
        <v>21424.57</v>
      </c>
      <c r="GN324">
        <f>IF(OR(BI324=0,BI324=1),GM324-GX324,0)</f>
        <v>0</v>
      </c>
      <c r="GO324">
        <f>IF(BI324=2,GM324-GX324,0)</f>
        <v>0</v>
      </c>
      <c r="GP324">
        <f>IF(BI324=4,GM324-GX324,0)</f>
        <v>21424.57</v>
      </c>
      <c r="GR324">
        <v>0</v>
      </c>
      <c r="GS324">
        <v>3</v>
      </c>
      <c r="GT324">
        <v>0</v>
      </c>
      <c r="GU324" t="s">
        <v>3</v>
      </c>
      <c r="GV324">
        <f>ROUND((GT324),6)</f>
        <v>0</v>
      </c>
      <c r="GW324">
        <v>1</v>
      </c>
      <c r="GX324">
        <f>ROUND(HC324*I324,2)</f>
        <v>0</v>
      </c>
      <c r="HA324">
        <v>0</v>
      </c>
      <c r="HB324">
        <v>0</v>
      </c>
      <c r="HC324">
        <f>GV324*GW324</f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18</v>
      </c>
      <c r="B325">
        <v>1</v>
      </c>
      <c r="C325">
        <v>132</v>
      </c>
      <c r="E325" t="s">
        <v>249</v>
      </c>
      <c r="F325" t="s">
        <v>146</v>
      </c>
      <c r="G325" t="s">
        <v>147</v>
      </c>
      <c r="H325" t="s">
        <v>68</v>
      </c>
      <c r="I325">
        <f>I324*J325</f>
        <v>1.323E-3</v>
      </c>
      <c r="J325">
        <v>1.7005141388174807E-3</v>
      </c>
      <c r="K325">
        <v>1.6999999999999999E-3</v>
      </c>
      <c r="O325">
        <f>ROUND(CP325,2)</f>
        <v>263.27</v>
      </c>
      <c r="P325">
        <f>ROUND(CQ325*I325,2)</f>
        <v>263.27</v>
      </c>
      <c r="Q325">
        <f>ROUND(CR325*I325,2)</f>
        <v>0</v>
      </c>
      <c r="R325">
        <f>ROUND(CS325*I325,2)</f>
        <v>0</v>
      </c>
      <c r="S325">
        <f>ROUND(CT325*I325,2)</f>
        <v>0</v>
      </c>
      <c r="T325">
        <f>ROUND(CU325*I325,2)</f>
        <v>0</v>
      </c>
      <c r="U325">
        <f>CV325*I325</f>
        <v>0</v>
      </c>
      <c r="V325">
        <f>CW325*I325</f>
        <v>0</v>
      </c>
      <c r="W325">
        <f>ROUND(CX325*I325,2)</f>
        <v>0</v>
      </c>
      <c r="X325">
        <f>ROUND(CY325,2)</f>
        <v>0</v>
      </c>
      <c r="Y325">
        <f>ROUND(CZ325,2)</f>
        <v>0</v>
      </c>
      <c r="AA325">
        <v>75700856</v>
      </c>
      <c r="AB325">
        <f>ROUND((AC325+AD325+AF325),6)</f>
        <v>198992.34</v>
      </c>
      <c r="AC325">
        <f>ROUND((ES325),6)</f>
        <v>198992.34</v>
      </c>
      <c r="AD325">
        <f>ROUND((((ET325)-(EU325))+AE325),6)</f>
        <v>0</v>
      </c>
      <c r="AE325">
        <f>ROUND((EU325),6)</f>
        <v>0</v>
      </c>
      <c r="AF325">
        <f>ROUND((EV325),6)</f>
        <v>0</v>
      </c>
      <c r="AG325">
        <f>ROUND((AP325),6)</f>
        <v>0</v>
      </c>
      <c r="AH325">
        <f>(EW325)</f>
        <v>0</v>
      </c>
      <c r="AI325">
        <f>(EX325)</f>
        <v>0</v>
      </c>
      <c r="AJ325">
        <f>(AS325)</f>
        <v>0</v>
      </c>
      <c r="AK325">
        <v>198992.34</v>
      </c>
      <c r="AL325">
        <v>198992.34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3</v>
      </c>
      <c r="BI325">
        <v>4</v>
      </c>
      <c r="BJ325" t="s">
        <v>148</v>
      </c>
      <c r="BM325">
        <v>0</v>
      </c>
      <c r="BN325">
        <v>75371441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>(P325+Q325+S325)</f>
        <v>263.27</v>
      </c>
      <c r="CQ325">
        <f>(AC325*BC325*AW325)</f>
        <v>198992.34</v>
      </c>
      <c r="CR325">
        <f>((((ET325)*BB325-(EU325)*BS325)+AE325*BS325)*AV325)</f>
        <v>0</v>
      </c>
      <c r="CS325">
        <f>(AE325*BS325*AV325)</f>
        <v>0</v>
      </c>
      <c r="CT325">
        <f>(AF325*BA325*AV325)</f>
        <v>0</v>
      </c>
      <c r="CU325">
        <f>AG325</f>
        <v>0</v>
      </c>
      <c r="CV325">
        <f>(AH325*AV325)</f>
        <v>0</v>
      </c>
      <c r="CW325">
        <f>AI325</f>
        <v>0</v>
      </c>
      <c r="CX325">
        <f>AJ325</f>
        <v>0</v>
      </c>
      <c r="CY325">
        <f>((S325*BZ325)/100)</f>
        <v>0</v>
      </c>
      <c r="CZ325">
        <f>((S325*CA325)/100)</f>
        <v>0</v>
      </c>
      <c r="DC325" t="s">
        <v>3</v>
      </c>
      <c r="DD325" t="s">
        <v>3</v>
      </c>
      <c r="DE325" t="s">
        <v>3</v>
      </c>
      <c r="DF325" t="s">
        <v>3</v>
      </c>
      <c r="DG325" t="s">
        <v>3</v>
      </c>
      <c r="DH325" t="s">
        <v>3</v>
      </c>
      <c r="DI325" t="s">
        <v>3</v>
      </c>
      <c r="DJ325" t="s">
        <v>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1009</v>
      </c>
      <c r="DV325" t="s">
        <v>68</v>
      </c>
      <c r="DW325" t="s">
        <v>68</v>
      </c>
      <c r="DX325">
        <v>1000</v>
      </c>
      <c r="DZ325" t="s">
        <v>3</v>
      </c>
      <c r="EA325" t="s">
        <v>3</v>
      </c>
      <c r="EB325" t="s">
        <v>3</v>
      </c>
      <c r="EC325" t="s">
        <v>3</v>
      </c>
      <c r="EE325">
        <v>75371444</v>
      </c>
      <c r="EF325">
        <v>1</v>
      </c>
      <c r="EG325" t="s">
        <v>22</v>
      </c>
      <c r="EH325">
        <v>0</v>
      </c>
      <c r="EI325" t="s">
        <v>3</v>
      </c>
      <c r="EJ325">
        <v>4</v>
      </c>
      <c r="EK325">
        <v>0</v>
      </c>
      <c r="EL325" t="s">
        <v>23</v>
      </c>
      <c r="EM325" t="s">
        <v>24</v>
      </c>
      <c r="EO325" t="s">
        <v>3</v>
      </c>
      <c r="EQ325">
        <v>0</v>
      </c>
      <c r="ER325">
        <v>198992.34</v>
      </c>
      <c r="ES325">
        <v>198992.34</v>
      </c>
      <c r="ET325">
        <v>0</v>
      </c>
      <c r="EU325">
        <v>0</v>
      </c>
      <c r="EV325">
        <v>0</v>
      </c>
      <c r="EW325">
        <v>0</v>
      </c>
      <c r="EX325">
        <v>0</v>
      </c>
      <c r="FQ325">
        <v>0</v>
      </c>
      <c r="FR325">
        <f>ROUND(IF(BI325=3,GM325,0),2)</f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812432982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>ROUND(IF(AND(BH325=3,BI325=3,FS325&lt;&gt;0),P325,0),2)</f>
        <v>0</v>
      </c>
      <c r="GM325">
        <f>ROUND(O325+X325+Y325+GK325,2)+GX325</f>
        <v>263.27</v>
      </c>
      <c r="GN325">
        <f>IF(OR(BI325=0,BI325=1),GM325-GX325,0)</f>
        <v>0</v>
      </c>
      <c r="GO325">
        <f>IF(BI325=2,GM325-GX325,0)</f>
        <v>0</v>
      </c>
      <c r="GP325">
        <f>IF(BI325=4,GM325-GX325,0)</f>
        <v>263.27</v>
      </c>
      <c r="GR325">
        <v>0</v>
      </c>
      <c r="GS325">
        <v>3</v>
      </c>
      <c r="GT325">
        <v>0</v>
      </c>
      <c r="GU325" t="s">
        <v>3</v>
      </c>
      <c r="GV325">
        <f>ROUND((GT325),6)</f>
        <v>0</v>
      </c>
      <c r="GW325">
        <v>1</v>
      </c>
      <c r="GX325">
        <f>ROUND(HC325*I325,2)</f>
        <v>0</v>
      </c>
      <c r="HA325">
        <v>0</v>
      </c>
      <c r="HB325">
        <v>0</v>
      </c>
      <c r="HC325">
        <f>GV325*GW325</f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7" spans="1:245" x14ac:dyDescent="0.2">
      <c r="A327" s="2">
        <v>51</v>
      </c>
      <c r="B327" s="2">
        <f>B320</f>
        <v>1</v>
      </c>
      <c r="C327" s="2">
        <f>A320</f>
        <v>5</v>
      </c>
      <c r="D327" s="2">
        <f>ROW(A320)</f>
        <v>320</v>
      </c>
      <c r="E327" s="2"/>
      <c r="F327" s="2" t="str">
        <f>IF(F320&lt;&gt;"",F320,"")</f>
        <v>Новый подраздел</v>
      </c>
      <c r="G327" s="2" t="str">
        <f>IF(G320&lt;&gt;"",G320,"")</f>
        <v>Стены</v>
      </c>
      <c r="H327" s="2">
        <v>0</v>
      </c>
      <c r="I327" s="2"/>
      <c r="J327" s="2"/>
      <c r="K327" s="2"/>
      <c r="L327" s="2"/>
      <c r="M327" s="2"/>
      <c r="N327" s="2"/>
      <c r="O327" s="2">
        <f t="shared" ref="O327:T327" si="223">ROUND(AB327,2)</f>
        <v>14675.51</v>
      </c>
      <c r="P327" s="2">
        <f t="shared" si="223"/>
        <v>5910.1</v>
      </c>
      <c r="Q327" s="2">
        <f t="shared" si="223"/>
        <v>0</v>
      </c>
      <c r="R327" s="2">
        <f t="shared" si="223"/>
        <v>0</v>
      </c>
      <c r="S327" s="2">
        <f t="shared" si="223"/>
        <v>8765.41</v>
      </c>
      <c r="T327" s="2">
        <f t="shared" si="223"/>
        <v>0</v>
      </c>
      <c r="U327" s="2">
        <f>AH327</f>
        <v>19.076560000000001</v>
      </c>
      <c r="V327" s="2">
        <f>AI327</f>
        <v>0</v>
      </c>
      <c r="W327" s="2">
        <f>ROUND(AJ327,2)</f>
        <v>0</v>
      </c>
      <c r="X327" s="2">
        <f>ROUND(AK327,2)</f>
        <v>6135.79</v>
      </c>
      <c r="Y327" s="2">
        <f>ROUND(AL327,2)</f>
        <v>876.54</v>
      </c>
      <c r="Z327" s="2"/>
      <c r="AA327" s="2"/>
      <c r="AB327" s="2">
        <f>ROUND(SUMIF(AA324:AA325,"=75700856",O324:O325),2)</f>
        <v>14675.51</v>
      </c>
      <c r="AC327" s="2">
        <f>ROUND(SUMIF(AA324:AA325,"=75700856",P324:P325),2)</f>
        <v>5910.1</v>
      </c>
      <c r="AD327" s="2">
        <f>ROUND(SUMIF(AA324:AA325,"=75700856",Q324:Q325),2)</f>
        <v>0</v>
      </c>
      <c r="AE327" s="2">
        <f>ROUND(SUMIF(AA324:AA325,"=75700856",R324:R325),2)</f>
        <v>0</v>
      </c>
      <c r="AF327" s="2">
        <f>ROUND(SUMIF(AA324:AA325,"=75700856",S324:S325),2)</f>
        <v>8765.41</v>
      </c>
      <c r="AG327" s="2">
        <f>ROUND(SUMIF(AA324:AA325,"=75700856",T324:T325),2)</f>
        <v>0</v>
      </c>
      <c r="AH327" s="2">
        <f>SUMIF(AA324:AA325,"=75700856",U324:U325)</f>
        <v>19.076560000000001</v>
      </c>
      <c r="AI327" s="2">
        <f>SUMIF(AA324:AA325,"=75700856",V324:V325)</f>
        <v>0</v>
      </c>
      <c r="AJ327" s="2">
        <f>ROUND(SUMIF(AA324:AA325,"=75700856",W324:W325),2)</f>
        <v>0</v>
      </c>
      <c r="AK327" s="2">
        <f>ROUND(SUMIF(AA324:AA325,"=75700856",X324:X325),2)</f>
        <v>6135.79</v>
      </c>
      <c r="AL327" s="2">
        <f>ROUND(SUMIF(AA324:AA325,"=75700856",Y324:Y325),2)</f>
        <v>876.54</v>
      </c>
      <c r="AM327" s="2"/>
      <c r="AN327" s="2"/>
      <c r="AO327" s="2">
        <f t="shared" ref="AO327:BD327" si="224">ROUND(BX327,2)</f>
        <v>0</v>
      </c>
      <c r="AP327" s="2">
        <f t="shared" si="224"/>
        <v>0</v>
      </c>
      <c r="AQ327" s="2">
        <f t="shared" si="224"/>
        <v>0</v>
      </c>
      <c r="AR327" s="2">
        <f t="shared" si="224"/>
        <v>21687.84</v>
      </c>
      <c r="AS327" s="2">
        <f t="shared" si="224"/>
        <v>0</v>
      </c>
      <c r="AT327" s="2">
        <f t="shared" si="224"/>
        <v>0</v>
      </c>
      <c r="AU327" s="2">
        <f t="shared" si="224"/>
        <v>21687.84</v>
      </c>
      <c r="AV327" s="2">
        <f t="shared" si="224"/>
        <v>5910.1</v>
      </c>
      <c r="AW327" s="2">
        <f t="shared" si="224"/>
        <v>5910.1</v>
      </c>
      <c r="AX327" s="2">
        <f t="shared" si="224"/>
        <v>0</v>
      </c>
      <c r="AY327" s="2">
        <f t="shared" si="224"/>
        <v>5910.1</v>
      </c>
      <c r="AZ327" s="2">
        <f t="shared" si="224"/>
        <v>0</v>
      </c>
      <c r="BA327" s="2">
        <f t="shared" si="224"/>
        <v>0</v>
      </c>
      <c r="BB327" s="2">
        <f t="shared" si="224"/>
        <v>0</v>
      </c>
      <c r="BC327" s="2">
        <f t="shared" si="224"/>
        <v>0</v>
      </c>
      <c r="BD327" s="2">
        <f t="shared" si="224"/>
        <v>0</v>
      </c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>
        <f>ROUND(SUMIF(AA324:AA325,"=75700856",FQ324:FQ325),2)</f>
        <v>0</v>
      </c>
      <c r="BY327" s="2">
        <f>ROUND(SUMIF(AA324:AA325,"=75700856",FR324:FR325),2)</f>
        <v>0</v>
      </c>
      <c r="BZ327" s="2">
        <f>ROUND(SUMIF(AA324:AA325,"=75700856",GL324:GL325),2)</f>
        <v>0</v>
      </c>
      <c r="CA327" s="2">
        <f>ROUND(SUMIF(AA324:AA325,"=75700856",GM324:GM325),2)</f>
        <v>21687.84</v>
      </c>
      <c r="CB327" s="2">
        <f>ROUND(SUMIF(AA324:AA325,"=75700856",GN324:GN325),2)</f>
        <v>0</v>
      </c>
      <c r="CC327" s="2">
        <f>ROUND(SUMIF(AA324:AA325,"=75700856",GO324:GO325),2)</f>
        <v>0</v>
      </c>
      <c r="CD327" s="2">
        <f>ROUND(SUMIF(AA324:AA325,"=75700856",GP324:GP325),2)</f>
        <v>21687.84</v>
      </c>
      <c r="CE327" s="2">
        <f>AC327-BX327</f>
        <v>5910.1</v>
      </c>
      <c r="CF327" s="2">
        <f>AC327-BY327</f>
        <v>5910.1</v>
      </c>
      <c r="CG327" s="2">
        <f>BX327-BZ327</f>
        <v>0</v>
      </c>
      <c r="CH327" s="2">
        <f>AC327-BX327-BY327+BZ327</f>
        <v>5910.1</v>
      </c>
      <c r="CI327" s="2">
        <f>BY327-BZ327</f>
        <v>0</v>
      </c>
      <c r="CJ327" s="2">
        <f>ROUND(SUMIF(AA324:AA325,"=75700856",GX324:GX325),2)</f>
        <v>0</v>
      </c>
      <c r="CK327" s="2">
        <f>ROUND(SUMIF(AA324:AA325,"=75700856",GY324:GY325),2)</f>
        <v>0</v>
      </c>
      <c r="CL327" s="2">
        <f>ROUND(SUMIF(AA324:AA325,"=75700856",GZ324:GZ325),2)</f>
        <v>0</v>
      </c>
      <c r="CM327" s="2">
        <f>ROUND(SUMIF(AA324:AA325,"=75700856",HD324:HD325),2)</f>
        <v>0</v>
      </c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3"/>
      <c r="DH327" s="3"/>
      <c r="DI327" s="3"/>
      <c r="DJ327" s="3"/>
      <c r="DK327" s="3"/>
      <c r="DL327" s="3"/>
      <c r="DM327" s="3"/>
      <c r="DN327" s="3"/>
      <c r="DO327" s="3"/>
      <c r="DP327" s="3"/>
      <c r="DQ327" s="3"/>
      <c r="DR327" s="3"/>
      <c r="DS327" s="3"/>
      <c r="DT327" s="3"/>
      <c r="DU327" s="3"/>
      <c r="DV327" s="3"/>
      <c r="DW327" s="3"/>
      <c r="DX327" s="3"/>
      <c r="DY327" s="3"/>
      <c r="DZ327" s="3"/>
      <c r="EA327" s="3"/>
      <c r="EB327" s="3"/>
      <c r="EC327" s="3"/>
      <c r="ED327" s="3"/>
      <c r="EE327" s="3"/>
      <c r="EF327" s="3"/>
      <c r="EG327" s="3"/>
      <c r="EH327" s="3"/>
      <c r="EI327" s="3"/>
      <c r="EJ327" s="3"/>
      <c r="EK327" s="3"/>
      <c r="EL327" s="3"/>
      <c r="EM327" s="3"/>
      <c r="EN327" s="3"/>
      <c r="EO327" s="3"/>
      <c r="EP327" s="3"/>
      <c r="EQ327" s="3"/>
      <c r="ER327" s="3"/>
      <c r="ES327" s="3"/>
      <c r="ET327" s="3"/>
      <c r="EU327" s="3"/>
      <c r="EV327" s="3"/>
      <c r="EW327" s="3"/>
      <c r="EX327" s="3"/>
      <c r="EY327" s="3"/>
      <c r="EZ327" s="3"/>
      <c r="FA327" s="3"/>
      <c r="FB327" s="3"/>
      <c r="FC327" s="3"/>
      <c r="FD327" s="3"/>
      <c r="FE327" s="3"/>
      <c r="FF327" s="3"/>
      <c r="FG327" s="3"/>
      <c r="FH327" s="3"/>
      <c r="FI327" s="3"/>
      <c r="FJ327" s="3"/>
      <c r="FK327" s="3"/>
      <c r="FL327" s="3"/>
      <c r="FM327" s="3"/>
      <c r="FN327" s="3"/>
      <c r="FO327" s="3"/>
      <c r="FP327" s="3"/>
      <c r="FQ327" s="3"/>
      <c r="FR327" s="3"/>
      <c r="FS327" s="3"/>
      <c r="FT327" s="3"/>
      <c r="FU327" s="3"/>
      <c r="FV327" s="3"/>
      <c r="FW327" s="3"/>
      <c r="FX327" s="3"/>
      <c r="FY327" s="3"/>
      <c r="FZ327" s="3"/>
      <c r="GA327" s="3"/>
      <c r="GB327" s="3"/>
      <c r="GC327" s="3"/>
      <c r="GD327" s="3"/>
      <c r="GE327" s="3"/>
      <c r="GF327" s="3"/>
      <c r="GG327" s="3"/>
      <c r="GH327" s="3"/>
      <c r="GI327" s="3"/>
      <c r="GJ327" s="3"/>
      <c r="GK327" s="3"/>
      <c r="GL327" s="3"/>
      <c r="GM327" s="3"/>
      <c r="GN327" s="3"/>
      <c r="GO327" s="3"/>
      <c r="GP327" s="3"/>
      <c r="GQ327" s="3"/>
      <c r="GR327" s="3"/>
      <c r="GS327" s="3"/>
      <c r="GT327" s="3"/>
      <c r="GU327" s="3"/>
      <c r="GV327" s="3"/>
      <c r="GW327" s="3"/>
      <c r="GX327" s="3">
        <v>0</v>
      </c>
    </row>
    <row r="329" spans="1:245" x14ac:dyDescent="0.2">
      <c r="A329" s="4">
        <v>50</v>
      </c>
      <c r="B329" s="4">
        <v>0</v>
      </c>
      <c r="C329" s="4">
        <v>0</v>
      </c>
      <c r="D329" s="4">
        <v>1</v>
      </c>
      <c r="E329" s="4">
        <v>201</v>
      </c>
      <c r="F329" s="4">
        <f>ROUND(Source!O327,O329)</f>
        <v>14675.51</v>
      </c>
      <c r="G329" s="4" t="s">
        <v>74</v>
      </c>
      <c r="H329" s="4" t="s">
        <v>75</v>
      </c>
      <c r="I329" s="4"/>
      <c r="J329" s="4"/>
      <c r="K329" s="4">
        <v>201</v>
      </c>
      <c r="L329" s="4">
        <v>1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14675.51</v>
      </c>
      <c r="X329" s="4">
        <v>1</v>
      </c>
      <c r="Y329" s="4">
        <v>14675.51</v>
      </c>
      <c r="Z329" s="4"/>
      <c r="AA329" s="4"/>
      <c r="AB329" s="4"/>
    </row>
    <row r="330" spans="1:245" x14ac:dyDescent="0.2">
      <c r="A330" s="4">
        <v>50</v>
      </c>
      <c r="B330" s="4">
        <v>0</v>
      </c>
      <c r="C330" s="4">
        <v>0</v>
      </c>
      <c r="D330" s="4">
        <v>1</v>
      </c>
      <c r="E330" s="4">
        <v>202</v>
      </c>
      <c r="F330" s="4">
        <f>ROUND(Source!P327,O330)</f>
        <v>5910.1</v>
      </c>
      <c r="G330" s="4" t="s">
        <v>76</v>
      </c>
      <c r="H330" s="4" t="s">
        <v>77</v>
      </c>
      <c r="I330" s="4"/>
      <c r="J330" s="4"/>
      <c r="K330" s="4">
        <v>202</v>
      </c>
      <c r="L330" s="4">
        <v>2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5910.1</v>
      </c>
      <c r="X330" s="4">
        <v>1</v>
      </c>
      <c r="Y330" s="4">
        <v>5910.1</v>
      </c>
      <c r="Z330" s="4"/>
      <c r="AA330" s="4"/>
      <c r="AB330" s="4"/>
    </row>
    <row r="331" spans="1:245" x14ac:dyDescent="0.2">
      <c r="A331" s="4">
        <v>50</v>
      </c>
      <c r="B331" s="4">
        <v>0</v>
      </c>
      <c r="C331" s="4">
        <v>0</v>
      </c>
      <c r="D331" s="4">
        <v>1</v>
      </c>
      <c r="E331" s="4">
        <v>222</v>
      </c>
      <c r="F331" s="4">
        <f>ROUND(Source!AO327,O331)</f>
        <v>0</v>
      </c>
      <c r="G331" s="4" t="s">
        <v>78</v>
      </c>
      <c r="H331" s="4" t="s">
        <v>79</v>
      </c>
      <c r="I331" s="4"/>
      <c r="J331" s="4"/>
      <c r="K331" s="4">
        <v>222</v>
      </c>
      <c r="L331" s="4">
        <v>3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45" x14ac:dyDescent="0.2">
      <c r="A332" s="4">
        <v>50</v>
      </c>
      <c r="B332" s="4">
        <v>0</v>
      </c>
      <c r="C332" s="4">
        <v>0</v>
      </c>
      <c r="D332" s="4">
        <v>1</v>
      </c>
      <c r="E332" s="4">
        <v>225</v>
      </c>
      <c r="F332" s="4">
        <f>ROUND(Source!AV327,O332)</f>
        <v>5910.1</v>
      </c>
      <c r="G332" s="4" t="s">
        <v>80</v>
      </c>
      <c r="H332" s="4" t="s">
        <v>81</v>
      </c>
      <c r="I332" s="4"/>
      <c r="J332" s="4"/>
      <c r="K332" s="4">
        <v>225</v>
      </c>
      <c r="L332" s="4">
        <v>4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5910.1</v>
      </c>
      <c r="X332" s="4">
        <v>1</v>
      </c>
      <c r="Y332" s="4">
        <v>5910.1</v>
      </c>
      <c r="Z332" s="4"/>
      <c r="AA332" s="4"/>
      <c r="AB332" s="4"/>
    </row>
    <row r="333" spans="1:245" x14ac:dyDescent="0.2">
      <c r="A333" s="4">
        <v>50</v>
      </c>
      <c r="B333" s="4">
        <v>0</v>
      </c>
      <c r="C333" s="4">
        <v>0</v>
      </c>
      <c r="D333" s="4">
        <v>1</v>
      </c>
      <c r="E333" s="4">
        <v>226</v>
      </c>
      <c r="F333" s="4">
        <f>ROUND(Source!AW327,O333)</f>
        <v>5910.1</v>
      </c>
      <c r="G333" s="4" t="s">
        <v>82</v>
      </c>
      <c r="H333" s="4" t="s">
        <v>83</v>
      </c>
      <c r="I333" s="4"/>
      <c r="J333" s="4"/>
      <c r="K333" s="4">
        <v>226</v>
      </c>
      <c r="L333" s="4">
        <v>5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5910.1</v>
      </c>
      <c r="X333" s="4">
        <v>1</v>
      </c>
      <c r="Y333" s="4">
        <v>5910.1</v>
      </c>
      <c r="Z333" s="4"/>
      <c r="AA333" s="4"/>
      <c r="AB333" s="4"/>
    </row>
    <row r="334" spans="1:245" x14ac:dyDescent="0.2">
      <c r="A334" s="4">
        <v>50</v>
      </c>
      <c r="B334" s="4">
        <v>0</v>
      </c>
      <c r="C334" s="4">
        <v>0</v>
      </c>
      <c r="D334" s="4">
        <v>1</v>
      </c>
      <c r="E334" s="4">
        <v>227</v>
      </c>
      <c r="F334" s="4">
        <f>ROUND(Source!AX327,O334)</f>
        <v>0</v>
      </c>
      <c r="G334" s="4" t="s">
        <v>84</v>
      </c>
      <c r="H334" s="4" t="s">
        <v>85</v>
      </c>
      <c r="I334" s="4"/>
      <c r="J334" s="4"/>
      <c r="K334" s="4">
        <v>227</v>
      </c>
      <c r="L334" s="4">
        <v>6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45" x14ac:dyDescent="0.2">
      <c r="A335" s="4">
        <v>50</v>
      </c>
      <c r="B335" s="4">
        <v>0</v>
      </c>
      <c r="C335" s="4">
        <v>0</v>
      </c>
      <c r="D335" s="4">
        <v>1</v>
      </c>
      <c r="E335" s="4">
        <v>228</v>
      </c>
      <c r="F335" s="4">
        <f>ROUND(Source!AY327,O335)</f>
        <v>5910.1</v>
      </c>
      <c r="G335" s="4" t="s">
        <v>86</v>
      </c>
      <c r="H335" s="4" t="s">
        <v>87</v>
      </c>
      <c r="I335" s="4"/>
      <c r="J335" s="4"/>
      <c r="K335" s="4">
        <v>228</v>
      </c>
      <c r="L335" s="4">
        <v>7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5910.1</v>
      </c>
      <c r="X335" s="4">
        <v>1</v>
      </c>
      <c r="Y335" s="4">
        <v>5910.1</v>
      </c>
      <c r="Z335" s="4"/>
      <c r="AA335" s="4"/>
      <c r="AB335" s="4"/>
    </row>
    <row r="336" spans="1:245" x14ac:dyDescent="0.2">
      <c r="A336" s="4">
        <v>50</v>
      </c>
      <c r="B336" s="4">
        <v>0</v>
      </c>
      <c r="C336" s="4">
        <v>0</v>
      </c>
      <c r="D336" s="4">
        <v>1</v>
      </c>
      <c r="E336" s="4">
        <v>216</v>
      </c>
      <c r="F336" s="4">
        <f>ROUND(Source!AP327,O336)</f>
        <v>0</v>
      </c>
      <c r="G336" s="4" t="s">
        <v>88</v>
      </c>
      <c r="H336" s="4" t="s">
        <v>89</v>
      </c>
      <c r="I336" s="4"/>
      <c r="J336" s="4"/>
      <c r="K336" s="4">
        <v>216</v>
      </c>
      <c r="L336" s="4">
        <v>8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223</v>
      </c>
      <c r="F337" s="4">
        <f>ROUND(Source!AQ327,O337)</f>
        <v>0</v>
      </c>
      <c r="G337" s="4" t="s">
        <v>90</v>
      </c>
      <c r="H337" s="4" t="s">
        <v>91</v>
      </c>
      <c r="I337" s="4"/>
      <c r="J337" s="4"/>
      <c r="K337" s="4">
        <v>223</v>
      </c>
      <c r="L337" s="4">
        <v>9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229</v>
      </c>
      <c r="F338" s="4">
        <f>ROUND(Source!AZ327,O338)</f>
        <v>0</v>
      </c>
      <c r="G338" s="4" t="s">
        <v>92</v>
      </c>
      <c r="H338" s="4" t="s">
        <v>93</v>
      </c>
      <c r="I338" s="4"/>
      <c r="J338" s="4"/>
      <c r="K338" s="4">
        <v>229</v>
      </c>
      <c r="L338" s="4">
        <v>10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203</v>
      </c>
      <c r="F339" s="4">
        <f>ROUND(Source!Q327,O339)</f>
        <v>0</v>
      </c>
      <c r="G339" s="4" t="s">
        <v>94</v>
      </c>
      <c r="H339" s="4" t="s">
        <v>95</v>
      </c>
      <c r="I339" s="4"/>
      <c r="J339" s="4"/>
      <c r="K339" s="4">
        <v>203</v>
      </c>
      <c r="L339" s="4">
        <v>11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231</v>
      </c>
      <c r="F340" s="4">
        <f>ROUND(Source!BB327,O340)</f>
        <v>0</v>
      </c>
      <c r="G340" s="4" t="s">
        <v>96</v>
      </c>
      <c r="H340" s="4" t="s">
        <v>97</v>
      </c>
      <c r="I340" s="4"/>
      <c r="J340" s="4"/>
      <c r="K340" s="4">
        <v>231</v>
      </c>
      <c r="L340" s="4">
        <v>12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204</v>
      </c>
      <c r="F341" s="4">
        <f>ROUND(Source!R327,O341)</f>
        <v>0</v>
      </c>
      <c r="G341" s="4" t="s">
        <v>98</v>
      </c>
      <c r="H341" s="4" t="s">
        <v>99</v>
      </c>
      <c r="I341" s="4"/>
      <c r="J341" s="4"/>
      <c r="K341" s="4">
        <v>204</v>
      </c>
      <c r="L341" s="4">
        <v>13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205</v>
      </c>
      <c r="F342" s="4">
        <f>ROUND(Source!S327,O342)</f>
        <v>8765.41</v>
      </c>
      <c r="G342" s="4" t="s">
        <v>100</v>
      </c>
      <c r="H342" s="4" t="s">
        <v>101</v>
      </c>
      <c r="I342" s="4"/>
      <c r="J342" s="4"/>
      <c r="K342" s="4">
        <v>205</v>
      </c>
      <c r="L342" s="4">
        <v>14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8765.41</v>
      </c>
      <c r="X342" s="4">
        <v>1</v>
      </c>
      <c r="Y342" s="4">
        <v>8765.41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232</v>
      </c>
      <c r="F343" s="4">
        <f>ROUND(Source!BC327,O343)</f>
        <v>0</v>
      </c>
      <c r="G343" s="4" t="s">
        <v>102</v>
      </c>
      <c r="H343" s="4" t="s">
        <v>103</v>
      </c>
      <c r="I343" s="4"/>
      <c r="J343" s="4"/>
      <c r="K343" s="4">
        <v>232</v>
      </c>
      <c r="L343" s="4">
        <v>15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214</v>
      </c>
      <c r="F344" s="4">
        <f>ROUND(Source!AS327,O344)</f>
        <v>0</v>
      </c>
      <c r="G344" s="4" t="s">
        <v>104</v>
      </c>
      <c r="H344" s="4" t="s">
        <v>105</v>
      </c>
      <c r="I344" s="4"/>
      <c r="J344" s="4"/>
      <c r="K344" s="4">
        <v>214</v>
      </c>
      <c r="L344" s="4">
        <v>16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215</v>
      </c>
      <c r="F345" s="4">
        <f>ROUND(Source!AT327,O345)</f>
        <v>0</v>
      </c>
      <c r="G345" s="4" t="s">
        <v>106</v>
      </c>
      <c r="H345" s="4" t="s">
        <v>107</v>
      </c>
      <c r="I345" s="4"/>
      <c r="J345" s="4"/>
      <c r="K345" s="4">
        <v>215</v>
      </c>
      <c r="L345" s="4">
        <v>17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217</v>
      </c>
      <c r="F346" s="4">
        <f>ROUND(Source!AU327,O346)</f>
        <v>21687.84</v>
      </c>
      <c r="G346" s="4" t="s">
        <v>108</v>
      </c>
      <c r="H346" s="4" t="s">
        <v>109</v>
      </c>
      <c r="I346" s="4"/>
      <c r="J346" s="4"/>
      <c r="K346" s="4">
        <v>217</v>
      </c>
      <c r="L346" s="4">
        <v>18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21687.84</v>
      </c>
      <c r="X346" s="4">
        <v>1</v>
      </c>
      <c r="Y346" s="4">
        <v>21687.84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230</v>
      </c>
      <c r="F347" s="4">
        <f>ROUND(Source!BA327,O347)</f>
        <v>0</v>
      </c>
      <c r="G347" s="4" t="s">
        <v>110</v>
      </c>
      <c r="H347" s="4" t="s">
        <v>111</v>
      </c>
      <c r="I347" s="4"/>
      <c r="J347" s="4"/>
      <c r="K347" s="4">
        <v>230</v>
      </c>
      <c r="L347" s="4">
        <v>19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206</v>
      </c>
      <c r="F348" s="4">
        <f>ROUND(Source!T327,O348)</f>
        <v>0</v>
      </c>
      <c r="G348" s="4" t="s">
        <v>112</v>
      </c>
      <c r="H348" s="4" t="s">
        <v>113</v>
      </c>
      <c r="I348" s="4"/>
      <c r="J348" s="4"/>
      <c r="K348" s="4">
        <v>206</v>
      </c>
      <c r="L348" s="4">
        <v>20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 x14ac:dyDescent="0.2">
      <c r="A349" s="4">
        <v>50</v>
      </c>
      <c r="B349" s="4">
        <v>0</v>
      </c>
      <c r="C349" s="4">
        <v>0</v>
      </c>
      <c r="D349" s="4">
        <v>1</v>
      </c>
      <c r="E349" s="4">
        <v>207</v>
      </c>
      <c r="F349" s="4">
        <f>Source!U327</f>
        <v>19.076560000000001</v>
      </c>
      <c r="G349" s="4" t="s">
        <v>114</v>
      </c>
      <c r="H349" s="4" t="s">
        <v>115</v>
      </c>
      <c r="I349" s="4"/>
      <c r="J349" s="4"/>
      <c r="K349" s="4">
        <v>207</v>
      </c>
      <c r="L349" s="4">
        <v>21</v>
      </c>
      <c r="M349" s="4">
        <v>3</v>
      </c>
      <c r="N349" s="4" t="s">
        <v>3</v>
      </c>
      <c r="O349" s="4">
        <v>-1</v>
      </c>
      <c r="P349" s="4"/>
      <c r="Q349" s="4"/>
      <c r="R349" s="4"/>
      <c r="S349" s="4"/>
      <c r="T349" s="4"/>
      <c r="U349" s="4"/>
      <c r="V349" s="4"/>
      <c r="W349" s="4">
        <v>19.076560000000001</v>
      </c>
      <c r="X349" s="4">
        <v>1</v>
      </c>
      <c r="Y349" s="4">
        <v>19.076560000000001</v>
      </c>
      <c r="Z349" s="4"/>
      <c r="AA349" s="4"/>
      <c r="AB349" s="4"/>
    </row>
    <row r="350" spans="1:28" x14ac:dyDescent="0.2">
      <c r="A350" s="4">
        <v>50</v>
      </c>
      <c r="B350" s="4">
        <v>0</v>
      </c>
      <c r="C350" s="4">
        <v>0</v>
      </c>
      <c r="D350" s="4">
        <v>1</v>
      </c>
      <c r="E350" s="4">
        <v>208</v>
      </c>
      <c r="F350" s="4">
        <f>Source!V327</f>
        <v>0</v>
      </c>
      <c r="G350" s="4" t="s">
        <v>116</v>
      </c>
      <c r="H350" s="4" t="s">
        <v>117</v>
      </c>
      <c r="I350" s="4"/>
      <c r="J350" s="4"/>
      <c r="K350" s="4">
        <v>208</v>
      </c>
      <c r="L350" s="4">
        <v>22</v>
      </c>
      <c r="M350" s="4">
        <v>3</v>
      </c>
      <c r="N350" s="4" t="s">
        <v>3</v>
      </c>
      <c r="O350" s="4">
        <v>-1</v>
      </c>
      <c r="P350" s="4"/>
      <c r="Q350" s="4"/>
      <c r="R350" s="4"/>
      <c r="S350" s="4"/>
      <c r="T350" s="4"/>
      <c r="U350" s="4"/>
      <c r="V350" s="4"/>
      <c r="W350" s="4">
        <v>0</v>
      </c>
      <c r="X350" s="4">
        <v>1</v>
      </c>
      <c r="Y350" s="4">
        <v>0</v>
      </c>
      <c r="Z350" s="4"/>
      <c r="AA350" s="4"/>
      <c r="AB350" s="4"/>
    </row>
    <row r="351" spans="1:28" x14ac:dyDescent="0.2">
      <c r="A351" s="4">
        <v>50</v>
      </c>
      <c r="B351" s="4">
        <v>0</v>
      </c>
      <c r="C351" s="4">
        <v>0</v>
      </c>
      <c r="D351" s="4">
        <v>1</v>
      </c>
      <c r="E351" s="4">
        <v>209</v>
      </c>
      <c r="F351" s="4">
        <f>ROUND(Source!W327,O351)</f>
        <v>0</v>
      </c>
      <c r="G351" s="4" t="s">
        <v>118</v>
      </c>
      <c r="H351" s="4" t="s">
        <v>119</v>
      </c>
      <c r="I351" s="4"/>
      <c r="J351" s="4"/>
      <c r="K351" s="4">
        <v>209</v>
      </c>
      <c r="L351" s="4">
        <v>23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8" x14ac:dyDescent="0.2">
      <c r="A352" s="4">
        <v>50</v>
      </c>
      <c r="B352" s="4">
        <v>0</v>
      </c>
      <c r="C352" s="4">
        <v>0</v>
      </c>
      <c r="D352" s="4">
        <v>1</v>
      </c>
      <c r="E352" s="4">
        <v>233</v>
      </c>
      <c r="F352" s="4">
        <f>ROUND(Source!BD327,O352)</f>
        <v>0</v>
      </c>
      <c r="G352" s="4" t="s">
        <v>120</v>
      </c>
      <c r="H352" s="4" t="s">
        <v>121</v>
      </c>
      <c r="I352" s="4"/>
      <c r="J352" s="4"/>
      <c r="K352" s="4">
        <v>233</v>
      </c>
      <c r="L352" s="4">
        <v>24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0</v>
      </c>
      <c r="X352" s="4">
        <v>1</v>
      </c>
      <c r="Y352" s="4">
        <v>0</v>
      </c>
      <c r="Z352" s="4"/>
      <c r="AA352" s="4"/>
      <c r="AB352" s="4"/>
    </row>
    <row r="353" spans="1:245" x14ac:dyDescent="0.2">
      <c r="A353" s="4">
        <v>50</v>
      </c>
      <c r="B353" s="4">
        <v>0</v>
      </c>
      <c r="C353" s="4">
        <v>0</v>
      </c>
      <c r="D353" s="4">
        <v>1</v>
      </c>
      <c r="E353" s="4">
        <v>210</v>
      </c>
      <c r="F353" s="4">
        <f>ROUND(Source!X327,O353)</f>
        <v>6135.79</v>
      </c>
      <c r="G353" s="4" t="s">
        <v>122</v>
      </c>
      <c r="H353" s="4" t="s">
        <v>123</v>
      </c>
      <c r="I353" s="4"/>
      <c r="J353" s="4"/>
      <c r="K353" s="4">
        <v>210</v>
      </c>
      <c r="L353" s="4">
        <v>25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6135.79</v>
      </c>
      <c r="X353" s="4">
        <v>1</v>
      </c>
      <c r="Y353" s="4">
        <v>6135.79</v>
      </c>
      <c r="Z353" s="4"/>
      <c r="AA353" s="4"/>
      <c r="AB353" s="4"/>
    </row>
    <row r="354" spans="1:245" x14ac:dyDescent="0.2">
      <c r="A354" s="4">
        <v>50</v>
      </c>
      <c r="B354" s="4">
        <v>0</v>
      </c>
      <c r="C354" s="4">
        <v>0</v>
      </c>
      <c r="D354" s="4">
        <v>1</v>
      </c>
      <c r="E354" s="4">
        <v>211</v>
      </c>
      <c r="F354" s="4">
        <f>ROUND(Source!Y327,O354)</f>
        <v>876.54</v>
      </c>
      <c r="G354" s="4" t="s">
        <v>124</v>
      </c>
      <c r="H354" s="4" t="s">
        <v>125</v>
      </c>
      <c r="I354" s="4"/>
      <c r="J354" s="4"/>
      <c r="K354" s="4">
        <v>211</v>
      </c>
      <c r="L354" s="4">
        <v>26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876.54</v>
      </c>
      <c r="X354" s="4">
        <v>1</v>
      </c>
      <c r="Y354" s="4">
        <v>876.54</v>
      </c>
      <c r="Z354" s="4"/>
      <c r="AA354" s="4"/>
      <c r="AB354" s="4"/>
    </row>
    <row r="355" spans="1:245" x14ac:dyDescent="0.2">
      <c r="A355" s="4">
        <v>50</v>
      </c>
      <c r="B355" s="4">
        <v>0</v>
      </c>
      <c r="C355" s="4">
        <v>0</v>
      </c>
      <c r="D355" s="4">
        <v>1</v>
      </c>
      <c r="E355" s="4">
        <v>224</v>
      </c>
      <c r="F355" s="4">
        <f>ROUND(Source!AR327,O355)</f>
        <v>21687.84</v>
      </c>
      <c r="G355" s="4" t="s">
        <v>126</v>
      </c>
      <c r="H355" s="4" t="s">
        <v>127</v>
      </c>
      <c r="I355" s="4"/>
      <c r="J355" s="4"/>
      <c r="K355" s="4">
        <v>224</v>
      </c>
      <c r="L355" s="4">
        <v>27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21687.84</v>
      </c>
      <c r="X355" s="4">
        <v>1</v>
      </c>
      <c r="Y355" s="4">
        <v>21687.84</v>
      </c>
      <c r="Z355" s="4"/>
      <c r="AA355" s="4"/>
      <c r="AB355" s="4"/>
    </row>
    <row r="357" spans="1:245" x14ac:dyDescent="0.2">
      <c r="A357" s="1">
        <v>5</v>
      </c>
      <c r="B357" s="1">
        <v>1</v>
      </c>
      <c r="C357" s="1"/>
      <c r="D357" s="1">
        <f>ROW(A363)</f>
        <v>363</v>
      </c>
      <c r="E357" s="1"/>
      <c r="F357" s="1" t="s">
        <v>15</v>
      </c>
      <c r="G357" s="1" t="s">
        <v>250</v>
      </c>
      <c r="H357" s="1" t="s">
        <v>3</v>
      </c>
      <c r="I357" s="1">
        <v>0</v>
      </c>
      <c r="J357" s="1"/>
      <c r="K357" s="1">
        <v>0</v>
      </c>
      <c r="L357" s="1"/>
      <c r="M357" s="1" t="s">
        <v>3</v>
      </c>
      <c r="N357" s="1"/>
      <c r="O357" s="1"/>
      <c r="P357" s="1"/>
      <c r="Q357" s="1"/>
      <c r="R357" s="1"/>
      <c r="S357" s="1">
        <v>0</v>
      </c>
      <c r="T357" s="1"/>
      <c r="U357" s="1" t="s">
        <v>3</v>
      </c>
      <c r="V357" s="1">
        <v>0</v>
      </c>
      <c r="W357" s="1"/>
      <c r="X357" s="1"/>
      <c r="Y357" s="1"/>
      <c r="Z357" s="1"/>
      <c r="AA357" s="1"/>
      <c r="AB357" s="1" t="s">
        <v>3</v>
      </c>
      <c r="AC357" s="1" t="s">
        <v>3</v>
      </c>
      <c r="AD357" s="1" t="s">
        <v>3</v>
      </c>
      <c r="AE357" s="1" t="s">
        <v>3</v>
      </c>
      <c r="AF357" s="1" t="s">
        <v>3</v>
      </c>
      <c r="AG357" s="1" t="s">
        <v>3</v>
      </c>
      <c r="AH357" s="1"/>
      <c r="AI357" s="1"/>
      <c r="AJ357" s="1"/>
      <c r="AK357" s="1"/>
      <c r="AL357" s="1"/>
      <c r="AM357" s="1"/>
      <c r="AN357" s="1"/>
      <c r="AO357" s="1"/>
      <c r="AP357" s="1" t="s">
        <v>3</v>
      </c>
      <c r="AQ357" s="1" t="s">
        <v>3</v>
      </c>
      <c r="AR357" s="1" t="s">
        <v>3</v>
      </c>
      <c r="AS357" s="1"/>
      <c r="AT357" s="1"/>
      <c r="AU357" s="1"/>
      <c r="AV357" s="1"/>
      <c r="AW357" s="1"/>
      <c r="AX357" s="1"/>
      <c r="AY357" s="1"/>
      <c r="AZ357" s="1" t="s">
        <v>3</v>
      </c>
      <c r="BA357" s="1"/>
      <c r="BB357" s="1" t="s">
        <v>3</v>
      </c>
      <c r="BC357" s="1" t="s">
        <v>3</v>
      </c>
      <c r="BD357" s="1" t="s">
        <v>3</v>
      </c>
      <c r="BE357" s="1" t="s">
        <v>3</v>
      </c>
      <c r="BF357" s="1" t="s">
        <v>3</v>
      </c>
      <c r="BG357" s="1" t="s">
        <v>3</v>
      </c>
      <c r="BH357" s="1" t="s">
        <v>3</v>
      </c>
      <c r="BI357" s="1" t="s">
        <v>3</v>
      </c>
      <c r="BJ357" s="1" t="s">
        <v>3</v>
      </c>
      <c r="BK357" s="1" t="s">
        <v>3</v>
      </c>
      <c r="BL357" s="1" t="s">
        <v>3</v>
      </c>
      <c r="BM357" s="1" t="s">
        <v>3</v>
      </c>
      <c r="BN357" s="1" t="s">
        <v>3</v>
      </c>
      <c r="BO357" s="1" t="s">
        <v>3</v>
      </c>
      <c r="BP357" s="1" t="s">
        <v>3</v>
      </c>
      <c r="BQ357" s="1"/>
      <c r="BR357" s="1"/>
      <c r="BS357" s="1"/>
      <c r="BT357" s="1"/>
      <c r="BU357" s="1"/>
      <c r="BV357" s="1"/>
      <c r="BW357" s="1"/>
      <c r="BX357" s="1">
        <v>0</v>
      </c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>
        <v>0</v>
      </c>
    </row>
    <row r="359" spans="1:245" x14ac:dyDescent="0.2">
      <c r="A359" s="2">
        <v>52</v>
      </c>
      <c r="B359" s="2">
        <f t="shared" ref="B359:G359" si="225">B363</f>
        <v>1</v>
      </c>
      <c r="C359" s="2">
        <f t="shared" si="225"/>
        <v>5</v>
      </c>
      <c r="D359" s="2">
        <f t="shared" si="225"/>
        <v>357</v>
      </c>
      <c r="E359" s="2">
        <f t="shared" si="225"/>
        <v>0</v>
      </c>
      <c r="F359" s="2" t="str">
        <f t="shared" si="225"/>
        <v>Новый подраздел</v>
      </c>
      <c r="G359" s="2" t="str">
        <f t="shared" si="225"/>
        <v>Потолок</v>
      </c>
      <c r="H359" s="2"/>
      <c r="I359" s="2"/>
      <c r="J359" s="2"/>
      <c r="K359" s="2"/>
      <c r="L359" s="2"/>
      <c r="M359" s="2"/>
      <c r="N359" s="2"/>
      <c r="O359" s="2">
        <f t="shared" ref="O359:AT359" si="226">O363</f>
        <v>11055.76</v>
      </c>
      <c r="P359" s="2">
        <f t="shared" si="226"/>
        <v>3345.48</v>
      </c>
      <c r="Q359" s="2">
        <f t="shared" si="226"/>
        <v>0</v>
      </c>
      <c r="R359" s="2">
        <f t="shared" si="226"/>
        <v>0</v>
      </c>
      <c r="S359" s="2">
        <f t="shared" si="226"/>
        <v>7710.28</v>
      </c>
      <c r="T359" s="2">
        <f t="shared" si="226"/>
        <v>0</v>
      </c>
      <c r="U359" s="2">
        <f t="shared" si="226"/>
        <v>16.814779999999999</v>
      </c>
      <c r="V359" s="2">
        <f t="shared" si="226"/>
        <v>0</v>
      </c>
      <c r="W359" s="2">
        <f t="shared" si="226"/>
        <v>0</v>
      </c>
      <c r="X359" s="2">
        <f t="shared" si="226"/>
        <v>5397.2</v>
      </c>
      <c r="Y359" s="2">
        <f t="shared" si="226"/>
        <v>771.03</v>
      </c>
      <c r="Z359" s="2">
        <f t="shared" si="226"/>
        <v>0</v>
      </c>
      <c r="AA359" s="2">
        <f t="shared" si="226"/>
        <v>0</v>
      </c>
      <c r="AB359" s="2">
        <f t="shared" si="226"/>
        <v>11055.76</v>
      </c>
      <c r="AC359" s="2">
        <f t="shared" si="226"/>
        <v>3345.48</v>
      </c>
      <c r="AD359" s="2">
        <f t="shared" si="226"/>
        <v>0</v>
      </c>
      <c r="AE359" s="2">
        <f t="shared" si="226"/>
        <v>0</v>
      </c>
      <c r="AF359" s="2">
        <f t="shared" si="226"/>
        <v>7710.28</v>
      </c>
      <c r="AG359" s="2">
        <f t="shared" si="226"/>
        <v>0</v>
      </c>
      <c r="AH359" s="2">
        <f t="shared" si="226"/>
        <v>16.814779999999999</v>
      </c>
      <c r="AI359" s="2">
        <f t="shared" si="226"/>
        <v>0</v>
      </c>
      <c r="AJ359" s="2">
        <f t="shared" si="226"/>
        <v>0</v>
      </c>
      <c r="AK359" s="2">
        <f t="shared" si="226"/>
        <v>5397.2</v>
      </c>
      <c r="AL359" s="2">
        <f t="shared" si="226"/>
        <v>771.03</v>
      </c>
      <c r="AM359" s="2">
        <f t="shared" si="226"/>
        <v>0</v>
      </c>
      <c r="AN359" s="2">
        <f t="shared" si="226"/>
        <v>0</v>
      </c>
      <c r="AO359" s="2">
        <f t="shared" si="226"/>
        <v>0</v>
      </c>
      <c r="AP359" s="2">
        <f t="shared" si="226"/>
        <v>0</v>
      </c>
      <c r="AQ359" s="2">
        <f t="shared" si="226"/>
        <v>0</v>
      </c>
      <c r="AR359" s="2">
        <f t="shared" si="226"/>
        <v>17223.990000000002</v>
      </c>
      <c r="AS359" s="2">
        <f t="shared" si="226"/>
        <v>0</v>
      </c>
      <c r="AT359" s="2">
        <f t="shared" si="226"/>
        <v>0</v>
      </c>
      <c r="AU359" s="2">
        <f t="shared" ref="AU359:BZ359" si="227">AU363</f>
        <v>17223.990000000002</v>
      </c>
      <c r="AV359" s="2">
        <f t="shared" si="227"/>
        <v>3345.48</v>
      </c>
      <c r="AW359" s="2">
        <f t="shared" si="227"/>
        <v>3345.48</v>
      </c>
      <c r="AX359" s="2">
        <f t="shared" si="227"/>
        <v>0</v>
      </c>
      <c r="AY359" s="2">
        <f t="shared" si="227"/>
        <v>3345.48</v>
      </c>
      <c r="AZ359" s="2">
        <f t="shared" si="227"/>
        <v>0</v>
      </c>
      <c r="BA359" s="2">
        <f t="shared" si="227"/>
        <v>0</v>
      </c>
      <c r="BB359" s="2">
        <f t="shared" si="227"/>
        <v>0</v>
      </c>
      <c r="BC359" s="2">
        <f t="shared" si="227"/>
        <v>0</v>
      </c>
      <c r="BD359" s="2">
        <f t="shared" si="227"/>
        <v>0</v>
      </c>
      <c r="BE359" s="2">
        <f t="shared" si="227"/>
        <v>0</v>
      </c>
      <c r="BF359" s="2">
        <f t="shared" si="227"/>
        <v>0</v>
      </c>
      <c r="BG359" s="2">
        <f t="shared" si="227"/>
        <v>0</v>
      </c>
      <c r="BH359" s="2">
        <f t="shared" si="227"/>
        <v>0</v>
      </c>
      <c r="BI359" s="2">
        <f t="shared" si="227"/>
        <v>0</v>
      </c>
      <c r="BJ359" s="2">
        <f t="shared" si="227"/>
        <v>0</v>
      </c>
      <c r="BK359" s="2">
        <f t="shared" si="227"/>
        <v>0</v>
      </c>
      <c r="BL359" s="2">
        <f t="shared" si="227"/>
        <v>0</v>
      </c>
      <c r="BM359" s="2">
        <f t="shared" si="227"/>
        <v>0</v>
      </c>
      <c r="BN359" s="2">
        <f t="shared" si="227"/>
        <v>0</v>
      </c>
      <c r="BO359" s="2">
        <f t="shared" si="227"/>
        <v>0</v>
      </c>
      <c r="BP359" s="2">
        <f t="shared" si="227"/>
        <v>0</v>
      </c>
      <c r="BQ359" s="2">
        <f t="shared" si="227"/>
        <v>0</v>
      </c>
      <c r="BR359" s="2">
        <f t="shared" si="227"/>
        <v>0</v>
      </c>
      <c r="BS359" s="2">
        <f t="shared" si="227"/>
        <v>0</v>
      </c>
      <c r="BT359" s="2">
        <f t="shared" si="227"/>
        <v>0</v>
      </c>
      <c r="BU359" s="2">
        <f t="shared" si="227"/>
        <v>0</v>
      </c>
      <c r="BV359" s="2">
        <f t="shared" si="227"/>
        <v>0</v>
      </c>
      <c r="BW359" s="2">
        <f t="shared" si="227"/>
        <v>0</v>
      </c>
      <c r="BX359" s="2">
        <f t="shared" si="227"/>
        <v>0</v>
      </c>
      <c r="BY359" s="2">
        <f t="shared" si="227"/>
        <v>0</v>
      </c>
      <c r="BZ359" s="2">
        <f t="shared" si="227"/>
        <v>0</v>
      </c>
      <c r="CA359" s="2">
        <f t="shared" ref="CA359:DF359" si="228">CA363</f>
        <v>17223.990000000002</v>
      </c>
      <c r="CB359" s="2">
        <f t="shared" si="228"/>
        <v>0</v>
      </c>
      <c r="CC359" s="2">
        <f t="shared" si="228"/>
        <v>0</v>
      </c>
      <c r="CD359" s="2">
        <f t="shared" si="228"/>
        <v>17223.990000000002</v>
      </c>
      <c r="CE359" s="2">
        <f t="shared" si="228"/>
        <v>3345.48</v>
      </c>
      <c r="CF359" s="2">
        <f t="shared" si="228"/>
        <v>3345.48</v>
      </c>
      <c r="CG359" s="2">
        <f t="shared" si="228"/>
        <v>0</v>
      </c>
      <c r="CH359" s="2">
        <f t="shared" si="228"/>
        <v>3345.48</v>
      </c>
      <c r="CI359" s="2">
        <f t="shared" si="228"/>
        <v>0</v>
      </c>
      <c r="CJ359" s="2">
        <f t="shared" si="228"/>
        <v>0</v>
      </c>
      <c r="CK359" s="2">
        <f t="shared" si="228"/>
        <v>0</v>
      </c>
      <c r="CL359" s="2">
        <f t="shared" si="228"/>
        <v>0</v>
      </c>
      <c r="CM359" s="2">
        <f t="shared" si="228"/>
        <v>0</v>
      </c>
      <c r="CN359" s="2">
        <f t="shared" si="228"/>
        <v>0</v>
      </c>
      <c r="CO359" s="2">
        <f t="shared" si="228"/>
        <v>0</v>
      </c>
      <c r="CP359" s="2">
        <f t="shared" si="228"/>
        <v>0</v>
      </c>
      <c r="CQ359" s="2">
        <f t="shared" si="228"/>
        <v>0</v>
      </c>
      <c r="CR359" s="2">
        <f t="shared" si="228"/>
        <v>0</v>
      </c>
      <c r="CS359" s="2">
        <f t="shared" si="228"/>
        <v>0</v>
      </c>
      <c r="CT359" s="2">
        <f t="shared" si="228"/>
        <v>0</v>
      </c>
      <c r="CU359" s="2">
        <f t="shared" si="228"/>
        <v>0</v>
      </c>
      <c r="CV359" s="2">
        <f t="shared" si="228"/>
        <v>0</v>
      </c>
      <c r="CW359" s="2">
        <f t="shared" si="228"/>
        <v>0</v>
      </c>
      <c r="CX359" s="2">
        <f t="shared" si="228"/>
        <v>0</v>
      </c>
      <c r="CY359" s="2">
        <f t="shared" si="228"/>
        <v>0</v>
      </c>
      <c r="CZ359" s="2">
        <f t="shared" si="228"/>
        <v>0</v>
      </c>
      <c r="DA359" s="2">
        <f t="shared" si="228"/>
        <v>0</v>
      </c>
      <c r="DB359" s="2">
        <f t="shared" si="228"/>
        <v>0</v>
      </c>
      <c r="DC359" s="2">
        <f t="shared" si="228"/>
        <v>0</v>
      </c>
      <c r="DD359" s="2">
        <f t="shared" si="228"/>
        <v>0</v>
      </c>
      <c r="DE359" s="2">
        <f t="shared" si="228"/>
        <v>0</v>
      </c>
      <c r="DF359" s="2">
        <f t="shared" si="228"/>
        <v>0</v>
      </c>
      <c r="DG359" s="3">
        <f t="shared" ref="DG359:EL359" si="229">DG363</f>
        <v>0</v>
      </c>
      <c r="DH359" s="3">
        <f t="shared" si="229"/>
        <v>0</v>
      </c>
      <c r="DI359" s="3">
        <f t="shared" si="229"/>
        <v>0</v>
      </c>
      <c r="DJ359" s="3">
        <f t="shared" si="229"/>
        <v>0</v>
      </c>
      <c r="DK359" s="3">
        <f t="shared" si="229"/>
        <v>0</v>
      </c>
      <c r="DL359" s="3">
        <f t="shared" si="229"/>
        <v>0</v>
      </c>
      <c r="DM359" s="3">
        <f t="shared" si="229"/>
        <v>0</v>
      </c>
      <c r="DN359" s="3">
        <f t="shared" si="229"/>
        <v>0</v>
      </c>
      <c r="DO359" s="3">
        <f t="shared" si="229"/>
        <v>0</v>
      </c>
      <c r="DP359" s="3">
        <f t="shared" si="229"/>
        <v>0</v>
      </c>
      <c r="DQ359" s="3">
        <f t="shared" si="229"/>
        <v>0</v>
      </c>
      <c r="DR359" s="3">
        <f t="shared" si="229"/>
        <v>0</v>
      </c>
      <c r="DS359" s="3">
        <f t="shared" si="229"/>
        <v>0</v>
      </c>
      <c r="DT359" s="3">
        <f t="shared" si="229"/>
        <v>0</v>
      </c>
      <c r="DU359" s="3">
        <f t="shared" si="229"/>
        <v>0</v>
      </c>
      <c r="DV359" s="3">
        <f t="shared" si="229"/>
        <v>0</v>
      </c>
      <c r="DW359" s="3">
        <f t="shared" si="229"/>
        <v>0</v>
      </c>
      <c r="DX359" s="3">
        <f t="shared" si="229"/>
        <v>0</v>
      </c>
      <c r="DY359" s="3">
        <f t="shared" si="229"/>
        <v>0</v>
      </c>
      <c r="DZ359" s="3">
        <f t="shared" si="229"/>
        <v>0</v>
      </c>
      <c r="EA359" s="3">
        <f t="shared" si="229"/>
        <v>0</v>
      </c>
      <c r="EB359" s="3">
        <f t="shared" si="229"/>
        <v>0</v>
      </c>
      <c r="EC359" s="3">
        <f t="shared" si="229"/>
        <v>0</v>
      </c>
      <c r="ED359" s="3">
        <f t="shared" si="229"/>
        <v>0</v>
      </c>
      <c r="EE359" s="3">
        <f t="shared" si="229"/>
        <v>0</v>
      </c>
      <c r="EF359" s="3">
        <f t="shared" si="229"/>
        <v>0</v>
      </c>
      <c r="EG359" s="3">
        <f t="shared" si="229"/>
        <v>0</v>
      </c>
      <c r="EH359" s="3">
        <f t="shared" si="229"/>
        <v>0</v>
      </c>
      <c r="EI359" s="3">
        <f t="shared" si="229"/>
        <v>0</v>
      </c>
      <c r="EJ359" s="3">
        <f t="shared" si="229"/>
        <v>0</v>
      </c>
      <c r="EK359" s="3">
        <f t="shared" si="229"/>
        <v>0</v>
      </c>
      <c r="EL359" s="3">
        <f t="shared" si="229"/>
        <v>0</v>
      </c>
      <c r="EM359" s="3">
        <f t="shared" ref="EM359:FR359" si="230">EM363</f>
        <v>0</v>
      </c>
      <c r="EN359" s="3">
        <f t="shared" si="230"/>
        <v>0</v>
      </c>
      <c r="EO359" s="3">
        <f t="shared" si="230"/>
        <v>0</v>
      </c>
      <c r="EP359" s="3">
        <f t="shared" si="230"/>
        <v>0</v>
      </c>
      <c r="EQ359" s="3">
        <f t="shared" si="230"/>
        <v>0</v>
      </c>
      <c r="ER359" s="3">
        <f t="shared" si="230"/>
        <v>0</v>
      </c>
      <c r="ES359" s="3">
        <f t="shared" si="230"/>
        <v>0</v>
      </c>
      <c r="ET359" s="3">
        <f t="shared" si="230"/>
        <v>0</v>
      </c>
      <c r="EU359" s="3">
        <f t="shared" si="230"/>
        <v>0</v>
      </c>
      <c r="EV359" s="3">
        <f t="shared" si="230"/>
        <v>0</v>
      </c>
      <c r="EW359" s="3">
        <f t="shared" si="230"/>
        <v>0</v>
      </c>
      <c r="EX359" s="3">
        <f t="shared" si="230"/>
        <v>0</v>
      </c>
      <c r="EY359" s="3">
        <f t="shared" si="230"/>
        <v>0</v>
      </c>
      <c r="EZ359" s="3">
        <f t="shared" si="230"/>
        <v>0</v>
      </c>
      <c r="FA359" s="3">
        <f t="shared" si="230"/>
        <v>0</v>
      </c>
      <c r="FB359" s="3">
        <f t="shared" si="230"/>
        <v>0</v>
      </c>
      <c r="FC359" s="3">
        <f t="shared" si="230"/>
        <v>0</v>
      </c>
      <c r="FD359" s="3">
        <f t="shared" si="230"/>
        <v>0</v>
      </c>
      <c r="FE359" s="3">
        <f t="shared" si="230"/>
        <v>0</v>
      </c>
      <c r="FF359" s="3">
        <f t="shared" si="230"/>
        <v>0</v>
      </c>
      <c r="FG359" s="3">
        <f t="shared" si="230"/>
        <v>0</v>
      </c>
      <c r="FH359" s="3">
        <f t="shared" si="230"/>
        <v>0</v>
      </c>
      <c r="FI359" s="3">
        <f t="shared" si="230"/>
        <v>0</v>
      </c>
      <c r="FJ359" s="3">
        <f t="shared" si="230"/>
        <v>0</v>
      </c>
      <c r="FK359" s="3">
        <f t="shared" si="230"/>
        <v>0</v>
      </c>
      <c r="FL359" s="3">
        <f t="shared" si="230"/>
        <v>0</v>
      </c>
      <c r="FM359" s="3">
        <f t="shared" si="230"/>
        <v>0</v>
      </c>
      <c r="FN359" s="3">
        <f t="shared" si="230"/>
        <v>0</v>
      </c>
      <c r="FO359" s="3">
        <f t="shared" si="230"/>
        <v>0</v>
      </c>
      <c r="FP359" s="3">
        <f t="shared" si="230"/>
        <v>0</v>
      </c>
      <c r="FQ359" s="3">
        <f t="shared" si="230"/>
        <v>0</v>
      </c>
      <c r="FR359" s="3">
        <f t="shared" si="230"/>
        <v>0</v>
      </c>
      <c r="FS359" s="3">
        <f t="shared" ref="FS359:GX359" si="231">FS363</f>
        <v>0</v>
      </c>
      <c r="FT359" s="3">
        <f t="shared" si="231"/>
        <v>0</v>
      </c>
      <c r="FU359" s="3">
        <f t="shared" si="231"/>
        <v>0</v>
      </c>
      <c r="FV359" s="3">
        <f t="shared" si="231"/>
        <v>0</v>
      </c>
      <c r="FW359" s="3">
        <f t="shared" si="231"/>
        <v>0</v>
      </c>
      <c r="FX359" s="3">
        <f t="shared" si="231"/>
        <v>0</v>
      </c>
      <c r="FY359" s="3">
        <f t="shared" si="231"/>
        <v>0</v>
      </c>
      <c r="FZ359" s="3">
        <f t="shared" si="231"/>
        <v>0</v>
      </c>
      <c r="GA359" s="3">
        <f t="shared" si="231"/>
        <v>0</v>
      </c>
      <c r="GB359" s="3">
        <f t="shared" si="231"/>
        <v>0</v>
      </c>
      <c r="GC359" s="3">
        <f t="shared" si="231"/>
        <v>0</v>
      </c>
      <c r="GD359" s="3">
        <f t="shared" si="231"/>
        <v>0</v>
      </c>
      <c r="GE359" s="3">
        <f t="shared" si="231"/>
        <v>0</v>
      </c>
      <c r="GF359" s="3">
        <f t="shared" si="231"/>
        <v>0</v>
      </c>
      <c r="GG359" s="3">
        <f t="shared" si="231"/>
        <v>0</v>
      </c>
      <c r="GH359" s="3">
        <f t="shared" si="231"/>
        <v>0</v>
      </c>
      <c r="GI359" s="3">
        <f t="shared" si="231"/>
        <v>0</v>
      </c>
      <c r="GJ359" s="3">
        <f t="shared" si="231"/>
        <v>0</v>
      </c>
      <c r="GK359" s="3">
        <f t="shared" si="231"/>
        <v>0</v>
      </c>
      <c r="GL359" s="3">
        <f t="shared" si="231"/>
        <v>0</v>
      </c>
      <c r="GM359" s="3">
        <f t="shared" si="231"/>
        <v>0</v>
      </c>
      <c r="GN359" s="3">
        <f t="shared" si="231"/>
        <v>0</v>
      </c>
      <c r="GO359" s="3">
        <f t="shared" si="231"/>
        <v>0</v>
      </c>
      <c r="GP359" s="3">
        <f t="shared" si="231"/>
        <v>0</v>
      </c>
      <c r="GQ359" s="3">
        <f t="shared" si="231"/>
        <v>0</v>
      </c>
      <c r="GR359" s="3">
        <f t="shared" si="231"/>
        <v>0</v>
      </c>
      <c r="GS359" s="3">
        <f t="shared" si="231"/>
        <v>0</v>
      </c>
      <c r="GT359" s="3">
        <f t="shared" si="231"/>
        <v>0</v>
      </c>
      <c r="GU359" s="3">
        <f t="shared" si="231"/>
        <v>0</v>
      </c>
      <c r="GV359" s="3">
        <f t="shared" si="231"/>
        <v>0</v>
      </c>
      <c r="GW359" s="3">
        <f t="shared" si="231"/>
        <v>0</v>
      </c>
      <c r="GX359" s="3">
        <f t="shared" si="231"/>
        <v>0</v>
      </c>
    </row>
    <row r="361" spans="1:245" x14ac:dyDescent="0.2">
      <c r="A361">
        <v>17</v>
      </c>
      <c r="B361">
        <v>1</v>
      </c>
      <c r="C361">
        <f>ROW(SmtRes!A141)</f>
        <v>141</v>
      </c>
      <c r="D361">
        <f>ROW(EtalonRes!A128)</f>
        <v>128</v>
      </c>
      <c r="E361" t="s">
        <v>251</v>
      </c>
      <c r="F361" t="s">
        <v>252</v>
      </c>
      <c r="G361" t="s">
        <v>253</v>
      </c>
      <c r="H361" t="s">
        <v>32</v>
      </c>
      <c r="I361">
        <f>ROUND(54.7/100,9)</f>
        <v>0.54700000000000004</v>
      </c>
      <c r="J361">
        <v>0</v>
      </c>
      <c r="K361">
        <f>ROUND(54.7/100,9)</f>
        <v>0.54700000000000004</v>
      </c>
      <c r="O361">
        <f>ROUND(CP361,2)</f>
        <v>11055.76</v>
      </c>
      <c r="P361">
        <f>ROUND(CQ361*I361,2)</f>
        <v>3345.48</v>
      </c>
      <c r="Q361">
        <f>ROUND(CR361*I361,2)</f>
        <v>0</v>
      </c>
      <c r="R361">
        <f>ROUND(CS361*I361,2)</f>
        <v>0</v>
      </c>
      <c r="S361">
        <f>ROUND(CT361*I361,2)</f>
        <v>7710.28</v>
      </c>
      <c r="T361">
        <f>ROUND(CU361*I361,2)</f>
        <v>0</v>
      </c>
      <c r="U361">
        <f>CV361*I361</f>
        <v>16.814779999999999</v>
      </c>
      <c r="V361">
        <f>CW361*I361</f>
        <v>0</v>
      </c>
      <c r="W361">
        <f>ROUND(CX361*I361,2)</f>
        <v>0</v>
      </c>
      <c r="X361">
        <f>ROUND(CY361,2)</f>
        <v>5397.2</v>
      </c>
      <c r="Y361">
        <f>ROUND(CZ361,2)</f>
        <v>771.03</v>
      </c>
      <c r="AA361">
        <v>75700856</v>
      </c>
      <c r="AB361">
        <f>ROUND((AC361+AD361+AF361),6)</f>
        <v>20211.63</v>
      </c>
      <c r="AC361">
        <f>ROUND((ES361),6)</f>
        <v>6116.06</v>
      </c>
      <c r="AD361">
        <f>ROUND((((ET361)-(EU361))+AE361),6)</f>
        <v>0</v>
      </c>
      <c r="AE361">
        <f>ROUND((EU361),6)</f>
        <v>0</v>
      </c>
      <c r="AF361">
        <f>ROUND((EV361),6)</f>
        <v>14095.57</v>
      </c>
      <c r="AG361">
        <f>ROUND((AP361),6)</f>
        <v>0</v>
      </c>
      <c r="AH361">
        <f>(EW361)</f>
        <v>30.74</v>
      </c>
      <c r="AI361">
        <f>(EX361)</f>
        <v>0</v>
      </c>
      <c r="AJ361">
        <f>(AS361)</f>
        <v>0</v>
      </c>
      <c r="AK361">
        <v>20211.63</v>
      </c>
      <c r="AL361">
        <v>6116.06</v>
      </c>
      <c r="AM361">
        <v>0</v>
      </c>
      <c r="AN361">
        <v>0</v>
      </c>
      <c r="AO361">
        <v>14095.57</v>
      </c>
      <c r="AP361">
        <v>0</v>
      </c>
      <c r="AQ361">
        <v>30.74</v>
      </c>
      <c r="AR361">
        <v>0</v>
      </c>
      <c r="AS361">
        <v>0</v>
      </c>
      <c r="AT361">
        <v>70</v>
      </c>
      <c r="AU361">
        <v>10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4</v>
      </c>
      <c r="BJ361" t="s">
        <v>254</v>
      </c>
      <c r="BM361">
        <v>0</v>
      </c>
      <c r="BN361">
        <v>75371441</v>
      </c>
      <c r="BO361" t="s">
        <v>3</v>
      </c>
      <c r="BP361">
        <v>0</v>
      </c>
      <c r="BQ361">
        <v>1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70</v>
      </c>
      <c r="CA361">
        <v>10</v>
      </c>
      <c r="CB361" t="s">
        <v>3</v>
      </c>
      <c r="CE361">
        <v>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>(P361+Q361+S361)</f>
        <v>11055.76</v>
      </c>
      <c r="CQ361">
        <f>(AC361*BC361*AW361)</f>
        <v>6116.06</v>
      </c>
      <c r="CR361">
        <f>((((ET361)*BB361-(EU361)*BS361)+AE361*BS361)*AV361)</f>
        <v>0</v>
      </c>
      <c r="CS361">
        <f>(AE361*BS361*AV361)</f>
        <v>0</v>
      </c>
      <c r="CT361">
        <f>(AF361*BA361*AV361)</f>
        <v>14095.57</v>
      </c>
      <c r="CU361">
        <f>AG361</f>
        <v>0</v>
      </c>
      <c r="CV361">
        <f>(AH361*AV361)</f>
        <v>30.74</v>
      </c>
      <c r="CW361">
        <f>AI361</f>
        <v>0</v>
      </c>
      <c r="CX361">
        <f>AJ361</f>
        <v>0</v>
      </c>
      <c r="CY361">
        <f>((S361*BZ361)/100)</f>
        <v>5397.1959999999999</v>
      </c>
      <c r="CZ361">
        <f>((S361*CA361)/100)</f>
        <v>771.02800000000002</v>
      </c>
      <c r="DC361" t="s">
        <v>3</v>
      </c>
      <c r="DD361" t="s">
        <v>3</v>
      </c>
      <c r="DE361" t="s">
        <v>3</v>
      </c>
      <c r="DF361" t="s">
        <v>3</v>
      </c>
      <c r="DG361" t="s">
        <v>3</v>
      </c>
      <c r="DH361" t="s">
        <v>3</v>
      </c>
      <c r="DI361" t="s">
        <v>3</v>
      </c>
      <c r="DJ361" t="s">
        <v>3</v>
      </c>
      <c r="DK361" t="s">
        <v>3</v>
      </c>
      <c r="DL361" t="s">
        <v>3</v>
      </c>
      <c r="DM361" t="s">
        <v>3</v>
      </c>
      <c r="DN361">
        <v>0</v>
      </c>
      <c r="DO361">
        <v>0</v>
      </c>
      <c r="DP361">
        <v>1</v>
      </c>
      <c r="DQ361">
        <v>1</v>
      </c>
      <c r="DU361">
        <v>1005</v>
      </c>
      <c r="DV361" t="s">
        <v>32</v>
      </c>
      <c r="DW361" t="s">
        <v>32</v>
      </c>
      <c r="DX361">
        <v>100</v>
      </c>
      <c r="DZ361" t="s">
        <v>3</v>
      </c>
      <c r="EA361" t="s">
        <v>3</v>
      </c>
      <c r="EB361" t="s">
        <v>3</v>
      </c>
      <c r="EC361" t="s">
        <v>3</v>
      </c>
      <c r="EE361">
        <v>75371444</v>
      </c>
      <c r="EF361">
        <v>1</v>
      </c>
      <c r="EG361" t="s">
        <v>22</v>
      </c>
      <c r="EH361">
        <v>0</v>
      </c>
      <c r="EI361" t="s">
        <v>3</v>
      </c>
      <c r="EJ361">
        <v>4</v>
      </c>
      <c r="EK361">
        <v>0</v>
      </c>
      <c r="EL361" t="s">
        <v>23</v>
      </c>
      <c r="EM361" t="s">
        <v>24</v>
      </c>
      <c r="EO361" t="s">
        <v>3</v>
      </c>
      <c r="EQ361">
        <v>0</v>
      </c>
      <c r="ER361">
        <v>20211.63</v>
      </c>
      <c r="ES361">
        <v>6116.06</v>
      </c>
      <c r="ET361">
        <v>0</v>
      </c>
      <c r="EU361">
        <v>0</v>
      </c>
      <c r="EV361">
        <v>14095.57</v>
      </c>
      <c r="EW361">
        <v>30.74</v>
      </c>
      <c r="EX361">
        <v>0</v>
      </c>
      <c r="EY361">
        <v>0</v>
      </c>
      <c r="FQ361">
        <v>0</v>
      </c>
      <c r="FR361">
        <f>ROUND(IF(BI361=3,GM361,0),2)</f>
        <v>0</v>
      </c>
      <c r="FS361">
        <v>0</v>
      </c>
      <c r="FX361">
        <v>70</v>
      </c>
      <c r="FY361">
        <v>10</v>
      </c>
      <c r="GA361" t="s">
        <v>3</v>
      </c>
      <c r="GD361">
        <v>0</v>
      </c>
      <c r="GF361">
        <v>-1313138301</v>
      </c>
      <c r="GG361">
        <v>2</v>
      </c>
      <c r="GH361">
        <v>1</v>
      </c>
      <c r="GI361">
        <v>-2</v>
      </c>
      <c r="GJ361">
        <v>0</v>
      </c>
      <c r="GK361">
        <f>ROUND(R361*(R12)/100,2)</f>
        <v>0</v>
      </c>
      <c r="GL361">
        <f>ROUND(IF(AND(BH361=3,BI361=3,FS361&lt;&gt;0),P361,0),2)</f>
        <v>0</v>
      </c>
      <c r="GM361">
        <f>ROUND(O361+X361+Y361+GK361,2)+GX361</f>
        <v>17223.990000000002</v>
      </c>
      <c r="GN361">
        <f>IF(OR(BI361=0,BI361=1),GM361-GX361,0)</f>
        <v>0</v>
      </c>
      <c r="GO361">
        <f>IF(BI361=2,GM361-GX361,0)</f>
        <v>0</v>
      </c>
      <c r="GP361">
        <f>IF(BI361=4,GM361-GX361,0)</f>
        <v>17223.990000000002</v>
      </c>
      <c r="GR361">
        <v>0</v>
      </c>
      <c r="GS361">
        <v>3</v>
      </c>
      <c r="GT361">
        <v>0</v>
      </c>
      <c r="GU361" t="s">
        <v>3</v>
      </c>
      <c r="GV361">
        <f>ROUND((GT361),6)</f>
        <v>0</v>
      </c>
      <c r="GW361">
        <v>1</v>
      </c>
      <c r="GX361">
        <f>ROUND(HC361*I361,2)</f>
        <v>0</v>
      </c>
      <c r="HA361">
        <v>0</v>
      </c>
      <c r="HB361">
        <v>0</v>
      </c>
      <c r="HC361">
        <f>GV361*GW361</f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3" spans="1:245" x14ac:dyDescent="0.2">
      <c r="A363" s="2">
        <v>51</v>
      </c>
      <c r="B363" s="2">
        <f>B357</f>
        <v>1</v>
      </c>
      <c r="C363" s="2">
        <f>A357</f>
        <v>5</v>
      </c>
      <c r="D363" s="2">
        <f>ROW(A357)</f>
        <v>357</v>
      </c>
      <c r="E363" s="2"/>
      <c r="F363" s="2" t="str">
        <f>IF(F357&lt;&gt;"",F357,"")</f>
        <v>Новый подраздел</v>
      </c>
      <c r="G363" s="2" t="str">
        <f>IF(G357&lt;&gt;"",G357,"")</f>
        <v>Потолок</v>
      </c>
      <c r="H363" s="2">
        <v>0</v>
      </c>
      <c r="I363" s="2"/>
      <c r="J363" s="2"/>
      <c r="K363" s="2"/>
      <c r="L363" s="2"/>
      <c r="M363" s="2"/>
      <c r="N363" s="2"/>
      <c r="O363" s="2">
        <f t="shared" ref="O363:T363" si="232">ROUND(AB363,2)</f>
        <v>11055.76</v>
      </c>
      <c r="P363" s="2">
        <f t="shared" si="232"/>
        <v>3345.48</v>
      </c>
      <c r="Q363" s="2">
        <f t="shared" si="232"/>
        <v>0</v>
      </c>
      <c r="R363" s="2">
        <f t="shared" si="232"/>
        <v>0</v>
      </c>
      <c r="S363" s="2">
        <f t="shared" si="232"/>
        <v>7710.28</v>
      </c>
      <c r="T363" s="2">
        <f t="shared" si="232"/>
        <v>0</v>
      </c>
      <c r="U363" s="2">
        <f>AH363</f>
        <v>16.814779999999999</v>
      </c>
      <c r="V363" s="2">
        <f>AI363</f>
        <v>0</v>
      </c>
      <c r="W363" s="2">
        <f>ROUND(AJ363,2)</f>
        <v>0</v>
      </c>
      <c r="X363" s="2">
        <f>ROUND(AK363,2)</f>
        <v>5397.2</v>
      </c>
      <c r="Y363" s="2">
        <f>ROUND(AL363,2)</f>
        <v>771.03</v>
      </c>
      <c r="Z363" s="2"/>
      <c r="AA363" s="2"/>
      <c r="AB363" s="2">
        <f>ROUND(SUMIF(AA361:AA361,"=75700856",O361:O361),2)</f>
        <v>11055.76</v>
      </c>
      <c r="AC363" s="2">
        <f>ROUND(SUMIF(AA361:AA361,"=75700856",P361:P361),2)</f>
        <v>3345.48</v>
      </c>
      <c r="AD363" s="2">
        <f>ROUND(SUMIF(AA361:AA361,"=75700856",Q361:Q361),2)</f>
        <v>0</v>
      </c>
      <c r="AE363" s="2">
        <f>ROUND(SUMIF(AA361:AA361,"=75700856",R361:R361),2)</f>
        <v>0</v>
      </c>
      <c r="AF363" s="2">
        <f>ROUND(SUMIF(AA361:AA361,"=75700856",S361:S361),2)</f>
        <v>7710.28</v>
      </c>
      <c r="AG363" s="2">
        <f>ROUND(SUMIF(AA361:AA361,"=75700856",T361:T361),2)</f>
        <v>0</v>
      </c>
      <c r="AH363" s="2">
        <f>SUMIF(AA361:AA361,"=75700856",U361:U361)</f>
        <v>16.814779999999999</v>
      </c>
      <c r="AI363" s="2">
        <f>SUMIF(AA361:AA361,"=75700856",V361:V361)</f>
        <v>0</v>
      </c>
      <c r="AJ363" s="2">
        <f>ROUND(SUMIF(AA361:AA361,"=75700856",W361:W361),2)</f>
        <v>0</v>
      </c>
      <c r="AK363" s="2">
        <f>ROUND(SUMIF(AA361:AA361,"=75700856",X361:X361),2)</f>
        <v>5397.2</v>
      </c>
      <c r="AL363" s="2">
        <f>ROUND(SUMIF(AA361:AA361,"=75700856",Y361:Y361),2)</f>
        <v>771.03</v>
      </c>
      <c r="AM363" s="2"/>
      <c r="AN363" s="2"/>
      <c r="AO363" s="2">
        <f t="shared" ref="AO363:BD363" si="233">ROUND(BX363,2)</f>
        <v>0</v>
      </c>
      <c r="AP363" s="2">
        <f t="shared" si="233"/>
        <v>0</v>
      </c>
      <c r="AQ363" s="2">
        <f t="shared" si="233"/>
        <v>0</v>
      </c>
      <c r="AR363" s="2">
        <f t="shared" si="233"/>
        <v>17223.990000000002</v>
      </c>
      <c r="AS363" s="2">
        <f t="shared" si="233"/>
        <v>0</v>
      </c>
      <c r="AT363" s="2">
        <f t="shared" si="233"/>
        <v>0</v>
      </c>
      <c r="AU363" s="2">
        <f t="shared" si="233"/>
        <v>17223.990000000002</v>
      </c>
      <c r="AV363" s="2">
        <f t="shared" si="233"/>
        <v>3345.48</v>
      </c>
      <c r="AW363" s="2">
        <f t="shared" si="233"/>
        <v>3345.48</v>
      </c>
      <c r="AX363" s="2">
        <f t="shared" si="233"/>
        <v>0</v>
      </c>
      <c r="AY363" s="2">
        <f t="shared" si="233"/>
        <v>3345.48</v>
      </c>
      <c r="AZ363" s="2">
        <f t="shared" si="233"/>
        <v>0</v>
      </c>
      <c r="BA363" s="2">
        <f t="shared" si="233"/>
        <v>0</v>
      </c>
      <c r="BB363" s="2">
        <f t="shared" si="233"/>
        <v>0</v>
      </c>
      <c r="BC363" s="2">
        <f t="shared" si="233"/>
        <v>0</v>
      </c>
      <c r="BD363" s="2">
        <f t="shared" si="233"/>
        <v>0</v>
      </c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>
        <f>ROUND(SUMIF(AA361:AA361,"=75700856",FQ361:FQ361),2)</f>
        <v>0</v>
      </c>
      <c r="BY363" s="2">
        <f>ROUND(SUMIF(AA361:AA361,"=75700856",FR361:FR361),2)</f>
        <v>0</v>
      </c>
      <c r="BZ363" s="2">
        <f>ROUND(SUMIF(AA361:AA361,"=75700856",GL361:GL361),2)</f>
        <v>0</v>
      </c>
      <c r="CA363" s="2">
        <f>ROUND(SUMIF(AA361:AA361,"=75700856",GM361:GM361),2)</f>
        <v>17223.990000000002</v>
      </c>
      <c r="CB363" s="2">
        <f>ROUND(SUMIF(AA361:AA361,"=75700856",GN361:GN361),2)</f>
        <v>0</v>
      </c>
      <c r="CC363" s="2">
        <f>ROUND(SUMIF(AA361:AA361,"=75700856",GO361:GO361),2)</f>
        <v>0</v>
      </c>
      <c r="CD363" s="2">
        <f>ROUND(SUMIF(AA361:AA361,"=75700856",GP361:GP361),2)</f>
        <v>17223.990000000002</v>
      </c>
      <c r="CE363" s="2">
        <f>AC363-BX363</f>
        <v>3345.48</v>
      </c>
      <c r="CF363" s="2">
        <f>AC363-BY363</f>
        <v>3345.48</v>
      </c>
      <c r="CG363" s="2">
        <f>BX363-BZ363</f>
        <v>0</v>
      </c>
      <c r="CH363" s="2">
        <f>AC363-BX363-BY363+BZ363</f>
        <v>3345.48</v>
      </c>
      <c r="CI363" s="2">
        <f>BY363-BZ363</f>
        <v>0</v>
      </c>
      <c r="CJ363" s="2">
        <f>ROUND(SUMIF(AA361:AA361,"=75700856",GX361:GX361),2)</f>
        <v>0</v>
      </c>
      <c r="CK363" s="2">
        <f>ROUND(SUMIF(AA361:AA361,"=75700856",GY361:GY361),2)</f>
        <v>0</v>
      </c>
      <c r="CL363" s="2">
        <f>ROUND(SUMIF(AA361:AA361,"=75700856",GZ361:GZ361),2)</f>
        <v>0</v>
      </c>
      <c r="CM363" s="2">
        <f>ROUND(SUMIF(AA361:AA361,"=75700856",HD361:HD361),2)</f>
        <v>0</v>
      </c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>
        <v>0</v>
      </c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201</v>
      </c>
      <c r="F365" s="4">
        <f>ROUND(Source!O363,O365)</f>
        <v>11055.76</v>
      </c>
      <c r="G365" s="4" t="s">
        <v>74</v>
      </c>
      <c r="H365" s="4" t="s">
        <v>75</v>
      </c>
      <c r="I365" s="4"/>
      <c r="J365" s="4"/>
      <c r="K365" s="4">
        <v>201</v>
      </c>
      <c r="L365" s="4">
        <v>1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11055.76</v>
      </c>
      <c r="X365" s="4">
        <v>1</v>
      </c>
      <c r="Y365" s="4">
        <v>11055.76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202</v>
      </c>
      <c r="F366" s="4">
        <f>ROUND(Source!P363,O366)</f>
        <v>3345.48</v>
      </c>
      <c r="G366" s="4" t="s">
        <v>76</v>
      </c>
      <c r="H366" s="4" t="s">
        <v>77</v>
      </c>
      <c r="I366" s="4"/>
      <c r="J366" s="4"/>
      <c r="K366" s="4">
        <v>202</v>
      </c>
      <c r="L366" s="4">
        <v>2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3345.48</v>
      </c>
      <c r="X366" s="4">
        <v>1</v>
      </c>
      <c r="Y366" s="4">
        <v>3345.48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222</v>
      </c>
      <c r="F367" s="4">
        <f>ROUND(Source!AO363,O367)</f>
        <v>0</v>
      </c>
      <c r="G367" s="4" t="s">
        <v>78</v>
      </c>
      <c r="H367" s="4" t="s">
        <v>79</v>
      </c>
      <c r="I367" s="4"/>
      <c r="J367" s="4"/>
      <c r="K367" s="4">
        <v>222</v>
      </c>
      <c r="L367" s="4">
        <v>3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225</v>
      </c>
      <c r="F368" s="4">
        <f>ROUND(Source!AV363,O368)</f>
        <v>3345.48</v>
      </c>
      <c r="G368" s="4" t="s">
        <v>80</v>
      </c>
      <c r="H368" s="4" t="s">
        <v>81</v>
      </c>
      <c r="I368" s="4"/>
      <c r="J368" s="4"/>
      <c r="K368" s="4">
        <v>225</v>
      </c>
      <c r="L368" s="4">
        <v>4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3345.48</v>
      </c>
      <c r="X368" s="4">
        <v>1</v>
      </c>
      <c r="Y368" s="4">
        <v>3345.48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226</v>
      </c>
      <c r="F369" s="4">
        <f>ROUND(Source!AW363,O369)</f>
        <v>3345.48</v>
      </c>
      <c r="G369" s="4" t="s">
        <v>82</v>
      </c>
      <c r="H369" s="4" t="s">
        <v>83</v>
      </c>
      <c r="I369" s="4"/>
      <c r="J369" s="4"/>
      <c r="K369" s="4">
        <v>226</v>
      </c>
      <c r="L369" s="4">
        <v>5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3345.48</v>
      </c>
      <c r="X369" s="4">
        <v>1</v>
      </c>
      <c r="Y369" s="4">
        <v>3345.48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227</v>
      </c>
      <c r="F370" s="4">
        <f>ROUND(Source!AX363,O370)</f>
        <v>0</v>
      </c>
      <c r="G370" s="4" t="s">
        <v>84</v>
      </c>
      <c r="H370" s="4" t="s">
        <v>85</v>
      </c>
      <c r="I370" s="4"/>
      <c r="J370" s="4"/>
      <c r="K370" s="4">
        <v>227</v>
      </c>
      <c r="L370" s="4">
        <v>6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228</v>
      </c>
      <c r="F371" s="4">
        <f>ROUND(Source!AY363,O371)</f>
        <v>3345.48</v>
      </c>
      <c r="G371" s="4" t="s">
        <v>86</v>
      </c>
      <c r="H371" s="4" t="s">
        <v>87</v>
      </c>
      <c r="I371" s="4"/>
      <c r="J371" s="4"/>
      <c r="K371" s="4">
        <v>228</v>
      </c>
      <c r="L371" s="4">
        <v>7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3345.48</v>
      </c>
      <c r="X371" s="4">
        <v>1</v>
      </c>
      <c r="Y371" s="4">
        <v>3345.48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216</v>
      </c>
      <c r="F372" s="4">
        <f>ROUND(Source!AP363,O372)</f>
        <v>0</v>
      </c>
      <c r="G372" s="4" t="s">
        <v>88</v>
      </c>
      <c r="H372" s="4" t="s">
        <v>89</v>
      </c>
      <c r="I372" s="4"/>
      <c r="J372" s="4"/>
      <c r="K372" s="4">
        <v>216</v>
      </c>
      <c r="L372" s="4">
        <v>8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223</v>
      </c>
      <c r="F373" s="4">
        <f>ROUND(Source!AQ363,O373)</f>
        <v>0</v>
      </c>
      <c r="G373" s="4" t="s">
        <v>90</v>
      </c>
      <c r="H373" s="4" t="s">
        <v>91</v>
      </c>
      <c r="I373" s="4"/>
      <c r="J373" s="4"/>
      <c r="K373" s="4">
        <v>223</v>
      </c>
      <c r="L373" s="4">
        <v>9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229</v>
      </c>
      <c r="F374" s="4">
        <f>ROUND(Source!AZ363,O374)</f>
        <v>0</v>
      </c>
      <c r="G374" s="4" t="s">
        <v>92</v>
      </c>
      <c r="H374" s="4" t="s">
        <v>93</v>
      </c>
      <c r="I374" s="4"/>
      <c r="J374" s="4"/>
      <c r="K374" s="4">
        <v>229</v>
      </c>
      <c r="L374" s="4">
        <v>10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203</v>
      </c>
      <c r="F375" s="4">
        <f>ROUND(Source!Q363,O375)</f>
        <v>0</v>
      </c>
      <c r="G375" s="4" t="s">
        <v>94</v>
      </c>
      <c r="H375" s="4" t="s">
        <v>95</v>
      </c>
      <c r="I375" s="4"/>
      <c r="J375" s="4"/>
      <c r="K375" s="4">
        <v>203</v>
      </c>
      <c r="L375" s="4">
        <v>11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231</v>
      </c>
      <c r="F376" s="4">
        <f>ROUND(Source!BB363,O376)</f>
        <v>0</v>
      </c>
      <c r="G376" s="4" t="s">
        <v>96</v>
      </c>
      <c r="H376" s="4" t="s">
        <v>97</v>
      </c>
      <c r="I376" s="4"/>
      <c r="J376" s="4"/>
      <c r="K376" s="4">
        <v>231</v>
      </c>
      <c r="L376" s="4">
        <v>12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204</v>
      </c>
      <c r="F377" s="4">
        <f>ROUND(Source!R363,O377)</f>
        <v>0</v>
      </c>
      <c r="G377" s="4" t="s">
        <v>98</v>
      </c>
      <c r="H377" s="4" t="s">
        <v>99</v>
      </c>
      <c r="I377" s="4"/>
      <c r="J377" s="4"/>
      <c r="K377" s="4">
        <v>204</v>
      </c>
      <c r="L377" s="4">
        <v>13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205</v>
      </c>
      <c r="F378" s="4">
        <f>ROUND(Source!S363,O378)</f>
        <v>7710.28</v>
      </c>
      <c r="G378" s="4" t="s">
        <v>100</v>
      </c>
      <c r="H378" s="4" t="s">
        <v>101</v>
      </c>
      <c r="I378" s="4"/>
      <c r="J378" s="4"/>
      <c r="K378" s="4">
        <v>205</v>
      </c>
      <c r="L378" s="4">
        <v>14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7710.28</v>
      </c>
      <c r="X378" s="4">
        <v>1</v>
      </c>
      <c r="Y378" s="4">
        <v>7710.28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232</v>
      </c>
      <c r="F379" s="4">
        <f>ROUND(Source!BC363,O379)</f>
        <v>0</v>
      </c>
      <c r="G379" s="4" t="s">
        <v>102</v>
      </c>
      <c r="H379" s="4" t="s">
        <v>103</v>
      </c>
      <c r="I379" s="4"/>
      <c r="J379" s="4"/>
      <c r="K379" s="4">
        <v>232</v>
      </c>
      <c r="L379" s="4">
        <v>15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214</v>
      </c>
      <c r="F380" s="4">
        <f>ROUND(Source!AS363,O380)</f>
        <v>0</v>
      </c>
      <c r="G380" s="4" t="s">
        <v>104</v>
      </c>
      <c r="H380" s="4" t="s">
        <v>105</v>
      </c>
      <c r="I380" s="4"/>
      <c r="J380" s="4"/>
      <c r="K380" s="4">
        <v>214</v>
      </c>
      <c r="L380" s="4">
        <v>16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215</v>
      </c>
      <c r="F381" s="4">
        <f>ROUND(Source!AT363,O381)</f>
        <v>0</v>
      </c>
      <c r="G381" s="4" t="s">
        <v>106</v>
      </c>
      <c r="H381" s="4" t="s">
        <v>107</v>
      </c>
      <c r="I381" s="4"/>
      <c r="J381" s="4"/>
      <c r="K381" s="4">
        <v>215</v>
      </c>
      <c r="L381" s="4">
        <v>17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217</v>
      </c>
      <c r="F382" s="4">
        <f>ROUND(Source!AU363,O382)</f>
        <v>17223.990000000002</v>
      </c>
      <c r="G382" s="4" t="s">
        <v>108</v>
      </c>
      <c r="H382" s="4" t="s">
        <v>109</v>
      </c>
      <c r="I382" s="4"/>
      <c r="J382" s="4"/>
      <c r="K382" s="4">
        <v>217</v>
      </c>
      <c r="L382" s="4">
        <v>18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17223.990000000002</v>
      </c>
      <c r="X382" s="4">
        <v>1</v>
      </c>
      <c r="Y382" s="4">
        <v>17223.990000000002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230</v>
      </c>
      <c r="F383" s="4">
        <f>ROUND(Source!BA363,O383)</f>
        <v>0</v>
      </c>
      <c r="G383" s="4" t="s">
        <v>110</v>
      </c>
      <c r="H383" s="4" t="s">
        <v>111</v>
      </c>
      <c r="I383" s="4"/>
      <c r="J383" s="4"/>
      <c r="K383" s="4">
        <v>230</v>
      </c>
      <c r="L383" s="4">
        <v>19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206</v>
      </c>
      <c r="F384" s="4">
        <f>ROUND(Source!T363,O384)</f>
        <v>0</v>
      </c>
      <c r="G384" s="4" t="s">
        <v>112</v>
      </c>
      <c r="H384" s="4" t="s">
        <v>113</v>
      </c>
      <c r="I384" s="4"/>
      <c r="J384" s="4"/>
      <c r="K384" s="4">
        <v>206</v>
      </c>
      <c r="L384" s="4">
        <v>20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207</v>
      </c>
      <c r="F385" s="4">
        <f>Source!U363</f>
        <v>16.814779999999999</v>
      </c>
      <c r="G385" s="4" t="s">
        <v>114</v>
      </c>
      <c r="H385" s="4" t="s">
        <v>115</v>
      </c>
      <c r="I385" s="4"/>
      <c r="J385" s="4"/>
      <c r="K385" s="4">
        <v>207</v>
      </c>
      <c r="L385" s="4">
        <v>21</v>
      </c>
      <c r="M385" s="4">
        <v>3</v>
      </c>
      <c r="N385" s="4" t="s">
        <v>3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16.814779999999999</v>
      </c>
      <c r="X385" s="4">
        <v>1</v>
      </c>
      <c r="Y385" s="4">
        <v>16.814779999999999</v>
      </c>
      <c r="Z385" s="4"/>
      <c r="AA385" s="4"/>
      <c r="AB385" s="4"/>
    </row>
    <row r="386" spans="1:245" x14ac:dyDescent="0.2">
      <c r="A386" s="4">
        <v>50</v>
      </c>
      <c r="B386" s="4">
        <v>0</v>
      </c>
      <c r="C386" s="4">
        <v>0</v>
      </c>
      <c r="D386" s="4">
        <v>1</v>
      </c>
      <c r="E386" s="4">
        <v>208</v>
      </c>
      <c r="F386" s="4">
        <f>Source!V363</f>
        <v>0</v>
      </c>
      <c r="G386" s="4" t="s">
        <v>116</v>
      </c>
      <c r="H386" s="4" t="s">
        <v>117</v>
      </c>
      <c r="I386" s="4"/>
      <c r="J386" s="4"/>
      <c r="K386" s="4">
        <v>208</v>
      </c>
      <c r="L386" s="4">
        <v>22</v>
      </c>
      <c r="M386" s="4">
        <v>3</v>
      </c>
      <c r="N386" s="4" t="s">
        <v>3</v>
      </c>
      <c r="O386" s="4">
        <v>-1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45" x14ac:dyDescent="0.2">
      <c r="A387" s="4">
        <v>50</v>
      </c>
      <c r="B387" s="4">
        <v>0</v>
      </c>
      <c r="C387" s="4">
        <v>0</v>
      </c>
      <c r="D387" s="4">
        <v>1</v>
      </c>
      <c r="E387" s="4">
        <v>209</v>
      </c>
      <c r="F387" s="4">
        <f>ROUND(Source!W363,O387)</f>
        <v>0</v>
      </c>
      <c r="G387" s="4" t="s">
        <v>118</v>
      </c>
      <c r="H387" s="4" t="s">
        <v>119</v>
      </c>
      <c r="I387" s="4"/>
      <c r="J387" s="4"/>
      <c r="K387" s="4">
        <v>209</v>
      </c>
      <c r="L387" s="4">
        <v>23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45" x14ac:dyDescent="0.2">
      <c r="A388" s="4">
        <v>50</v>
      </c>
      <c r="B388" s="4">
        <v>0</v>
      </c>
      <c r="C388" s="4">
        <v>0</v>
      </c>
      <c r="D388" s="4">
        <v>1</v>
      </c>
      <c r="E388" s="4">
        <v>233</v>
      </c>
      <c r="F388" s="4">
        <f>ROUND(Source!BD363,O388)</f>
        <v>0</v>
      </c>
      <c r="G388" s="4" t="s">
        <v>120</v>
      </c>
      <c r="H388" s="4" t="s">
        <v>121</v>
      </c>
      <c r="I388" s="4"/>
      <c r="J388" s="4"/>
      <c r="K388" s="4">
        <v>233</v>
      </c>
      <c r="L388" s="4">
        <v>24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45" x14ac:dyDescent="0.2">
      <c r="A389" s="4">
        <v>50</v>
      </c>
      <c r="B389" s="4">
        <v>0</v>
      </c>
      <c r="C389" s="4">
        <v>0</v>
      </c>
      <c r="D389" s="4">
        <v>1</v>
      </c>
      <c r="E389" s="4">
        <v>210</v>
      </c>
      <c r="F389" s="4">
        <f>ROUND(Source!X363,O389)</f>
        <v>5397.2</v>
      </c>
      <c r="G389" s="4" t="s">
        <v>122</v>
      </c>
      <c r="H389" s="4" t="s">
        <v>123</v>
      </c>
      <c r="I389" s="4"/>
      <c r="J389" s="4"/>
      <c r="K389" s="4">
        <v>210</v>
      </c>
      <c r="L389" s="4">
        <v>25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5397.2</v>
      </c>
      <c r="X389" s="4">
        <v>1</v>
      </c>
      <c r="Y389" s="4">
        <v>5397.2</v>
      </c>
      <c r="Z389" s="4"/>
      <c r="AA389" s="4"/>
      <c r="AB389" s="4"/>
    </row>
    <row r="390" spans="1:245" x14ac:dyDescent="0.2">
      <c r="A390" s="4">
        <v>50</v>
      </c>
      <c r="B390" s="4">
        <v>0</v>
      </c>
      <c r="C390" s="4">
        <v>0</v>
      </c>
      <c r="D390" s="4">
        <v>1</v>
      </c>
      <c r="E390" s="4">
        <v>211</v>
      </c>
      <c r="F390" s="4">
        <f>ROUND(Source!Y363,O390)</f>
        <v>771.03</v>
      </c>
      <c r="G390" s="4" t="s">
        <v>124</v>
      </c>
      <c r="H390" s="4" t="s">
        <v>125</v>
      </c>
      <c r="I390" s="4"/>
      <c r="J390" s="4"/>
      <c r="K390" s="4">
        <v>211</v>
      </c>
      <c r="L390" s="4">
        <v>26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771.03</v>
      </c>
      <c r="X390" s="4">
        <v>1</v>
      </c>
      <c r="Y390" s="4">
        <v>771.03</v>
      </c>
      <c r="Z390" s="4"/>
      <c r="AA390" s="4"/>
      <c r="AB390" s="4"/>
    </row>
    <row r="391" spans="1:245" x14ac:dyDescent="0.2">
      <c r="A391" s="4">
        <v>50</v>
      </c>
      <c r="B391" s="4">
        <v>0</v>
      </c>
      <c r="C391" s="4">
        <v>0</v>
      </c>
      <c r="D391" s="4">
        <v>1</v>
      </c>
      <c r="E391" s="4">
        <v>224</v>
      </c>
      <c r="F391" s="4">
        <f>ROUND(Source!AR363,O391)</f>
        <v>17223.990000000002</v>
      </c>
      <c r="G391" s="4" t="s">
        <v>126</v>
      </c>
      <c r="H391" s="4" t="s">
        <v>127</v>
      </c>
      <c r="I391" s="4"/>
      <c r="J391" s="4"/>
      <c r="K391" s="4">
        <v>224</v>
      </c>
      <c r="L391" s="4">
        <v>27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17223.990000000002</v>
      </c>
      <c r="X391" s="4">
        <v>1</v>
      </c>
      <c r="Y391" s="4">
        <v>17223.990000000002</v>
      </c>
      <c r="Z391" s="4"/>
      <c r="AA391" s="4"/>
      <c r="AB391" s="4"/>
    </row>
    <row r="393" spans="1:245" x14ac:dyDescent="0.2">
      <c r="A393" s="1">
        <v>5</v>
      </c>
      <c r="B393" s="1">
        <v>1</v>
      </c>
      <c r="C393" s="1"/>
      <c r="D393" s="1">
        <f>ROW(A404)</f>
        <v>404</v>
      </c>
      <c r="E393" s="1"/>
      <c r="F393" s="1" t="s">
        <v>15</v>
      </c>
      <c r="G393" s="1" t="s">
        <v>255</v>
      </c>
      <c r="H393" s="1" t="s">
        <v>3</v>
      </c>
      <c r="I393" s="1">
        <v>0</v>
      </c>
      <c r="J393" s="1"/>
      <c r="K393" s="1">
        <v>0</v>
      </c>
      <c r="L393" s="1"/>
      <c r="M393" s="1" t="s">
        <v>3</v>
      </c>
      <c r="N393" s="1"/>
      <c r="O393" s="1"/>
      <c r="P393" s="1"/>
      <c r="Q393" s="1"/>
      <c r="R393" s="1"/>
      <c r="S393" s="1">
        <v>0</v>
      </c>
      <c r="T393" s="1"/>
      <c r="U393" s="1" t="s">
        <v>3</v>
      </c>
      <c r="V393" s="1">
        <v>0</v>
      </c>
      <c r="W393" s="1"/>
      <c r="X393" s="1"/>
      <c r="Y393" s="1"/>
      <c r="Z393" s="1"/>
      <c r="AA393" s="1"/>
      <c r="AB393" s="1" t="s">
        <v>3</v>
      </c>
      <c r="AC393" s="1" t="s">
        <v>3</v>
      </c>
      <c r="AD393" s="1" t="s">
        <v>3</v>
      </c>
      <c r="AE393" s="1" t="s">
        <v>3</v>
      </c>
      <c r="AF393" s="1" t="s">
        <v>3</v>
      </c>
      <c r="AG393" s="1" t="s">
        <v>3</v>
      </c>
      <c r="AH393" s="1"/>
      <c r="AI393" s="1"/>
      <c r="AJ393" s="1"/>
      <c r="AK393" s="1"/>
      <c r="AL393" s="1"/>
      <c r="AM393" s="1"/>
      <c r="AN393" s="1"/>
      <c r="AO393" s="1"/>
      <c r="AP393" s="1" t="s">
        <v>3</v>
      </c>
      <c r="AQ393" s="1" t="s">
        <v>3</v>
      </c>
      <c r="AR393" s="1" t="s">
        <v>3</v>
      </c>
      <c r="AS393" s="1"/>
      <c r="AT393" s="1"/>
      <c r="AU393" s="1"/>
      <c r="AV393" s="1"/>
      <c r="AW393" s="1"/>
      <c r="AX393" s="1"/>
      <c r="AY393" s="1"/>
      <c r="AZ393" s="1" t="s">
        <v>3</v>
      </c>
      <c r="BA393" s="1"/>
      <c r="BB393" s="1" t="s">
        <v>3</v>
      </c>
      <c r="BC393" s="1" t="s">
        <v>3</v>
      </c>
      <c r="BD393" s="1" t="s">
        <v>3</v>
      </c>
      <c r="BE393" s="1" t="s">
        <v>3</v>
      </c>
      <c r="BF393" s="1" t="s">
        <v>3</v>
      </c>
      <c r="BG393" s="1" t="s">
        <v>3</v>
      </c>
      <c r="BH393" s="1" t="s">
        <v>3</v>
      </c>
      <c r="BI393" s="1" t="s">
        <v>3</v>
      </c>
      <c r="BJ393" s="1" t="s">
        <v>3</v>
      </c>
      <c r="BK393" s="1" t="s">
        <v>3</v>
      </c>
      <c r="BL393" s="1" t="s">
        <v>3</v>
      </c>
      <c r="BM393" s="1" t="s">
        <v>3</v>
      </c>
      <c r="BN393" s="1" t="s">
        <v>3</v>
      </c>
      <c r="BO393" s="1" t="s">
        <v>3</v>
      </c>
      <c r="BP393" s="1" t="s">
        <v>3</v>
      </c>
      <c r="BQ393" s="1"/>
      <c r="BR393" s="1"/>
      <c r="BS393" s="1"/>
      <c r="BT393" s="1"/>
      <c r="BU393" s="1"/>
      <c r="BV393" s="1"/>
      <c r="BW393" s="1"/>
      <c r="BX393" s="1">
        <v>0</v>
      </c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>
        <v>0</v>
      </c>
    </row>
    <row r="395" spans="1:245" x14ac:dyDescent="0.2">
      <c r="A395" s="2">
        <v>52</v>
      </c>
      <c r="B395" s="2">
        <f t="shared" ref="B395:G395" si="234">B404</f>
        <v>1</v>
      </c>
      <c r="C395" s="2">
        <f t="shared" si="234"/>
        <v>5</v>
      </c>
      <c r="D395" s="2">
        <f t="shared" si="234"/>
        <v>393</v>
      </c>
      <c r="E395" s="2">
        <f t="shared" si="234"/>
        <v>0</v>
      </c>
      <c r="F395" s="2" t="str">
        <f t="shared" si="234"/>
        <v>Новый подраздел</v>
      </c>
      <c r="G395" s="2" t="str">
        <f t="shared" si="234"/>
        <v>Окна</v>
      </c>
      <c r="H395" s="2"/>
      <c r="I395" s="2"/>
      <c r="J395" s="2"/>
      <c r="K395" s="2"/>
      <c r="L395" s="2"/>
      <c r="M395" s="2"/>
      <c r="N395" s="2"/>
      <c r="O395" s="2">
        <f t="shared" ref="O395:AT395" si="235">O404</f>
        <v>1454.5</v>
      </c>
      <c r="P395" s="2">
        <f t="shared" si="235"/>
        <v>633.86</v>
      </c>
      <c r="Q395" s="2">
        <f t="shared" si="235"/>
        <v>0</v>
      </c>
      <c r="R395" s="2">
        <f t="shared" si="235"/>
        <v>0</v>
      </c>
      <c r="S395" s="2">
        <f t="shared" si="235"/>
        <v>820.64</v>
      </c>
      <c r="T395" s="2">
        <f t="shared" si="235"/>
        <v>0</v>
      </c>
      <c r="U395" s="2">
        <f t="shared" si="235"/>
        <v>1.7834400000000001</v>
      </c>
      <c r="V395" s="2">
        <f t="shared" si="235"/>
        <v>0</v>
      </c>
      <c r="W395" s="2">
        <f t="shared" si="235"/>
        <v>0</v>
      </c>
      <c r="X395" s="2">
        <f t="shared" si="235"/>
        <v>574.45000000000005</v>
      </c>
      <c r="Y395" s="2">
        <f t="shared" si="235"/>
        <v>82.06</v>
      </c>
      <c r="Z395" s="2">
        <f t="shared" si="235"/>
        <v>0</v>
      </c>
      <c r="AA395" s="2">
        <f t="shared" si="235"/>
        <v>0</v>
      </c>
      <c r="AB395" s="2">
        <f t="shared" si="235"/>
        <v>1454.5</v>
      </c>
      <c r="AC395" s="2">
        <f t="shared" si="235"/>
        <v>633.86</v>
      </c>
      <c r="AD395" s="2">
        <f t="shared" si="235"/>
        <v>0</v>
      </c>
      <c r="AE395" s="2">
        <f t="shared" si="235"/>
        <v>0</v>
      </c>
      <c r="AF395" s="2">
        <f t="shared" si="235"/>
        <v>820.64</v>
      </c>
      <c r="AG395" s="2">
        <f t="shared" si="235"/>
        <v>0</v>
      </c>
      <c r="AH395" s="2">
        <f t="shared" si="235"/>
        <v>1.7834400000000001</v>
      </c>
      <c r="AI395" s="2">
        <f t="shared" si="235"/>
        <v>0</v>
      </c>
      <c r="AJ395" s="2">
        <f t="shared" si="235"/>
        <v>0</v>
      </c>
      <c r="AK395" s="2">
        <f t="shared" si="235"/>
        <v>574.45000000000005</v>
      </c>
      <c r="AL395" s="2">
        <f t="shared" si="235"/>
        <v>82.06</v>
      </c>
      <c r="AM395" s="2">
        <f t="shared" si="235"/>
        <v>0</v>
      </c>
      <c r="AN395" s="2">
        <f t="shared" si="235"/>
        <v>0</v>
      </c>
      <c r="AO395" s="2">
        <f t="shared" si="235"/>
        <v>0</v>
      </c>
      <c r="AP395" s="2">
        <f t="shared" si="235"/>
        <v>0</v>
      </c>
      <c r="AQ395" s="2">
        <f t="shared" si="235"/>
        <v>0</v>
      </c>
      <c r="AR395" s="2">
        <f t="shared" si="235"/>
        <v>2111.0100000000002</v>
      </c>
      <c r="AS395" s="2">
        <f t="shared" si="235"/>
        <v>0</v>
      </c>
      <c r="AT395" s="2">
        <f t="shared" si="235"/>
        <v>0</v>
      </c>
      <c r="AU395" s="2">
        <f t="shared" ref="AU395:BZ395" si="236">AU404</f>
        <v>2111.0100000000002</v>
      </c>
      <c r="AV395" s="2">
        <f t="shared" si="236"/>
        <v>633.86</v>
      </c>
      <c r="AW395" s="2">
        <f t="shared" si="236"/>
        <v>633.86</v>
      </c>
      <c r="AX395" s="2">
        <f t="shared" si="236"/>
        <v>0</v>
      </c>
      <c r="AY395" s="2">
        <f t="shared" si="236"/>
        <v>633.86</v>
      </c>
      <c r="AZ395" s="2">
        <f t="shared" si="236"/>
        <v>0</v>
      </c>
      <c r="BA395" s="2">
        <f t="shared" si="236"/>
        <v>0</v>
      </c>
      <c r="BB395" s="2">
        <f t="shared" si="236"/>
        <v>0</v>
      </c>
      <c r="BC395" s="2">
        <f t="shared" si="236"/>
        <v>0</v>
      </c>
      <c r="BD395" s="2">
        <f t="shared" si="236"/>
        <v>0</v>
      </c>
      <c r="BE395" s="2">
        <f t="shared" si="236"/>
        <v>0</v>
      </c>
      <c r="BF395" s="2">
        <f t="shared" si="236"/>
        <v>0</v>
      </c>
      <c r="BG395" s="2">
        <f t="shared" si="236"/>
        <v>0</v>
      </c>
      <c r="BH395" s="2">
        <f t="shared" si="236"/>
        <v>0</v>
      </c>
      <c r="BI395" s="2">
        <f t="shared" si="236"/>
        <v>0</v>
      </c>
      <c r="BJ395" s="2">
        <f t="shared" si="236"/>
        <v>0</v>
      </c>
      <c r="BK395" s="2">
        <f t="shared" si="236"/>
        <v>0</v>
      </c>
      <c r="BL395" s="2">
        <f t="shared" si="236"/>
        <v>0</v>
      </c>
      <c r="BM395" s="2">
        <f t="shared" si="236"/>
        <v>0</v>
      </c>
      <c r="BN395" s="2">
        <f t="shared" si="236"/>
        <v>0</v>
      </c>
      <c r="BO395" s="2">
        <f t="shared" si="236"/>
        <v>0</v>
      </c>
      <c r="BP395" s="2">
        <f t="shared" si="236"/>
        <v>0</v>
      </c>
      <c r="BQ395" s="2">
        <f t="shared" si="236"/>
        <v>0</v>
      </c>
      <c r="BR395" s="2">
        <f t="shared" si="236"/>
        <v>0</v>
      </c>
      <c r="BS395" s="2">
        <f t="shared" si="236"/>
        <v>0</v>
      </c>
      <c r="BT395" s="2">
        <f t="shared" si="236"/>
        <v>0</v>
      </c>
      <c r="BU395" s="2">
        <f t="shared" si="236"/>
        <v>0</v>
      </c>
      <c r="BV395" s="2">
        <f t="shared" si="236"/>
        <v>0</v>
      </c>
      <c r="BW395" s="2">
        <f t="shared" si="236"/>
        <v>0</v>
      </c>
      <c r="BX395" s="2">
        <f t="shared" si="236"/>
        <v>0</v>
      </c>
      <c r="BY395" s="2">
        <f t="shared" si="236"/>
        <v>0</v>
      </c>
      <c r="BZ395" s="2">
        <f t="shared" si="236"/>
        <v>0</v>
      </c>
      <c r="CA395" s="2">
        <f t="shared" ref="CA395:DF395" si="237">CA404</f>
        <v>2111.0100000000002</v>
      </c>
      <c r="CB395" s="2">
        <f t="shared" si="237"/>
        <v>0</v>
      </c>
      <c r="CC395" s="2">
        <f t="shared" si="237"/>
        <v>0</v>
      </c>
      <c r="CD395" s="2">
        <f t="shared" si="237"/>
        <v>2111.0100000000002</v>
      </c>
      <c r="CE395" s="2">
        <f t="shared" si="237"/>
        <v>633.86</v>
      </c>
      <c r="CF395" s="2">
        <f t="shared" si="237"/>
        <v>633.86</v>
      </c>
      <c r="CG395" s="2">
        <f t="shared" si="237"/>
        <v>0</v>
      </c>
      <c r="CH395" s="2">
        <f t="shared" si="237"/>
        <v>633.86</v>
      </c>
      <c r="CI395" s="2">
        <f t="shared" si="237"/>
        <v>0</v>
      </c>
      <c r="CJ395" s="2">
        <f t="shared" si="237"/>
        <v>0</v>
      </c>
      <c r="CK395" s="2">
        <f t="shared" si="237"/>
        <v>0</v>
      </c>
      <c r="CL395" s="2">
        <f t="shared" si="237"/>
        <v>0</v>
      </c>
      <c r="CM395" s="2">
        <f t="shared" si="237"/>
        <v>0</v>
      </c>
      <c r="CN395" s="2">
        <f t="shared" si="237"/>
        <v>0</v>
      </c>
      <c r="CO395" s="2">
        <f t="shared" si="237"/>
        <v>0</v>
      </c>
      <c r="CP395" s="2">
        <f t="shared" si="237"/>
        <v>0</v>
      </c>
      <c r="CQ395" s="2">
        <f t="shared" si="237"/>
        <v>0</v>
      </c>
      <c r="CR395" s="2">
        <f t="shared" si="237"/>
        <v>0</v>
      </c>
      <c r="CS395" s="2">
        <f t="shared" si="237"/>
        <v>0</v>
      </c>
      <c r="CT395" s="2">
        <f t="shared" si="237"/>
        <v>0</v>
      </c>
      <c r="CU395" s="2">
        <f t="shared" si="237"/>
        <v>0</v>
      </c>
      <c r="CV395" s="2">
        <f t="shared" si="237"/>
        <v>0</v>
      </c>
      <c r="CW395" s="2">
        <f t="shared" si="237"/>
        <v>0</v>
      </c>
      <c r="CX395" s="2">
        <f t="shared" si="237"/>
        <v>0</v>
      </c>
      <c r="CY395" s="2">
        <f t="shared" si="237"/>
        <v>0</v>
      </c>
      <c r="CZ395" s="2">
        <f t="shared" si="237"/>
        <v>0</v>
      </c>
      <c r="DA395" s="2">
        <f t="shared" si="237"/>
        <v>0</v>
      </c>
      <c r="DB395" s="2">
        <f t="shared" si="237"/>
        <v>0</v>
      </c>
      <c r="DC395" s="2">
        <f t="shared" si="237"/>
        <v>0</v>
      </c>
      <c r="DD395" s="2">
        <f t="shared" si="237"/>
        <v>0</v>
      </c>
      <c r="DE395" s="2">
        <f t="shared" si="237"/>
        <v>0</v>
      </c>
      <c r="DF395" s="2">
        <f t="shared" si="237"/>
        <v>0</v>
      </c>
      <c r="DG395" s="3">
        <f t="shared" ref="DG395:EL395" si="238">DG404</f>
        <v>0</v>
      </c>
      <c r="DH395" s="3">
        <f t="shared" si="238"/>
        <v>0</v>
      </c>
      <c r="DI395" s="3">
        <f t="shared" si="238"/>
        <v>0</v>
      </c>
      <c r="DJ395" s="3">
        <f t="shared" si="238"/>
        <v>0</v>
      </c>
      <c r="DK395" s="3">
        <f t="shared" si="238"/>
        <v>0</v>
      </c>
      <c r="DL395" s="3">
        <f t="shared" si="238"/>
        <v>0</v>
      </c>
      <c r="DM395" s="3">
        <f t="shared" si="238"/>
        <v>0</v>
      </c>
      <c r="DN395" s="3">
        <f t="shared" si="238"/>
        <v>0</v>
      </c>
      <c r="DO395" s="3">
        <f t="shared" si="238"/>
        <v>0</v>
      </c>
      <c r="DP395" s="3">
        <f t="shared" si="238"/>
        <v>0</v>
      </c>
      <c r="DQ395" s="3">
        <f t="shared" si="238"/>
        <v>0</v>
      </c>
      <c r="DR395" s="3">
        <f t="shared" si="238"/>
        <v>0</v>
      </c>
      <c r="DS395" s="3">
        <f t="shared" si="238"/>
        <v>0</v>
      </c>
      <c r="DT395" s="3">
        <f t="shared" si="238"/>
        <v>0</v>
      </c>
      <c r="DU395" s="3">
        <f t="shared" si="238"/>
        <v>0</v>
      </c>
      <c r="DV395" s="3">
        <f t="shared" si="238"/>
        <v>0</v>
      </c>
      <c r="DW395" s="3">
        <f t="shared" si="238"/>
        <v>0</v>
      </c>
      <c r="DX395" s="3">
        <f t="shared" si="238"/>
        <v>0</v>
      </c>
      <c r="DY395" s="3">
        <f t="shared" si="238"/>
        <v>0</v>
      </c>
      <c r="DZ395" s="3">
        <f t="shared" si="238"/>
        <v>0</v>
      </c>
      <c r="EA395" s="3">
        <f t="shared" si="238"/>
        <v>0</v>
      </c>
      <c r="EB395" s="3">
        <f t="shared" si="238"/>
        <v>0</v>
      </c>
      <c r="EC395" s="3">
        <f t="shared" si="238"/>
        <v>0</v>
      </c>
      <c r="ED395" s="3">
        <f t="shared" si="238"/>
        <v>0</v>
      </c>
      <c r="EE395" s="3">
        <f t="shared" si="238"/>
        <v>0</v>
      </c>
      <c r="EF395" s="3">
        <f t="shared" si="238"/>
        <v>0</v>
      </c>
      <c r="EG395" s="3">
        <f t="shared" si="238"/>
        <v>0</v>
      </c>
      <c r="EH395" s="3">
        <f t="shared" si="238"/>
        <v>0</v>
      </c>
      <c r="EI395" s="3">
        <f t="shared" si="238"/>
        <v>0</v>
      </c>
      <c r="EJ395" s="3">
        <f t="shared" si="238"/>
        <v>0</v>
      </c>
      <c r="EK395" s="3">
        <f t="shared" si="238"/>
        <v>0</v>
      </c>
      <c r="EL395" s="3">
        <f t="shared" si="238"/>
        <v>0</v>
      </c>
      <c r="EM395" s="3">
        <f t="shared" ref="EM395:FR395" si="239">EM404</f>
        <v>0</v>
      </c>
      <c r="EN395" s="3">
        <f t="shared" si="239"/>
        <v>0</v>
      </c>
      <c r="EO395" s="3">
        <f t="shared" si="239"/>
        <v>0</v>
      </c>
      <c r="EP395" s="3">
        <f t="shared" si="239"/>
        <v>0</v>
      </c>
      <c r="EQ395" s="3">
        <f t="shared" si="239"/>
        <v>0</v>
      </c>
      <c r="ER395" s="3">
        <f t="shared" si="239"/>
        <v>0</v>
      </c>
      <c r="ES395" s="3">
        <f t="shared" si="239"/>
        <v>0</v>
      </c>
      <c r="ET395" s="3">
        <f t="shared" si="239"/>
        <v>0</v>
      </c>
      <c r="EU395" s="3">
        <f t="shared" si="239"/>
        <v>0</v>
      </c>
      <c r="EV395" s="3">
        <f t="shared" si="239"/>
        <v>0</v>
      </c>
      <c r="EW395" s="3">
        <f t="shared" si="239"/>
        <v>0</v>
      </c>
      <c r="EX395" s="3">
        <f t="shared" si="239"/>
        <v>0</v>
      </c>
      <c r="EY395" s="3">
        <f t="shared" si="239"/>
        <v>0</v>
      </c>
      <c r="EZ395" s="3">
        <f t="shared" si="239"/>
        <v>0</v>
      </c>
      <c r="FA395" s="3">
        <f t="shared" si="239"/>
        <v>0</v>
      </c>
      <c r="FB395" s="3">
        <f t="shared" si="239"/>
        <v>0</v>
      </c>
      <c r="FC395" s="3">
        <f t="shared" si="239"/>
        <v>0</v>
      </c>
      <c r="FD395" s="3">
        <f t="shared" si="239"/>
        <v>0</v>
      </c>
      <c r="FE395" s="3">
        <f t="shared" si="239"/>
        <v>0</v>
      </c>
      <c r="FF395" s="3">
        <f t="shared" si="239"/>
        <v>0</v>
      </c>
      <c r="FG395" s="3">
        <f t="shared" si="239"/>
        <v>0</v>
      </c>
      <c r="FH395" s="3">
        <f t="shared" si="239"/>
        <v>0</v>
      </c>
      <c r="FI395" s="3">
        <f t="shared" si="239"/>
        <v>0</v>
      </c>
      <c r="FJ395" s="3">
        <f t="shared" si="239"/>
        <v>0</v>
      </c>
      <c r="FK395" s="3">
        <f t="shared" si="239"/>
        <v>0</v>
      </c>
      <c r="FL395" s="3">
        <f t="shared" si="239"/>
        <v>0</v>
      </c>
      <c r="FM395" s="3">
        <f t="shared" si="239"/>
        <v>0</v>
      </c>
      <c r="FN395" s="3">
        <f t="shared" si="239"/>
        <v>0</v>
      </c>
      <c r="FO395" s="3">
        <f t="shared" si="239"/>
        <v>0</v>
      </c>
      <c r="FP395" s="3">
        <f t="shared" si="239"/>
        <v>0</v>
      </c>
      <c r="FQ395" s="3">
        <f t="shared" si="239"/>
        <v>0</v>
      </c>
      <c r="FR395" s="3">
        <f t="shared" si="239"/>
        <v>0</v>
      </c>
      <c r="FS395" s="3">
        <f t="shared" ref="FS395:GX395" si="240">FS404</f>
        <v>0</v>
      </c>
      <c r="FT395" s="3">
        <f t="shared" si="240"/>
        <v>0</v>
      </c>
      <c r="FU395" s="3">
        <f t="shared" si="240"/>
        <v>0</v>
      </c>
      <c r="FV395" s="3">
        <f t="shared" si="240"/>
        <v>0</v>
      </c>
      <c r="FW395" s="3">
        <f t="shared" si="240"/>
        <v>0</v>
      </c>
      <c r="FX395" s="3">
        <f t="shared" si="240"/>
        <v>0</v>
      </c>
      <c r="FY395" s="3">
        <f t="shared" si="240"/>
        <v>0</v>
      </c>
      <c r="FZ395" s="3">
        <f t="shared" si="240"/>
        <v>0</v>
      </c>
      <c r="GA395" s="3">
        <f t="shared" si="240"/>
        <v>0</v>
      </c>
      <c r="GB395" s="3">
        <f t="shared" si="240"/>
        <v>0</v>
      </c>
      <c r="GC395" s="3">
        <f t="shared" si="240"/>
        <v>0</v>
      </c>
      <c r="GD395" s="3">
        <f t="shared" si="240"/>
        <v>0</v>
      </c>
      <c r="GE395" s="3">
        <f t="shared" si="240"/>
        <v>0</v>
      </c>
      <c r="GF395" s="3">
        <f t="shared" si="240"/>
        <v>0</v>
      </c>
      <c r="GG395" s="3">
        <f t="shared" si="240"/>
        <v>0</v>
      </c>
      <c r="GH395" s="3">
        <f t="shared" si="240"/>
        <v>0</v>
      </c>
      <c r="GI395" s="3">
        <f t="shared" si="240"/>
        <v>0</v>
      </c>
      <c r="GJ395" s="3">
        <f t="shared" si="240"/>
        <v>0</v>
      </c>
      <c r="GK395" s="3">
        <f t="shared" si="240"/>
        <v>0</v>
      </c>
      <c r="GL395" s="3">
        <f t="shared" si="240"/>
        <v>0</v>
      </c>
      <c r="GM395" s="3">
        <f t="shared" si="240"/>
        <v>0</v>
      </c>
      <c r="GN395" s="3">
        <f t="shared" si="240"/>
        <v>0</v>
      </c>
      <c r="GO395" s="3">
        <f t="shared" si="240"/>
        <v>0</v>
      </c>
      <c r="GP395" s="3">
        <f t="shared" si="240"/>
        <v>0</v>
      </c>
      <c r="GQ395" s="3">
        <f t="shared" si="240"/>
        <v>0</v>
      </c>
      <c r="GR395" s="3">
        <f t="shared" si="240"/>
        <v>0</v>
      </c>
      <c r="GS395" s="3">
        <f t="shared" si="240"/>
        <v>0</v>
      </c>
      <c r="GT395" s="3">
        <f t="shared" si="240"/>
        <v>0</v>
      </c>
      <c r="GU395" s="3">
        <f t="shared" si="240"/>
        <v>0</v>
      </c>
      <c r="GV395" s="3">
        <f t="shared" si="240"/>
        <v>0</v>
      </c>
      <c r="GW395" s="3">
        <f t="shared" si="240"/>
        <v>0</v>
      </c>
      <c r="GX395" s="3">
        <f t="shared" si="240"/>
        <v>0</v>
      </c>
    </row>
    <row r="397" spans="1:245" x14ac:dyDescent="0.2">
      <c r="A397">
        <v>17</v>
      </c>
      <c r="B397">
        <v>1</v>
      </c>
      <c r="C397">
        <f>ROW(SmtRes!A144)</f>
        <v>144</v>
      </c>
      <c r="D397">
        <f>ROW(EtalonRes!A132)</f>
        <v>132</v>
      </c>
      <c r="E397" t="s">
        <v>256</v>
      </c>
      <c r="F397" t="s">
        <v>257</v>
      </c>
      <c r="G397" t="s">
        <v>258</v>
      </c>
      <c r="H397" t="s">
        <v>20</v>
      </c>
      <c r="I397">
        <f>ROUND(12.3/100,9)</f>
        <v>0.123</v>
      </c>
      <c r="J397">
        <v>0</v>
      </c>
      <c r="K397">
        <f>ROUND(12.3/100,9)</f>
        <v>0.123</v>
      </c>
      <c r="O397">
        <f t="shared" ref="O397:O402" si="241">ROUND(CP397,2)</f>
        <v>84.41</v>
      </c>
      <c r="P397">
        <f t="shared" ref="P397:P402" si="242">ROUND(CQ397*I397,2)</f>
        <v>0</v>
      </c>
      <c r="Q397">
        <f t="shared" ref="Q397:Q402" si="243">ROUND(CR397*I397,2)</f>
        <v>0</v>
      </c>
      <c r="R397">
        <f t="shared" ref="R397:R402" si="244">ROUND(CS397*I397,2)</f>
        <v>0</v>
      </c>
      <c r="S397">
        <f t="shared" ref="S397:S402" si="245">ROUND(CT397*I397,2)</f>
        <v>84.41</v>
      </c>
      <c r="T397">
        <f t="shared" ref="T397:T402" si="246">ROUND(CU397*I397,2)</f>
        <v>0</v>
      </c>
      <c r="U397">
        <f t="shared" ref="U397:U402" si="247">CV397*I397</f>
        <v>0.18204000000000004</v>
      </c>
      <c r="V397">
        <f t="shared" ref="V397:V402" si="248">CW397*I397</f>
        <v>0</v>
      </c>
      <c r="W397">
        <f t="shared" ref="W397:W402" si="249">ROUND(CX397*I397,2)</f>
        <v>0</v>
      </c>
      <c r="X397">
        <f t="shared" ref="X397:Y402" si="250">ROUND(CY397,2)</f>
        <v>59.09</v>
      </c>
      <c r="Y397">
        <f t="shared" si="250"/>
        <v>8.44</v>
      </c>
      <c r="AA397">
        <v>75700856</v>
      </c>
      <c r="AB397">
        <f t="shared" ref="AB397:AB402" si="251">ROUND((AC397+AD397+AF397),6)</f>
        <v>686.23400000000004</v>
      </c>
      <c r="AC397">
        <f>ROUND(((ES397*0)),6)</f>
        <v>0</v>
      </c>
      <c r="AD397">
        <f>ROUND(((((ET397*0.2))-((EU397*0.2)))+AE397),6)</f>
        <v>0</v>
      </c>
      <c r="AE397">
        <f>ROUND(((EU397*0.2)),6)</f>
        <v>0</v>
      </c>
      <c r="AF397">
        <f>ROUND(((EV397*0.2)),6)</f>
        <v>686.23400000000004</v>
      </c>
      <c r="AG397">
        <f t="shared" ref="AG397:AG402" si="252">ROUND((AP397),6)</f>
        <v>0</v>
      </c>
      <c r="AH397">
        <f>((EW397*0.2))</f>
        <v>1.4800000000000002</v>
      </c>
      <c r="AI397">
        <f>((EX397*0.2))</f>
        <v>0</v>
      </c>
      <c r="AJ397">
        <f t="shared" ref="AJ397:AJ402" si="253">(AS397)</f>
        <v>0</v>
      </c>
      <c r="AK397">
        <v>3799.23</v>
      </c>
      <c r="AL397">
        <v>368.06</v>
      </c>
      <c r="AM397">
        <v>0</v>
      </c>
      <c r="AN397">
        <v>0</v>
      </c>
      <c r="AO397">
        <v>3431.17</v>
      </c>
      <c r="AP397">
        <v>0</v>
      </c>
      <c r="AQ397">
        <v>7.4</v>
      </c>
      <c r="AR397">
        <v>0</v>
      </c>
      <c r="AS397">
        <v>0</v>
      </c>
      <c r="AT397">
        <v>70</v>
      </c>
      <c r="AU397">
        <v>10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1</v>
      </c>
      <c r="BD397" t="s">
        <v>3</v>
      </c>
      <c r="BE397" t="s">
        <v>3</v>
      </c>
      <c r="BF397" t="s">
        <v>3</v>
      </c>
      <c r="BG397" t="s">
        <v>3</v>
      </c>
      <c r="BH397">
        <v>0</v>
      </c>
      <c r="BI397">
        <v>4</v>
      </c>
      <c r="BJ397" t="s">
        <v>259</v>
      </c>
      <c r="BM397">
        <v>0</v>
      </c>
      <c r="BN397">
        <v>75371441</v>
      </c>
      <c r="BO397" t="s">
        <v>3</v>
      </c>
      <c r="BP397">
        <v>0</v>
      </c>
      <c r="BQ397">
        <v>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70</v>
      </c>
      <c r="CA397">
        <v>10</v>
      </c>
      <c r="CB397" t="s">
        <v>3</v>
      </c>
      <c r="CE397">
        <v>0</v>
      </c>
      <c r="CF397">
        <v>0</v>
      </c>
      <c r="CG397">
        <v>0</v>
      </c>
      <c r="CM397">
        <v>0</v>
      </c>
      <c r="CN397" t="s">
        <v>493</v>
      </c>
      <c r="CO397">
        <v>0</v>
      </c>
      <c r="CP397">
        <f t="shared" ref="CP397:CP402" si="254">(P397+Q397+S397)</f>
        <v>84.41</v>
      </c>
      <c r="CQ397">
        <f t="shared" ref="CQ397:CQ402" si="255">(AC397*BC397*AW397)</f>
        <v>0</v>
      </c>
      <c r="CR397">
        <f>(((((ET397*0.2))*BB397-((EU397*0.2))*BS397)+AE397*BS397)*AV397)</f>
        <v>0</v>
      </c>
      <c r="CS397">
        <f t="shared" ref="CS397:CS402" si="256">(AE397*BS397*AV397)</f>
        <v>0</v>
      </c>
      <c r="CT397">
        <f t="shared" ref="CT397:CT402" si="257">(AF397*BA397*AV397)</f>
        <v>686.23400000000004</v>
      </c>
      <c r="CU397">
        <f t="shared" ref="CU397:CU402" si="258">AG397</f>
        <v>0</v>
      </c>
      <c r="CV397">
        <f t="shared" ref="CV397:CV402" si="259">(AH397*AV397)</f>
        <v>1.4800000000000002</v>
      </c>
      <c r="CW397">
        <f t="shared" ref="CW397:CX402" si="260">AI397</f>
        <v>0</v>
      </c>
      <c r="CX397">
        <f t="shared" si="260"/>
        <v>0</v>
      </c>
      <c r="CY397">
        <f t="shared" ref="CY397:CY402" si="261">((S397*BZ397)/100)</f>
        <v>59.086999999999996</v>
      </c>
      <c r="CZ397">
        <f t="shared" ref="CZ397:CZ402" si="262">((S397*CA397)/100)</f>
        <v>8.4409999999999989</v>
      </c>
      <c r="DB397">
        <v>1</v>
      </c>
      <c r="DC397" t="s">
        <v>3</v>
      </c>
      <c r="DD397" t="s">
        <v>260</v>
      </c>
      <c r="DE397" t="s">
        <v>261</v>
      </c>
      <c r="DF397" t="s">
        <v>261</v>
      </c>
      <c r="DG397" t="s">
        <v>261</v>
      </c>
      <c r="DH397" t="s">
        <v>3</v>
      </c>
      <c r="DI397" t="s">
        <v>261</v>
      </c>
      <c r="DJ397" t="s">
        <v>261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1003</v>
      </c>
      <c r="DV397" t="s">
        <v>20</v>
      </c>
      <c r="DW397" t="s">
        <v>20</v>
      </c>
      <c r="DX397">
        <v>100</v>
      </c>
      <c r="DZ397" t="s">
        <v>3</v>
      </c>
      <c r="EA397" t="s">
        <v>3</v>
      </c>
      <c r="EB397" t="s">
        <v>3</v>
      </c>
      <c r="EC397" t="s">
        <v>3</v>
      </c>
      <c r="EE397">
        <v>75371444</v>
      </c>
      <c r="EF397">
        <v>1</v>
      </c>
      <c r="EG397" t="s">
        <v>22</v>
      </c>
      <c r="EH397">
        <v>0</v>
      </c>
      <c r="EI397" t="s">
        <v>3</v>
      </c>
      <c r="EJ397">
        <v>4</v>
      </c>
      <c r="EK397">
        <v>0</v>
      </c>
      <c r="EL397" t="s">
        <v>23</v>
      </c>
      <c r="EM397" t="s">
        <v>24</v>
      </c>
      <c r="EO397" t="s">
        <v>162</v>
      </c>
      <c r="EQ397">
        <v>0</v>
      </c>
      <c r="ER397">
        <v>3799.23</v>
      </c>
      <c r="ES397">
        <v>368.06</v>
      </c>
      <c r="ET397">
        <v>0</v>
      </c>
      <c r="EU397">
        <v>0</v>
      </c>
      <c r="EV397">
        <v>3431.17</v>
      </c>
      <c r="EW397">
        <v>7.4</v>
      </c>
      <c r="EX397">
        <v>0</v>
      </c>
      <c r="EY397">
        <v>0</v>
      </c>
      <c r="FQ397">
        <v>0</v>
      </c>
      <c r="FR397">
        <f t="shared" ref="FR397:FR402" si="263">ROUND(IF(BI397=3,GM397,0),2)</f>
        <v>0</v>
      </c>
      <c r="FS397">
        <v>0</v>
      </c>
      <c r="FX397">
        <v>70</v>
      </c>
      <c r="FY397">
        <v>10</v>
      </c>
      <c r="GA397" t="s">
        <v>3</v>
      </c>
      <c r="GD397">
        <v>0</v>
      </c>
      <c r="GF397">
        <v>1847845136</v>
      </c>
      <c r="GG397">
        <v>2</v>
      </c>
      <c r="GH397">
        <v>1</v>
      </c>
      <c r="GI397">
        <v>-2</v>
      </c>
      <c r="GJ397">
        <v>0</v>
      </c>
      <c r="GK397">
        <f>ROUND(R397*(R12)/100,2)</f>
        <v>0</v>
      </c>
      <c r="GL397">
        <f t="shared" ref="GL397:GL402" si="264">ROUND(IF(AND(BH397=3,BI397=3,FS397&lt;&gt;0),P397,0),2)</f>
        <v>0</v>
      </c>
      <c r="GM397">
        <f t="shared" ref="GM397:GM402" si="265">ROUND(O397+X397+Y397+GK397,2)+GX397</f>
        <v>151.94</v>
      </c>
      <c r="GN397">
        <f t="shared" ref="GN397:GN402" si="266">IF(OR(BI397=0,BI397=1),GM397-GX397,0)</f>
        <v>0</v>
      </c>
      <c r="GO397">
        <f t="shared" ref="GO397:GO402" si="267">IF(BI397=2,GM397-GX397,0)</f>
        <v>0</v>
      </c>
      <c r="GP397">
        <f t="shared" ref="GP397:GP402" si="268">IF(BI397=4,GM397-GX397,0)</f>
        <v>151.94</v>
      </c>
      <c r="GR397">
        <v>0</v>
      </c>
      <c r="GS397">
        <v>3</v>
      </c>
      <c r="GT397">
        <v>0</v>
      </c>
      <c r="GU397" t="s">
        <v>3</v>
      </c>
      <c r="GV397">
        <f t="shared" ref="GV397:GV402" si="269">ROUND((GT397),6)</f>
        <v>0</v>
      </c>
      <c r="GW397">
        <v>1</v>
      </c>
      <c r="GX397">
        <f t="shared" ref="GX397:GX402" si="270">ROUND(HC397*I397,2)</f>
        <v>0</v>
      </c>
      <c r="HA397">
        <v>0</v>
      </c>
      <c r="HB397">
        <v>0</v>
      </c>
      <c r="HC397">
        <f t="shared" ref="HC397:HC402" si="271">GV397*GW397</f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C398">
        <f>ROW(SmtRes!A147)</f>
        <v>147</v>
      </c>
      <c r="D398">
        <f>ROW(EtalonRes!A136)</f>
        <v>136</v>
      </c>
      <c r="E398" t="s">
        <v>262</v>
      </c>
      <c r="F398" t="s">
        <v>263</v>
      </c>
      <c r="G398" t="s">
        <v>264</v>
      </c>
      <c r="H398" t="s">
        <v>20</v>
      </c>
      <c r="I398">
        <f>ROUND(7.2/100,9)</f>
        <v>7.1999999999999995E-2</v>
      </c>
      <c r="J398">
        <v>0</v>
      </c>
      <c r="K398">
        <f>ROUND(7.2/100,9)</f>
        <v>7.1999999999999995E-2</v>
      </c>
      <c r="O398">
        <f t="shared" si="241"/>
        <v>52.37</v>
      </c>
      <c r="P398">
        <f t="shared" si="242"/>
        <v>0</v>
      </c>
      <c r="Q398">
        <f t="shared" si="243"/>
        <v>0</v>
      </c>
      <c r="R398">
        <f t="shared" si="244"/>
        <v>0</v>
      </c>
      <c r="S398">
        <f t="shared" si="245"/>
        <v>52.37</v>
      </c>
      <c r="T398">
        <f t="shared" si="246"/>
        <v>0</v>
      </c>
      <c r="U398">
        <f t="shared" si="247"/>
        <v>0.1152</v>
      </c>
      <c r="V398">
        <f t="shared" si="248"/>
        <v>0</v>
      </c>
      <c r="W398">
        <f t="shared" si="249"/>
        <v>0</v>
      </c>
      <c r="X398">
        <f t="shared" si="250"/>
        <v>36.659999999999997</v>
      </c>
      <c r="Y398">
        <f t="shared" si="250"/>
        <v>5.24</v>
      </c>
      <c r="AA398">
        <v>75700856</v>
      </c>
      <c r="AB398">
        <f t="shared" si="251"/>
        <v>727.298</v>
      </c>
      <c r="AC398">
        <f>ROUND(((ES398*0)),6)</f>
        <v>0</v>
      </c>
      <c r="AD398">
        <f>ROUND(((((ET398*0.2))-((EU398*0.2)))+AE398),6)</f>
        <v>0</v>
      </c>
      <c r="AE398">
        <f>ROUND(((EU398*0.2)),6)</f>
        <v>0</v>
      </c>
      <c r="AF398">
        <f>ROUND(((EV398*0.2)),6)</f>
        <v>727.298</v>
      </c>
      <c r="AG398">
        <f t="shared" si="252"/>
        <v>0</v>
      </c>
      <c r="AH398">
        <f>((EW398*0.2))</f>
        <v>1.6</v>
      </c>
      <c r="AI398">
        <f>((EX398*0.2))</f>
        <v>0</v>
      </c>
      <c r="AJ398">
        <f t="shared" si="253"/>
        <v>0</v>
      </c>
      <c r="AK398">
        <v>4004.55</v>
      </c>
      <c r="AL398">
        <v>368.06</v>
      </c>
      <c r="AM398">
        <v>0</v>
      </c>
      <c r="AN398">
        <v>0</v>
      </c>
      <c r="AO398">
        <v>3636.49</v>
      </c>
      <c r="AP398">
        <v>0</v>
      </c>
      <c r="AQ398">
        <v>8</v>
      </c>
      <c r="AR398">
        <v>0</v>
      </c>
      <c r="AS398">
        <v>0</v>
      </c>
      <c r="AT398">
        <v>70</v>
      </c>
      <c r="AU398">
        <v>10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1</v>
      </c>
      <c r="BD398" t="s">
        <v>3</v>
      </c>
      <c r="BE398" t="s">
        <v>3</v>
      </c>
      <c r="BF398" t="s">
        <v>3</v>
      </c>
      <c r="BG398" t="s">
        <v>3</v>
      </c>
      <c r="BH398">
        <v>0</v>
      </c>
      <c r="BI398">
        <v>4</v>
      </c>
      <c r="BJ398" t="s">
        <v>265</v>
      </c>
      <c r="BM398">
        <v>0</v>
      </c>
      <c r="BN398">
        <v>75371441</v>
      </c>
      <c r="BO398" t="s">
        <v>3</v>
      </c>
      <c r="BP398">
        <v>0</v>
      </c>
      <c r="BQ398">
        <v>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70</v>
      </c>
      <c r="CA398">
        <v>10</v>
      </c>
      <c r="CB398" t="s">
        <v>3</v>
      </c>
      <c r="CE398">
        <v>0</v>
      </c>
      <c r="CF398">
        <v>0</v>
      </c>
      <c r="CG398">
        <v>0</v>
      </c>
      <c r="CM398">
        <v>0</v>
      </c>
      <c r="CN398" t="s">
        <v>493</v>
      </c>
      <c r="CO398">
        <v>0</v>
      </c>
      <c r="CP398">
        <f t="shared" si="254"/>
        <v>52.37</v>
      </c>
      <c r="CQ398">
        <f t="shared" si="255"/>
        <v>0</v>
      </c>
      <c r="CR398">
        <f>(((((ET398*0.2))*BB398-((EU398*0.2))*BS398)+AE398*BS398)*AV398)</f>
        <v>0</v>
      </c>
      <c r="CS398">
        <f t="shared" si="256"/>
        <v>0</v>
      </c>
      <c r="CT398">
        <f t="shared" si="257"/>
        <v>727.298</v>
      </c>
      <c r="CU398">
        <f t="shared" si="258"/>
        <v>0</v>
      </c>
      <c r="CV398">
        <f t="shared" si="259"/>
        <v>1.6</v>
      </c>
      <c r="CW398">
        <f t="shared" si="260"/>
        <v>0</v>
      </c>
      <c r="CX398">
        <f t="shared" si="260"/>
        <v>0</v>
      </c>
      <c r="CY398">
        <f t="shared" si="261"/>
        <v>36.658999999999999</v>
      </c>
      <c r="CZ398">
        <f t="shared" si="262"/>
        <v>5.2369999999999992</v>
      </c>
      <c r="DB398">
        <v>2</v>
      </c>
      <c r="DC398" t="s">
        <v>3</v>
      </c>
      <c r="DD398" t="s">
        <v>260</v>
      </c>
      <c r="DE398" t="s">
        <v>261</v>
      </c>
      <c r="DF398" t="s">
        <v>261</v>
      </c>
      <c r="DG398" t="s">
        <v>261</v>
      </c>
      <c r="DH398" t="s">
        <v>3</v>
      </c>
      <c r="DI398" t="s">
        <v>261</v>
      </c>
      <c r="DJ398" t="s">
        <v>261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1003</v>
      </c>
      <c r="DV398" t="s">
        <v>20</v>
      </c>
      <c r="DW398" t="s">
        <v>20</v>
      </c>
      <c r="DX398">
        <v>100</v>
      </c>
      <c r="DZ398" t="s">
        <v>3</v>
      </c>
      <c r="EA398" t="s">
        <v>3</v>
      </c>
      <c r="EB398" t="s">
        <v>3</v>
      </c>
      <c r="EC398" t="s">
        <v>3</v>
      </c>
      <c r="EE398">
        <v>75371444</v>
      </c>
      <c r="EF398">
        <v>1</v>
      </c>
      <c r="EG398" t="s">
        <v>22</v>
      </c>
      <c r="EH398">
        <v>0</v>
      </c>
      <c r="EI398" t="s">
        <v>3</v>
      </c>
      <c r="EJ398">
        <v>4</v>
      </c>
      <c r="EK398">
        <v>0</v>
      </c>
      <c r="EL398" t="s">
        <v>23</v>
      </c>
      <c r="EM398" t="s">
        <v>24</v>
      </c>
      <c r="EO398" t="s">
        <v>162</v>
      </c>
      <c r="EQ398">
        <v>0</v>
      </c>
      <c r="ER398">
        <v>4004.55</v>
      </c>
      <c r="ES398">
        <v>368.06</v>
      </c>
      <c r="ET398">
        <v>0</v>
      </c>
      <c r="EU398">
        <v>0</v>
      </c>
      <c r="EV398">
        <v>3636.49</v>
      </c>
      <c r="EW398">
        <v>8</v>
      </c>
      <c r="EX398">
        <v>0</v>
      </c>
      <c r="EY398">
        <v>0</v>
      </c>
      <c r="FQ398">
        <v>0</v>
      </c>
      <c r="FR398">
        <f t="shared" si="263"/>
        <v>0</v>
      </c>
      <c r="FS398">
        <v>0</v>
      </c>
      <c r="FX398">
        <v>70</v>
      </c>
      <c r="FY398">
        <v>10</v>
      </c>
      <c r="GA398" t="s">
        <v>3</v>
      </c>
      <c r="GD398">
        <v>0</v>
      </c>
      <c r="GF398">
        <v>-1817231644</v>
      </c>
      <c r="GG398">
        <v>2</v>
      </c>
      <c r="GH398">
        <v>1</v>
      </c>
      <c r="GI398">
        <v>-2</v>
      </c>
      <c r="GJ398">
        <v>0</v>
      </c>
      <c r="GK398">
        <f>ROUND(R398*(R12)/100,2)</f>
        <v>0</v>
      </c>
      <c r="GL398">
        <f t="shared" si="264"/>
        <v>0</v>
      </c>
      <c r="GM398">
        <f t="shared" si="265"/>
        <v>94.27</v>
      </c>
      <c r="GN398">
        <f t="shared" si="266"/>
        <v>0</v>
      </c>
      <c r="GO398">
        <f t="shared" si="267"/>
        <v>0</v>
      </c>
      <c r="GP398">
        <f t="shared" si="268"/>
        <v>94.27</v>
      </c>
      <c r="GR398">
        <v>0</v>
      </c>
      <c r="GS398">
        <v>3</v>
      </c>
      <c r="GT398">
        <v>0</v>
      </c>
      <c r="GU398" t="s">
        <v>3</v>
      </c>
      <c r="GV398">
        <f t="shared" si="269"/>
        <v>0</v>
      </c>
      <c r="GW398">
        <v>1</v>
      </c>
      <c r="GX398">
        <f t="shared" si="270"/>
        <v>0</v>
      </c>
      <c r="HA398">
        <v>0</v>
      </c>
      <c r="HB398">
        <v>0</v>
      </c>
      <c r="HC398">
        <f t="shared" si="271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C399">
        <f>ROW(SmtRes!A151)</f>
        <v>151</v>
      </c>
      <c r="D399">
        <f>ROW(EtalonRes!A140)</f>
        <v>140</v>
      </c>
      <c r="E399" t="s">
        <v>266</v>
      </c>
      <c r="F399" t="s">
        <v>257</v>
      </c>
      <c r="G399" t="s">
        <v>267</v>
      </c>
      <c r="H399" t="s">
        <v>20</v>
      </c>
      <c r="I399">
        <f>ROUND(12.3/100,9)</f>
        <v>0.123</v>
      </c>
      <c r="J399">
        <v>0</v>
      </c>
      <c r="K399">
        <f>ROUND(12.3/100,9)</f>
        <v>0.123</v>
      </c>
      <c r="O399">
        <f t="shared" si="241"/>
        <v>467.3</v>
      </c>
      <c r="P399">
        <f t="shared" si="242"/>
        <v>45.27</v>
      </c>
      <c r="Q399">
        <f t="shared" si="243"/>
        <v>0</v>
      </c>
      <c r="R399">
        <f t="shared" si="244"/>
        <v>0</v>
      </c>
      <c r="S399">
        <f t="shared" si="245"/>
        <v>422.03</v>
      </c>
      <c r="T399">
        <f t="shared" si="246"/>
        <v>0</v>
      </c>
      <c r="U399">
        <f t="shared" si="247"/>
        <v>0.91020000000000001</v>
      </c>
      <c r="V399">
        <f t="shared" si="248"/>
        <v>0</v>
      </c>
      <c r="W399">
        <f t="shared" si="249"/>
        <v>0</v>
      </c>
      <c r="X399">
        <f t="shared" si="250"/>
        <v>295.42</v>
      </c>
      <c r="Y399">
        <f t="shared" si="250"/>
        <v>42.2</v>
      </c>
      <c r="AA399">
        <v>75700856</v>
      </c>
      <c r="AB399">
        <f t="shared" si="251"/>
        <v>3799.23</v>
      </c>
      <c r="AC399">
        <f>ROUND((ES399),6)</f>
        <v>368.06</v>
      </c>
      <c r="AD399">
        <f>ROUND((((ET399)-(EU399))+AE399),6)</f>
        <v>0</v>
      </c>
      <c r="AE399">
        <f t="shared" ref="AE399:AF402" si="272">ROUND((EU399),6)</f>
        <v>0</v>
      </c>
      <c r="AF399">
        <f t="shared" si="272"/>
        <v>3431.17</v>
      </c>
      <c r="AG399">
        <f t="shared" si="252"/>
        <v>0</v>
      </c>
      <c r="AH399">
        <f t="shared" ref="AH399:AI402" si="273">(EW399)</f>
        <v>7.4</v>
      </c>
      <c r="AI399">
        <f t="shared" si="273"/>
        <v>0</v>
      </c>
      <c r="AJ399">
        <f t="shared" si="253"/>
        <v>0</v>
      </c>
      <c r="AK399">
        <v>3799.23</v>
      </c>
      <c r="AL399">
        <v>368.06</v>
      </c>
      <c r="AM399">
        <v>0</v>
      </c>
      <c r="AN399">
        <v>0</v>
      </c>
      <c r="AO399">
        <v>3431.17</v>
      </c>
      <c r="AP399">
        <v>0</v>
      </c>
      <c r="AQ399">
        <v>7.4</v>
      </c>
      <c r="AR399">
        <v>0</v>
      </c>
      <c r="AS399">
        <v>0</v>
      </c>
      <c r="AT399">
        <v>70</v>
      </c>
      <c r="AU399">
        <v>10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</v>
      </c>
      <c r="BD399" t="s">
        <v>3</v>
      </c>
      <c r="BE399" t="s">
        <v>3</v>
      </c>
      <c r="BF399" t="s">
        <v>3</v>
      </c>
      <c r="BG399" t="s">
        <v>3</v>
      </c>
      <c r="BH399">
        <v>0</v>
      </c>
      <c r="BI399">
        <v>4</v>
      </c>
      <c r="BJ399" t="s">
        <v>259</v>
      </c>
      <c r="BM399">
        <v>0</v>
      </c>
      <c r="BN399">
        <v>75371441</v>
      </c>
      <c r="BO399" t="s">
        <v>3</v>
      </c>
      <c r="BP399">
        <v>0</v>
      </c>
      <c r="BQ399">
        <v>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70</v>
      </c>
      <c r="CA399">
        <v>10</v>
      </c>
      <c r="CB399" t="s">
        <v>3</v>
      </c>
      <c r="CE399">
        <v>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254"/>
        <v>467.29999999999995</v>
      </c>
      <c r="CQ399">
        <f t="shared" si="255"/>
        <v>368.06</v>
      </c>
      <c r="CR399">
        <f>((((ET399)*BB399-(EU399)*BS399)+AE399*BS399)*AV399)</f>
        <v>0</v>
      </c>
      <c r="CS399">
        <f t="shared" si="256"/>
        <v>0</v>
      </c>
      <c r="CT399">
        <f t="shared" si="257"/>
        <v>3431.17</v>
      </c>
      <c r="CU399">
        <f t="shared" si="258"/>
        <v>0</v>
      </c>
      <c r="CV399">
        <f t="shared" si="259"/>
        <v>7.4</v>
      </c>
      <c r="CW399">
        <f t="shared" si="260"/>
        <v>0</v>
      </c>
      <c r="CX399">
        <f t="shared" si="260"/>
        <v>0</v>
      </c>
      <c r="CY399">
        <f t="shared" si="261"/>
        <v>295.42099999999999</v>
      </c>
      <c r="CZ399">
        <f t="shared" si="262"/>
        <v>42.202999999999996</v>
      </c>
      <c r="DC399" t="s">
        <v>3</v>
      </c>
      <c r="DD399" t="s">
        <v>3</v>
      </c>
      <c r="DE399" t="s">
        <v>3</v>
      </c>
      <c r="DF399" t="s">
        <v>3</v>
      </c>
      <c r="DG399" t="s">
        <v>3</v>
      </c>
      <c r="DH399" t="s">
        <v>3</v>
      </c>
      <c r="DI399" t="s">
        <v>3</v>
      </c>
      <c r="DJ399" t="s">
        <v>3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1003</v>
      </c>
      <c r="DV399" t="s">
        <v>20</v>
      </c>
      <c r="DW399" t="s">
        <v>20</v>
      </c>
      <c r="DX399">
        <v>100</v>
      </c>
      <c r="DZ399" t="s">
        <v>3</v>
      </c>
      <c r="EA399" t="s">
        <v>3</v>
      </c>
      <c r="EB399" t="s">
        <v>3</v>
      </c>
      <c r="EC399" t="s">
        <v>3</v>
      </c>
      <c r="EE399">
        <v>75371444</v>
      </c>
      <c r="EF399">
        <v>1</v>
      </c>
      <c r="EG399" t="s">
        <v>22</v>
      </c>
      <c r="EH399">
        <v>0</v>
      </c>
      <c r="EI399" t="s">
        <v>3</v>
      </c>
      <c r="EJ399">
        <v>4</v>
      </c>
      <c r="EK399">
        <v>0</v>
      </c>
      <c r="EL399" t="s">
        <v>23</v>
      </c>
      <c r="EM399" t="s">
        <v>24</v>
      </c>
      <c r="EO399" t="s">
        <v>3</v>
      </c>
      <c r="EQ399">
        <v>0</v>
      </c>
      <c r="ER399">
        <v>3799.23</v>
      </c>
      <c r="ES399">
        <v>368.06</v>
      </c>
      <c r="ET399">
        <v>0</v>
      </c>
      <c r="EU399">
        <v>0</v>
      </c>
      <c r="EV399">
        <v>3431.17</v>
      </c>
      <c r="EW399">
        <v>7.4</v>
      </c>
      <c r="EX399">
        <v>0</v>
      </c>
      <c r="EY399">
        <v>0</v>
      </c>
      <c r="FQ399">
        <v>0</v>
      </c>
      <c r="FR399">
        <f t="shared" si="263"/>
        <v>0</v>
      </c>
      <c r="FS399">
        <v>0</v>
      </c>
      <c r="FX399">
        <v>70</v>
      </c>
      <c r="FY399">
        <v>10</v>
      </c>
      <c r="GA399" t="s">
        <v>3</v>
      </c>
      <c r="GD399">
        <v>0</v>
      </c>
      <c r="GF399">
        <v>-1933779656</v>
      </c>
      <c r="GG399">
        <v>2</v>
      </c>
      <c r="GH399">
        <v>1</v>
      </c>
      <c r="GI399">
        <v>-2</v>
      </c>
      <c r="GJ399">
        <v>0</v>
      </c>
      <c r="GK399">
        <f>ROUND(R399*(R12)/100,2)</f>
        <v>0</v>
      </c>
      <c r="GL399">
        <f t="shared" si="264"/>
        <v>0</v>
      </c>
      <c r="GM399">
        <f t="shared" si="265"/>
        <v>804.92</v>
      </c>
      <c r="GN399">
        <f t="shared" si="266"/>
        <v>0</v>
      </c>
      <c r="GO399">
        <f t="shared" si="267"/>
        <v>0</v>
      </c>
      <c r="GP399">
        <f t="shared" si="268"/>
        <v>804.92</v>
      </c>
      <c r="GR399">
        <v>0</v>
      </c>
      <c r="GS399">
        <v>3</v>
      </c>
      <c r="GT399">
        <v>0</v>
      </c>
      <c r="GU399" t="s">
        <v>3</v>
      </c>
      <c r="GV399">
        <f t="shared" si="269"/>
        <v>0</v>
      </c>
      <c r="GW399">
        <v>1</v>
      </c>
      <c r="GX399">
        <f t="shared" si="270"/>
        <v>0</v>
      </c>
      <c r="HA399">
        <v>0</v>
      </c>
      <c r="HB399">
        <v>0</v>
      </c>
      <c r="HC399">
        <f t="shared" si="271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18</v>
      </c>
      <c r="B400">
        <v>1</v>
      </c>
      <c r="C400">
        <v>149</v>
      </c>
      <c r="E400" t="s">
        <v>268</v>
      </c>
      <c r="F400" t="s">
        <v>269</v>
      </c>
      <c r="G400" t="s">
        <v>270</v>
      </c>
      <c r="H400" t="s">
        <v>49</v>
      </c>
      <c r="I400">
        <f>I399*J400</f>
        <v>12.423</v>
      </c>
      <c r="J400">
        <v>101</v>
      </c>
      <c r="K400">
        <v>101</v>
      </c>
      <c r="O400">
        <f t="shared" si="241"/>
        <v>354.55</v>
      </c>
      <c r="P400">
        <f t="shared" si="242"/>
        <v>354.55</v>
      </c>
      <c r="Q400">
        <f t="shared" si="243"/>
        <v>0</v>
      </c>
      <c r="R400">
        <f t="shared" si="244"/>
        <v>0</v>
      </c>
      <c r="S400">
        <f t="shared" si="245"/>
        <v>0</v>
      </c>
      <c r="T400">
        <f t="shared" si="246"/>
        <v>0</v>
      </c>
      <c r="U400">
        <f t="shared" si="247"/>
        <v>0</v>
      </c>
      <c r="V400">
        <f t="shared" si="248"/>
        <v>0</v>
      </c>
      <c r="W400">
        <f t="shared" si="249"/>
        <v>0</v>
      </c>
      <c r="X400">
        <f t="shared" si="250"/>
        <v>0</v>
      </c>
      <c r="Y400">
        <f t="shared" si="250"/>
        <v>0</v>
      </c>
      <c r="AA400">
        <v>75700856</v>
      </c>
      <c r="AB400">
        <f t="shared" si="251"/>
        <v>28.54</v>
      </c>
      <c r="AC400">
        <f>ROUND((ES400),6)</f>
        <v>28.54</v>
      </c>
      <c r="AD400">
        <f>ROUND((((ET400)-(EU400))+AE400),6)</f>
        <v>0</v>
      </c>
      <c r="AE400">
        <f t="shared" si="272"/>
        <v>0</v>
      </c>
      <c r="AF400">
        <f t="shared" si="272"/>
        <v>0</v>
      </c>
      <c r="AG400">
        <f t="shared" si="252"/>
        <v>0</v>
      </c>
      <c r="AH400">
        <f t="shared" si="273"/>
        <v>0</v>
      </c>
      <c r="AI400">
        <f t="shared" si="273"/>
        <v>0</v>
      </c>
      <c r="AJ400">
        <f t="shared" si="253"/>
        <v>0</v>
      </c>
      <c r="AK400">
        <v>28.54</v>
      </c>
      <c r="AL400">
        <v>28.54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70</v>
      </c>
      <c r="AU400">
        <v>10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</v>
      </c>
      <c r="BD400" t="s">
        <v>3</v>
      </c>
      <c r="BE400" t="s">
        <v>3</v>
      </c>
      <c r="BF400" t="s">
        <v>3</v>
      </c>
      <c r="BG400" t="s">
        <v>3</v>
      </c>
      <c r="BH400">
        <v>3</v>
      </c>
      <c r="BI400">
        <v>4</v>
      </c>
      <c r="BJ400" t="s">
        <v>271</v>
      </c>
      <c r="BM400">
        <v>0</v>
      </c>
      <c r="BN400">
        <v>75371441</v>
      </c>
      <c r="BO400" t="s">
        <v>3</v>
      </c>
      <c r="BP400">
        <v>0</v>
      </c>
      <c r="BQ400">
        <v>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70</v>
      </c>
      <c r="CA400">
        <v>10</v>
      </c>
      <c r="CB400" t="s">
        <v>3</v>
      </c>
      <c r="CE400">
        <v>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254"/>
        <v>354.55</v>
      </c>
      <c r="CQ400">
        <f t="shared" si="255"/>
        <v>28.54</v>
      </c>
      <c r="CR400">
        <f>((((ET400)*BB400-(EU400)*BS400)+AE400*BS400)*AV400)</f>
        <v>0</v>
      </c>
      <c r="CS400">
        <f t="shared" si="256"/>
        <v>0</v>
      </c>
      <c r="CT400">
        <f t="shared" si="257"/>
        <v>0</v>
      </c>
      <c r="CU400">
        <f t="shared" si="258"/>
        <v>0</v>
      </c>
      <c r="CV400">
        <f t="shared" si="259"/>
        <v>0</v>
      </c>
      <c r="CW400">
        <f t="shared" si="260"/>
        <v>0</v>
      </c>
      <c r="CX400">
        <f t="shared" si="260"/>
        <v>0</v>
      </c>
      <c r="CY400">
        <f t="shared" si="261"/>
        <v>0</v>
      </c>
      <c r="CZ400">
        <f t="shared" si="262"/>
        <v>0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1003</v>
      </c>
      <c r="DV400" t="s">
        <v>49</v>
      </c>
      <c r="DW400" t="s">
        <v>49</v>
      </c>
      <c r="DX400">
        <v>1</v>
      </c>
      <c r="DZ400" t="s">
        <v>3</v>
      </c>
      <c r="EA400" t="s">
        <v>3</v>
      </c>
      <c r="EB400" t="s">
        <v>3</v>
      </c>
      <c r="EC400" t="s">
        <v>3</v>
      </c>
      <c r="EE400">
        <v>75371444</v>
      </c>
      <c r="EF400">
        <v>1</v>
      </c>
      <c r="EG400" t="s">
        <v>22</v>
      </c>
      <c r="EH400">
        <v>0</v>
      </c>
      <c r="EI400" t="s">
        <v>3</v>
      </c>
      <c r="EJ400">
        <v>4</v>
      </c>
      <c r="EK400">
        <v>0</v>
      </c>
      <c r="EL400" t="s">
        <v>23</v>
      </c>
      <c r="EM400" t="s">
        <v>24</v>
      </c>
      <c r="EO400" t="s">
        <v>3</v>
      </c>
      <c r="EQ400">
        <v>0</v>
      </c>
      <c r="ER400">
        <v>28.54</v>
      </c>
      <c r="ES400">
        <v>28.54</v>
      </c>
      <c r="ET400">
        <v>0</v>
      </c>
      <c r="EU400">
        <v>0</v>
      </c>
      <c r="EV400">
        <v>0</v>
      </c>
      <c r="EW400">
        <v>0</v>
      </c>
      <c r="EX400">
        <v>0</v>
      </c>
      <c r="FQ400">
        <v>0</v>
      </c>
      <c r="FR400">
        <f t="shared" si="263"/>
        <v>0</v>
      </c>
      <c r="FS400">
        <v>0</v>
      </c>
      <c r="FX400">
        <v>70</v>
      </c>
      <c r="FY400">
        <v>10</v>
      </c>
      <c r="GA400" t="s">
        <v>3</v>
      </c>
      <c r="GD400">
        <v>0</v>
      </c>
      <c r="GF400">
        <v>170470939</v>
      </c>
      <c r="GG400">
        <v>2</v>
      </c>
      <c r="GH400">
        <v>1</v>
      </c>
      <c r="GI400">
        <v>-2</v>
      </c>
      <c r="GJ400">
        <v>0</v>
      </c>
      <c r="GK400">
        <f>ROUND(R400*(R12)/100,2)</f>
        <v>0</v>
      </c>
      <c r="GL400">
        <f t="shared" si="264"/>
        <v>0</v>
      </c>
      <c r="GM400">
        <f t="shared" si="265"/>
        <v>354.55</v>
      </c>
      <c r="GN400">
        <f t="shared" si="266"/>
        <v>0</v>
      </c>
      <c r="GO400">
        <f t="shared" si="267"/>
        <v>0</v>
      </c>
      <c r="GP400">
        <f t="shared" si="268"/>
        <v>354.55</v>
      </c>
      <c r="GR400">
        <v>0</v>
      </c>
      <c r="GS400">
        <v>3</v>
      </c>
      <c r="GT400">
        <v>0</v>
      </c>
      <c r="GU400" t="s">
        <v>3</v>
      </c>
      <c r="GV400">
        <f t="shared" si="269"/>
        <v>0</v>
      </c>
      <c r="GW400">
        <v>1</v>
      </c>
      <c r="GX400">
        <f t="shared" si="270"/>
        <v>0</v>
      </c>
      <c r="HA400">
        <v>0</v>
      </c>
      <c r="HB400">
        <v>0</v>
      </c>
      <c r="HC400">
        <f t="shared" si="271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C401">
        <f>ROW(SmtRes!A155)</f>
        <v>155</v>
      </c>
      <c r="D401">
        <f>ROW(EtalonRes!A144)</f>
        <v>144</v>
      </c>
      <c r="E401" t="s">
        <v>272</v>
      </c>
      <c r="F401" t="s">
        <v>263</v>
      </c>
      <c r="G401" t="s">
        <v>273</v>
      </c>
      <c r="H401" t="s">
        <v>20</v>
      </c>
      <c r="I401">
        <f>ROUND(7.2/100,9)</f>
        <v>7.1999999999999995E-2</v>
      </c>
      <c r="J401">
        <v>0</v>
      </c>
      <c r="K401">
        <f>ROUND(7.2/100,9)</f>
        <v>7.1999999999999995E-2</v>
      </c>
      <c r="O401">
        <f t="shared" si="241"/>
        <v>288.33</v>
      </c>
      <c r="P401">
        <f t="shared" si="242"/>
        <v>26.5</v>
      </c>
      <c r="Q401">
        <f t="shared" si="243"/>
        <v>0</v>
      </c>
      <c r="R401">
        <f t="shared" si="244"/>
        <v>0</v>
      </c>
      <c r="S401">
        <f t="shared" si="245"/>
        <v>261.83</v>
      </c>
      <c r="T401">
        <f t="shared" si="246"/>
        <v>0</v>
      </c>
      <c r="U401">
        <f t="shared" si="247"/>
        <v>0.57599999999999996</v>
      </c>
      <c r="V401">
        <f t="shared" si="248"/>
        <v>0</v>
      </c>
      <c r="W401">
        <f t="shared" si="249"/>
        <v>0</v>
      </c>
      <c r="X401">
        <f t="shared" si="250"/>
        <v>183.28</v>
      </c>
      <c r="Y401">
        <f t="shared" si="250"/>
        <v>26.18</v>
      </c>
      <c r="AA401">
        <v>75700856</v>
      </c>
      <c r="AB401">
        <f t="shared" si="251"/>
        <v>4004.55</v>
      </c>
      <c r="AC401">
        <f>ROUND((ES401),6)</f>
        <v>368.06</v>
      </c>
      <c r="AD401">
        <f>ROUND((((ET401)-(EU401))+AE401),6)</f>
        <v>0</v>
      </c>
      <c r="AE401">
        <f t="shared" si="272"/>
        <v>0</v>
      </c>
      <c r="AF401">
        <f t="shared" si="272"/>
        <v>3636.49</v>
      </c>
      <c r="AG401">
        <f t="shared" si="252"/>
        <v>0</v>
      </c>
      <c r="AH401">
        <f t="shared" si="273"/>
        <v>8</v>
      </c>
      <c r="AI401">
        <f t="shared" si="273"/>
        <v>0</v>
      </c>
      <c r="AJ401">
        <f t="shared" si="253"/>
        <v>0</v>
      </c>
      <c r="AK401">
        <v>4004.55</v>
      </c>
      <c r="AL401">
        <v>368.06</v>
      </c>
      <c r="AM401">
        <v>0</v>
      </c>
      <c r="AN401">
        <v>0</v>
      </c>
      <c r="AO401">
        <v>3636.49</v>
      </c>
      <c r="AP401">
        <v>0</v>
      </c>
      <c r="AQ401">
        <v>8</v>
      </c>
      <c r="AR401">
        <v>0</v>
      </c>
      <c r="AS401">
        <v>0</v>
      </c>
      <c r="AT401">
        <v>70</v>
      </c>
      <c r="AU401">
        <v>10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</v>
      </c>
      <c r="BD401" t="s">
        <v>3</v>
      </c>
      <c r="BE401" t="s">
        <v>3</v>
      </c>
      <c r="BF401" t="s">
        <v>3</v>
      </c>
      <c r="BG401" t="s">
        <v>3</v>
      </c>
      <c r="BH401">
        <v>0</v>
      </c>
      <c r="BI401">
        <v>4</v>
      </c>
      <c r="BJ401" t="s">
        <v>265</v>
      </c>
      <c r="BM401">
        <v>0</v>
      </c>
      <c r="BN401">
        <v>75371441</v>
      </c>
      <c r="BO401" t="s">
        <v>3</v>
      </c>
      <c r="BP401">
        <v>0</v>
      </c>
      <c r="BQ401">
        <v>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70</v>
      </c>
      <c r="CA401">
        <v>10</v>
      </c>
      <c r="CB401" t="s">
        <v>3</v>
      </c>
      <c r="CE401">
        <v>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254"/>
        <v>288.33</v>
      </c>
      <c r="CQ401">
        <f t="shared" si="255"/>
        <v>368.06</v>
      </c>
      <c r="CR401">
        <f>((((ET401)*BB401-(EU401)*BS401)+AE401*BS401)*AV401)</f>
        <v>0</v>
      </c>
      <c r="CS401">
        <f t="shared" si="256"/>
        <v>0</v>
      </c>
      <c r="CT401">
        <f t="shared" si="257"/>
        <v>3636.49</v>
      </c>
      <c r="CU401">
        <f t="shared" si="258"/>
        <v>0</v>
      </c>
      <c r="CV401">
        <f t="shared" si="259"/>
        <v>8</v>
      </c>
      <c r="CW401">
        <f t="shared" si="260"/>
        <v>0</v>
      </c>
      <c r="CX401">
        <f t="shared" si="260"/>
        <v>0</v>
      </c>
      <c r="CY401">
        <f t="shared" si="261"/>
        <v>183.28099999999998</v>
      </c>
      <c r="CZ401">
        <f t="shared" si="262"/>
        <v>26.182999999999996</v>
      </c>
      <c r="DC401" t="s">
        <v>3</v>
      </c>
      <c r="DD401" t="s">
        <v>3</v>
      </c>
      <c r="DE401" t="s">
        <v>3</v>
      </c>
      <c r="DF401" t="s">
        <v>3</v>
      </c>
      <c r="DG401" t="s">
        <v>3</v>
      </c>
      <c r="DH401" t="s">
        <v>3</v>
      </c>
      <c r="DI401" t="s">
        <v>3</v>
      </c>
      <c r="DJ401" t="s">
        <v>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1003</v>
      </c>
      <c r="DV401" t="s">
        <v>20</v>
      </c>
      <c r="DW401" t="s">
        <v>20</v>
      </c>
      <c r="DX401">
        <v>100</v>
      </c>
      <c r="DZ401" t="s">
        <v>3</v>
      </c>
      <c r="EA401" t="s">
        <v>3</v>
      </c>
      <c r="EB401" t="s">
        <v>3</v>
      </c>
      <c r="EC401" t="s">
        <v>3</v>
      </c>
      <c r="EE401">
        <v>75371444</v>
      </c>
      <c r="EF401">
        <v>1</v>
      </c>
      <c r="EG401" t="s">
        <v>22</v>
      </c>
      <c r="EH401">
        <v>0</v>
      </c>
      <c r="EI401" t="s">
        <v>3</v>
      </c>
      <c r="EJ401">
        <v>4</v>
      </c>
      <c r="EK401">
        <v>0</v>
      </c>
      <c r="EL401" t="s">
        <v>23</v>
      </c>
      <c r="EM401" t="s">
        <v>24</v>
      </c>
      <c r="EO401" t="s">
        <v>3</v>
      </c>
      <c r="EQ401">
        <v>0</v>
      </c>
      <c r="ER401">
        <v>4004.55</v>
      </c>
      <c r="ES401">
        <v>368.06</v>
      </c>
      <c r="ET401">
        <v>0</v>
      </c>
      <c r="EU401">
        <v>0</v>
      </c>
      <c r="EV401">
        <v>3636.49</v>
      </c>
      <c r="EW401">
        <v>8</v>
      </c>
      <c r="EX401">
        <v>0</v>
      </c>
      <c r="EY401">
        <v>0</v>
      </c>
      <c r="FQ401">
        <v>0</v>
      </c>
      <c r="FR401">
        <f t="shared" si="263"/>
        <v>0</v>
      </c>
      <c r="FS401">
        <v>0</v>
      </c>
      <c r="FX401">
        <v>70</v>
      </c>
      <c r="FY401">
        <v>10</v>
      </c>
      <c r="GA401" t="s">
        <v>3</v>
      </c>
      <c r="GD401">
        <v>0</v>
      </c>
      <c r="GF401">
        <v>-222772083</v>
      </c>
      <c r="GG401">
        <v>2</v>
      </c>
      <c r="GH401">
        <v>1</v>
      </c>
      <c r="GI401">
        <v>-2</v>
      </c>
      <c r="GJ401">
        <v>0</v>
      </c>
      <c r="GK401">
        <f>ROUND(R401*(R12)/100,2)</f>
        <v>0</v>
      </c>
      <c r="GL401">
        <f t="shared" si="264"/>
        <v>0</v>
      </c>
      <c r="GM401">
        <f t="shared" si="265"/>
        <v>497.79</v>
      </c>
      <c r="GN401">
        <f t="shared" si="266"/>
        <v>0</v>
      </c>
      <c r="GO401">
        <f t="shared" si="267"/>
        <v>0</v>
      </c>
      <c r="GP401">
        <f t="shared" si="268"/>
        <v>497.79</v>
      </c>
      <c r="GR401">
        <v>0</v>
      </c>
      <c r="GS401">
        <v>3</v>
      </c>
      <c r="GT401">
        <v>0</v>
      </c>
      <c r="GU401" t="s">
        <v>3</v>
      </c>
      <c r="GV401">
        <f t="shared" si="269"/>
        <v>0</v>
      </c>
      <c r="GW401">
        <v>1</v>
      </c>
      <c r="GX401">
        <f t="shared" si="270"/>
        <v>0</v>
      </c>
      <c r="HA401">
        <v>0</v>
      </c>
      <c r="HB401">
        <v>0</v>
      </c>
      <c r="HC401">
        <f t="shared" si="271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18</v>
      </c>
      <c r="B402">
        <v>1</v>
      </c>
      <c r="C402">
        <v>153</v>
      </c>
      <c r="E402" t="s">
        <v>274</v>
      </c>
      <c r="F402" t="s">
        <v>269</v>
      </c>
      <c r="G402" t="s">
        <v>270</v>
      </c>
      <c r="H402" t="s">
        <v>49</v>
      </c>
      <c r="I402">
        <f>I401*J402</f>
        <v>7.2720000000000002</v>
      </c>
      <c r="J402">
        <v>101.00000000000001</v>
      </c>
      <c r="K402">
        <v>101</v>
      </c>
      <c r="O402">
        <f t="shared" si="241"/>
        <v>207.54</v>
      </c>
      <c r="P402">
        <f t="shared" si="242"/>
        <v>207.54</v>
      </c>
      <c r="Q402">
        <f t="shared" si="243"/>
        <v>0</v>
      </c>
      <c r="R402">
        <f t="shared" si="244"/>
        <v>0</v>
      </c>
      <c r="S402">
        <f t="shared" si="245"/>
        <v>0</v>
      </c>
      <c r="T402">
        <f t="shared" si="246"/>
        <v>0</v>
      </c>
      <c r="U402">
        <f t="shared" si="247"/>
        <v>0</v>
      </c>
      <c r="V402">
        <f t="shared" si="248"/>
        <v>0</v>
      </c>
      <c r="W402">
        <f t="shared" si="249"/>
        <v>0</v>
      </c>
      <c r="X402">
        <f t="shared" si="250"/>
        <v>0</v>
      </c>
      <c r="Y402">
        <f t="shared" si="250"/>
        <v>0</v>
      </c>
      <c r="AA402">
        <v>75700856</v>
      </c>
      <c r="AB402">
        <f t="shared" si="251"/>
        <v>28.54</v>
      </c>
      <c r="AC402">
        <f>ROUND((ES402),6)</f>
        <v>28.54</v>
      </c>
      <c r="AD402">
        <f>ROUND((((ET402)-(EU402))+AE402),6)</f>
        <v>0</v>
      </c>
      <c r="AE402">
        <f t="shared" si="272"/>
        <v>0</v>
      </c>
      <c r="AF402">
        <f t="shared" si="272"/>
        <v>0</v>
      </c>
      <c r="AG402">
        <f t="shared" si="252"/>
        <v>0</v>
      </c>
      <c r="AH402">
        <f t="shared" si="273"/>
        <v>0</v>
      </c>
      <c r="AI402">
        <f t="shared" si="273"/>
        <v>0</v>
      </c>
      <c r="AJ402">
        <f t="shared" si="253"/>
        <v>0</v>
      </c>
      <c r="AK402">
        <v>28.54</v>
      </c>
      <c r="AL402">
        <v>28.54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70</v>
      </c>
      <c r="AU402">
        <v>10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1</v>
      </c>
      <c r="BD402" t="s">
        <v>3</v>
      </c>
      <c r="BE402" t="s">
        <v>3</v>
      </c>
      <c r="BF402" t="s">
        <v>3</v>
      </c>
      <c r="BG402" t="s">
        <v>3</v>
      </c>
      <c r="BH402">
        <v>3</v>
      </c>
      <c r="BI402">
        <v>4</v>
      </c>
      <c r="BJ402" t="s">
        <v>271</v>
      </c>
      <c r="BM402">
        <v>0</v>
      </c>
      <c r="BN402">
        <v>75371441</v>
      </c>
      <c r="BO402" t="s">
        <v>3</v>
      </c>
      <c r="BP402">
        <v>0</v>
      </c>
      <c r="BQ402">
        <v>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70</v>
      </c>
      <c r="CA402">
        <v>10</v>
      </c>
      <c r="CB402" t="s">
        <v>3</v>
      </c>
      <c r="CE402">
        <v>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254"/>
        <v>207.54</v>
      </c>
      <c r="CQ402">
        <f t="shared" si="255"/>
        <v>28.54</v>
      </c>
      <c r="CR402">
        <f>((((ET402)*BB402-(EU402)*BS402)+AE402*BS402)*AV402)</f>
        <v>0</v>
      </c>
      <c r="CS402">
        <f t="shared" si="256"/>
        <v>0</v>
      </c>
      <c r="CT402">
        <f t="shared" si="257"/>
        <v>0</v>
      </c>
      <c r="CU402">
        <f t="shared" si="258"/>
        <v>0</v>
      </c>
      <c r="CV402">
        <f t="shared" si="259"/>
        <v>0</v>
      </c>
      <c r="CW402">
        <f t="shared" si="260"/>
        <v>0</v>
      </c>
      <c r="CX402">
        <f t="shared" si="260"/>
        <v>0</v>
      </c>
      <c r="CY402">
        <f t="shared" si="261"/>
        <v>0</v>
      </c>
      <c r="CZ402">
        <f t="shared" si="262"/>
        <v>0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1003</v>
      </c>
      <c r="DV402" t="s">
        <v>49</v>
      </c>
      <c r="DW402" t="s">
        <v>49</v>
      </c>
      <c r="DX402">
        <v>1</v>
      </c>
      <c r="DZ402" t="s">
        <v>3</v>
      </c>
      <c r="EA402" t="s">
        <v>3</v>
      </c>
      <c r="EB402" t="s">
        <v>3</v>
      </c>
      <c r="EC402" t="s">
        <v>3</v>
      </c>
      <c r="EE402">
        <v>75371444</v>
      </c>
      <c r="EF402">
        <v>1</v>
      </c>
      <c r="EG402" t="s">
        <v>22</v>
      </c>
      <c r="EH402">
        <v>0</v>
      </c>
      <c r="EI402" t="s">
        <v>3</v>
      </c>
      <c r="EJ402">
        <v>4</v>
      </c>
      <c r="EK402">
        <v>0</v>
      </c>
      <c r="EL402" t="s">
        <v>23</v>
      </c>
      <c r="EM402" t="s">
        <v>24</v>
      </c>
      <c r="EO402" t="s">
        <v>3</v>
      </c>
      <c r="EQ402">
        <v>0</v>
      </c>
      <c r="ER402">
        <v>28.54</v>
      </c>
      <c r="ES402">
        <v>28.54</v>
      </c>
      <c r="ET402">
        <v>0</v>
      </c>
      <c r="EU402">
        <v>0</v>
      </c>
      <c r="EV402">
        <v>0</v>
      </c>
      <c r="EW402">
        <v>0</v>
      </c>
      <c r="EX402">
        <v>0</v>
      </c>
      <c r="FQ402">
        <v>0</v>
      </c>
      <c r="FR402">
        <f t="shared" si="263"/>
        <v>0</v>
      </c>
      <c r="FS402">
        <v>0</v>
      </c>
      <c r="FX402">
        <v>70</v>
      </c>
      <c r="FY402">
        <v>10</v>
      </c>
      <c r="GA402" t="s">
        <v>3</v>
      </c>
      <c r="GD402">
        <v>0</v>
      </c>
      <c r="GF402">
        <v>170470939</v>
      </c>
      <c r="GG402">
        <v>2</v>
      </c>
      <c r="GH402">
        <v>1</v>
      </c>
      <c r="GI402">
        <v>-2</v>
      </c>
      <c r="GJ402">
        <v>0</v>
      </c>
      <c r="GK402">
        <f>ROUND(R402*(R12)/100,2)</f>
        <v>0</v>
      </c>
      <c r="GL402">
        <f t="shared" si="264"/>
        <v>0</v>
      </c>
      <c r="GM402">
        <f t="shared" si="265"/>
        <v>207.54</v>
      </c>
      <c r="GN402">
        <f t="shared" si="266"/>
        <v>0</v>
      </c>
      <c r="GO402">
        <f t="shared" si="267"/>
        <v>0</v>
      </c>
      <c r="GP402">
        <f t="shared" si="268"/>
        <v>207.54</v>
      </c>
      <c r="GR402">
        <v>0</v>
      </c>
      <c r="GS402">
        <v>3</v>
      </c>
      <c r="GT402">
        <v>0</v>
      </c>
      <c r="GU402" t="s">
        <v>3</v>
      </c>
      <c r="GV402">
        <f t="shared" si="269"/>
        <v>0</v>
      </c>
      <c r="GW402">
        <v>1</v>
      </c>
      <c r="GX402">
        <f t="shared" si="270"/>
        <v>0</v>
      </c>
      <c r="HA402">
        <v>0</v>
      </c>
      <c r="HB402">
        <v>0</v>
      </c>
      <c r="HC402">
        <f t="shared" si="271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4" spans="1:245" x14ac:dyDescent="0.2">
      <c r="A404" s="2">
        <v>51</v>
      </c>
      <c r="B404" s="2">
        <f>B393</f>
        <v>1</v>
      </c>
      <c r="C404" s="2">
        <f>A393</f>
        <v>5</v>
      </c>
      <c r="D404" s="2">
        <f>ROW(A393)</f>
        <v>393</v>
      </c>
      <c r="E404" s="2"/>
      <c r="F404" s="2" t="str">
        <f>IF(F393&lt;&gt;"",F393,"")</f>
        <v>Новый подраздел</v>
      </c>
      <c r="G404" s="2" t="str">
        <f>IF(G393&lt;&gt;"",G393,"")</f>
        <v>Окна</v>
      </c>
      <c r="H404" s="2">
        <v>0</v>
      </c>
      <c r="I404" s="2"/>
      <c r="J404" s="2"/>
      <c r="K404" s="2"/>
      <c r="L404" s="2"/>
      <c r="M404" s="2"/>
      <c r="N404" s="2"/>
      <c r="O404" s="2">
        <f t="shared" ref="O404:T404" si="274">ROUND(AB404,2)</f>
        <v>1454.5</v>
      </c>
      <c r="P404" s="2">
        <f t="shared" si="274"/>
        <v>633.86</v>
      </c>
      <c r="Q404" s="2">
        <f t="shared" si="274"/>
        <v>0</v>
      </c>
      <c r="R404" s="2">
        <f t="shared" si="274"/>
        <v>0</v>
      </c>
      <c r="S404" s="2">
        <f t="shared" si="274"/>
        <v>820.64</v>
      </c>
      <c r="T404" s="2">
        <f t="shared" si="274"/>
        <v>0</v>
      </c>
      <c r="U404" s="2">
        <f>AH404</f>
        <v>1.7834400000000001</v>
      </c>
      <c r="V404" s="2">
        <f>AI404</f>
        <v>0</v>
      </c>
      <c r="W404" s="2">
        <f>ROUND(AJ404,2)</f>
        <v>0</v>
      </c>
      <c r="X404" s="2">
        <f>ROUND(AK404,2)</f>
        <v>574.45000000000005</v>
      </c>
      <c r="Y404" s="2">
        <f>ROUND(AL404,2)</f>
        <v>82.06</v>
      </c>
      <c r="Z404" s="2"/>
      <c r="AA404" s="2"/>
      <c r="AB404" s="2">
        <f>ROUND(SUMIF(AA397:AA402,"=75700856",O397:O402),2)</f>
        <v>1454.5</v>
      </c>
      <c r="AC404" s="2">
        <f>ROUND(SUMIF(AA397:AA402,"=75700856",P397:P402),2)</f>
        <v>633.86</v>
      </c>
      <c r="AD404" s="2">
        <f>ROUND(SUMIF(AA397:AA402,"=75700856",Q397:Q402),2)</f>
        <v>0</v>
      </c>
      <c r="AE404" s="2">
        <f>ROUND(SUMIF(AA397:AA402,"=75700856",R397:R402),2)</f>
        <v>0</v>
      </c>
      <c r="AF404" s="2">
        <f>ROUND(SUMIF(AA397:AA402,"=75700856",S397:S402),2)</f>
        <v>820.64</v>
      </c>
      <c r="AG404" s="2">
        <f>ROUND(SUMIF(AA397:AA402,"=75700856",T397:T402),2)</f>
        <v>0</v>
      </c>
      <c r="AH404" s="2">
        <f>SUMIF(AA397:AA402,"=75700856",U397:U402)</f>
        <v>1.7834400000000001</v>
      </c>
      <c r="AI404" s="2">
        <f>SUMIF(AA397:AA402,"=75700856",V397:V402)</f>
        <v>0</v>
      </c>
      <c r="AJ404" s="2">
        <f>ROUND(SUMIF(AA397:AA402,"=75700856",W397:W402),2)</f>
        <v>0</v>
      </c>
      <c r="AK404" s="2">
        <f>ROUND(SUMIF(AA397:AA402,"=75700856",X397:X402),2)</f>
        <v>574.45000000000005</v>
      </c>
      <c r="AL404" s="2">
        <f>ROUND(SUMIF(AA397:AA402,"=75700856",Y397:Y402),2)</f>
        <v>82.06</v>
      </c>
      <c r="AM404" s="2"/>
      <c r="AN404" s="2"/>
      <c r="AO404" s="2">
        <f t="shared" ref="AO404:BD404" si="275">ROUND(BX404,2)</f>
        <v>0</v>
      </c>
      <c r="AP404" s="2">
        <f t="shared" si="275"/>
        <v>0</v>
      </c>
      <c r="AQ404" s="2">
        <f t="shared" si="275"/>
        <v>0</v>
      </c>
      <c r="AR404" s="2">
        <f t="shared" si="275"/>
        <v>2111.0100000000002</v>
      </c>
      <c r="AS404" s="2">
        <f t="shared" si="275"/>
        <v>0</v>
      </c>
      <c r="AT404" s="2">
        <f t="shared" si="275"/>
        <v>0</v>
      </c>
      <c r="AU404" s="2">
        <f t="shared" si="275"/>
        <v>2111.0100000000002</v>
      </c>
      <c r="AV404" s="2">
        <f t="shared" si="275"/>
        <v>633.86</v>
      </c>
      <c r="AW404" s="2">
        <f t="shared" si="275"/>
        <v>633.86</v>
      </c>
      <c r="AX404" s="2">
        <f t="shared" si="275"/>
        <v>0</v>
      </c>
      <c r="AY404" s="2">
        <f t="shared" si="275"/>
        <v>633.86</v>
      </c>
      <c r="AZ404" s="2">
        <f t="shared" si="275"/>
        <v>0</v>
      </c>
      <c r="BA404" s="2">
        <f t="shared" si="275"/>
        <v>0</v>
      </c>
      <c r="BB404" s="2">
        <f t="shared" si="275"/>
        <v>0</v>
      </c>
      <c r="BC404" s="2">
        <f t="shared" si="275"/>
        <v>0</v>
      </c>
      <c r="BD404" s="2">
        <f t="shared" si="275"/>
        <v>0</v>
      </c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>
        <f>ROUND(SUMIF(AA397:AA402,"=75700856",FQ397:FQ402),2)</f>
        <v>0</v>
      </c>
      <c r="BY404" s="2">
        <f>ROUND(SUMIF(AA397:AA402,"=75700856",FR397:FR402),2)</f>
        <v>0</v>
      </c>
      <c r="BZ404" s="2">
        <f>ROUND(SUMIF(AA397:AA402,"=75700856",GL397:GL402),2)</f>
        <v>0</v>
      </c>
      <c r="CA404" s="2">
        <f>ROUND(SUMIF(AA397:AA402,"=75700856",GM397:GM402),2)</f>
        <v>2111.0100000000002</v>
      </c>
      <c r="CB404" s="2">
        <f>ROUND(SUMIF(AA397:AA402,"=75700856",GN397:GN402),2)</f>
        <v>0</v>
      </c>
      <c r="CC404" s="2">
        <f>ROUND(SUMIF(AA397:AA402,"=75700856",GO397:GO402),2)</f>
        <v>0</v>
      </c>
      <c r="CD404" s="2">
        <f>ROUND(SUMIF(AA397:AA402,"=75700856",GP397:GP402),2)</f>
        <v>2111.0100000000002</v>
      </c>
      <c r="CE404" s="2">
        <f>AC404-BX404</f>
        <v>633.86</v>
      </c>
      <c r="CF404" s="2">
        <f>AC404-BY404</f>
        <v>633.86</v>
      </c>
      <c r="CG404" s="2">
        <f>BX404-BZ404</f>
        <v>0</v>
      </c>
      <c r="CH404" s="2">
        <f>AC404-BX404-BY404+BZ404</f>
        <v>633.86</v>
      </c>
      <c r="CI404" s="2">
        <f>BY404-BZ404</f>
        <v>0</v>
      </c>
      <c r="CJ404" s="2">
        <f>ROUND(SUMIF(AA397:AA402,"=75700856",GX397:GX402),2)</f>
        <v>0</v>
      </c>
      <c r="CK404" s="2">
        <f>ROUND(SUMIF(AA397:AA402,"=75700856",GY397:GY402),2)</f>
        <v>0</v>
      </c>
      <c r="CL404" s="2">
        <f>ROUND(SUMIF(AA397:AA402,"=75700856",GZ397:GZ402),2)</f>
        <v>0</v>
      </c>
      <c r="CM404" s="2">
        <f>ROUND(SUMIF(AA397:AA402,"=75700856",HD397:HD402),2)</f>
        <v>0</v>
      </c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3"/>
      <c r="DH404" s="3"/>
      <c r="DI404" s="3"/>
      <c r="DJ404" s="3"/>
      <c r="DK404" s="3"/>
      <c r="DL404" s="3"/>
      <c r="DM404" s="3"/>
      <c r="DN404" s="3"/>
      <c r="DO404" s="3"/>
      <c r="DP404" s="3"/>
      <c r="DQ404" s="3"/>
      <c r="DR404" s="3"/>
      <c r="DS404" s="3"/>
      <c r="DT404" s="3"/>
      <c r="DU404" s="3"/>
      <c r="DV404" s="3"/>
      <c r="DW404" s="3"/>
      <c r="DX404" s="3"/>
      <c r="DY404" s="3"/>
      <c r="DZ404" s="3"/>
      <c r="EA404" s="3"/>
      <c r="EB404" s="3"/>
      <c r="EC404" s="3"/>
      <c r="ED404" s="3"/>
      <c r="EE404" s="3"/>
      <c r="EF404" s="3"/>
      <c r="EG404" s="3"/>
      <c r="EH404" s="3"/>
      <c r="EI404" s="3"/>
      <c r="EJ404" s="3"/>
      <c r="EK404" s="3"/>
      <c r="EL404" s="3"/>
      <c r="EM404" s="3"/>
      <c r="EN404" s="3"/>
      <c r="EO404" s="3"/>
      <c r="EP404" s="3"/>
      <c r="EQ404" s="3"/>
      <c r="ER404" s="3"/>
      <c r="ES404" s="3"/>
      <c r="ET404" s="3"/>
      <c r="EU404" s="3"/>
      <c r="EV404" s="3"/>
      <c r="EW404" s="3"/>
      <c r="EX404" s="3"/>
      <c r="EY404" s="3"/>
      <c r="EZ404" s="3"/>
      <c r="FA404" s="3"/>
      <c r="FB404" s="3"/>
      <c r="FC404" s="3"/>
      <c r="FD404" s="3"/>
      <c r="FE404" s="3"/>
      <c r="FF404" s="3"/>
      <c r="FG404" s="3"/>
      <c r="FH404" s="3"/>
      <c r="FI404" s="3"/>
      <c r="FJ404" s="3"/>
      <c r="FK404" s="3"/>
      <c r="FL404" s="3"/>
      <c r="FM404" s="3"/>
      <c r="FN404" s="3"/>
      <c r="FO404" s="3"/>
      <c r="FP404" s="3"/>
      <c r="FQ404" s="3"/>
      <c r="FR404" s="3"/>
      <c r="FS404" s="3"/>
      <c r="FT404" s="3"/>
      <c r="FU404" s="3"/>
      <c r="FV404" s="3"/>
      <c r="FW404" s="3"/>
      <c r="FX404" s="3"/>
      <c r="FY404" s="3"/>
      <c r="FZ404" s="3"/>
      <c r="GA404" s="3"/>
      <c r="GB404" s="3"/>
      <c r="GC404" s="3"/>
      <c r="GD404" s="3"/>
      <c r="GE404" s="3"/>
      <c r="GF404" s="3"/>
      <c r="GG404" s="3"/>
      <c r="GH404" s="3"/>
      <c r="GI404" s="3"/>
      <c r="GJ404" s="3"/>
      <c r="GK404" s="3"/>
      <c r="GL404" s="3"/>
      <c r="GM404" s="3"/>
      <c r="GN404" s="3"/>
      <c r="GO404" s="3"/>
      <c r="GP404" s="3"/>
      <c r="GQ404" s="3"/>
      <c r="GR404" s="3"/>
      <c r="GS404" s="3"/>
      <c r="GT404" s="3"/>
      <c r="GU404" s="3"/>
      <c r="GV404" s="3"/>
      <c r="GW404" s="3"/>
      <c r="GX404" s="3">
        <v>0</v>
      </c>
    </row>
    <row r="406" spans="1:245" x14ac:dyDescent="0.2">
      <c r="A406" s="4">
        <v>50</v>
      </c>
      <c r="B406" s="4">
        <v>0</v>
      </c>
      <c r="C406" s="4">
        <v>0</v>
      </c>
      <c r="D406" s="4">
        <v>1</v>
      </c>
      <c r="E406" s="4">
        <v>201</v>
      </c>
      <c r="F406" s="4">
        <f>ROUND(Source!O404,O406)</f>
        <v>1454.5</v>
      </c>
      <c r="G406" s="4" t="s">
        <v>74</v>
      </c>
      <c r="H406" s="4" t="s">
        <v>75</v>
      </c>
      <c r="I406" s="4"/>
      <c r="J406" s="4"/>
      <c r="K406" s="4">
        <v>201</v>
      </c>
      <c r="L406" s="4">
        <v>1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1454.5</v>
      </c>
      <c r="X406" s="4">
        <v>1</v>
      </c>
      <c r="Y406" s="4">
        <v>1454.5</v>
      </c>
      <c r="Z406" s="4"/>
      <c r="AA406" s="4"/>
      <c r="AB406" s="4"/>
    </row>
    <row r="407" spans="1:245" x14ac:dyDescent="0.2">
      <c r="A407" s="4">
        <v>50</v>
      </c>
      <c r="B407" s="4">
        <v>0</v>
      </c>
      <c r="C407" s="4">
        <v>0</v>
      </c>
      <c r="D407" s="4">
        <v>1</v>
      </c>
      <c r="E407" s="4">
        <v>202</v>
      </c>
      <c r="F407" s="4">
        <f>ROUND(Source!P404,O407)</f>
        <v>633.86</v>
      </c>
      <c r="G407" s="4" t="s">
        <v>76</v>
      </c>
      <c r="H407" s="4" t="s">
        <v>77</v>
      </c>
      <c r="I407" s="4"/>
      <c r="J407" s="4"/>
      <c r="K407" s="4">
        <v>202</v>
      </c>
      <c r="L407" s="4">
        <v>2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633.86</v>
      </c>
      <c r="X407" s="4">
        <v>1</v>
      </c>
      <c r="Y407" s="4">
        <v>633.86</v>
      </c>
      <c r="Z407" s="4"/>
      <c r="AA407" s="4"/>
      <c r="AB407" s="4"/>
    </row>
    <row r="408" spans="1:245" x14ac:dyDescent="0.2">
      <c r="A408" s="4">
        <v>50</v>
      </c>
      <c r="B408" s="4">
        <v>0</v>
      </c>
      <c r="C408" s="4">
        <v>0</v>
      </c>
      <c r="D408" s="4">
        <v>1</v>
      </c>
      <c r="E408" s="4">
        <v>222</v>
      </c>
      <c r="F408" s="4">
        <f>ROUND(Source!AO404,O408)</f>
        <v>0</v>
      </c>
      <c r="G408" s="4" t="s">
        <v>78</v>
      </c>
      <c r="H408" s="4" t="s">
        <v>79</v>
      </c>
      <c r="I408" s="4"/>
      <c r="J408" s="4"/>
      <c r="K408" s="4">
        <v>222</v>
      </c>
      <c r="L408" s="4">
        <v>3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45" x14ac:dyDescent="0.2">
      <c r="A409" s="4">
        <v>50</v>
      </c>
      <c r="B409" s="4">
        <v>0</v>
      </c>
      <c r="C409" s="4">
        <v>0</v>
      </c>
      <c r="D409" s="4">
        <v>1</v>
      </c>
      <c r="E409" s="4">
        <v>225</v>
      </c>
      <c r="F409" s="4">
        <f>ROUND(Source!AV404,O409)</f>
        <v>633.86</v>
      </c>
      <c r="G409" s="4" t="s">
        <v>80</v>
      </c>
      <c r="H409" s="4" t="s">
        <v>81</v>
      </c>
      <c r="I409" s="4"/>
      <c r="J409" s="4"/>
      <c r="K409" s="4">
        <v>225</v>
      </c>
      <c r="L409" s="4">
        <v>4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633.86</v>
      </c>
      <c r="X409" s="4">
        <v>1</v>
      </c>
      <c r="Y409" s="4">
        <v>633.86</v>
      </c>
      <c r="Z409" s="4"/>
      <c r="AA409" s="4"/>
      <c r="AB409" s="4"/>
    </row>
    <row r="410" spans="1:245" x14ac:dyDescent="0.2">
      <c r="A410" s="4">
        <v>50</v>
      </c>
      <c r="B410" s="4">
        <v>0</v>
      </c>
      <c r="C410" s="4">
        <v>0</v>
      </c>
      <c r="D410" s="4">
        <v>1</v>
      </c>
      <c r="E410" s="4">
        <v>226</v>
      </c>
      <c r="F410" s="4">
        <f>ROUND(Source!AW404,O410)</f>
        <v>633.86</v>
      </c>
      <c r="G410" s="4" t="s">
        <v>82</v>
      </c>
      <c r="H410" s="4" t="s">
        <v>83</v>
      </c>
      <c r="I410" s="4"/>
      <c r="J410" s="4"/>
      <c r="K410" s="4">
        <v>226</v>
      </c>
      <c r="L410" s="4">
        <v>5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633.86</v>
      </c>
      <c r="X410" s="4">
        <v>1</v>
      </c>
      <c r="Y410" s="4">
        <v>633.86</v>
      </c>
      <c r="Z410" s="4"/>
      <c r="AA410" s="4"/>
      <c r="AB410" s="4"/>
    </row>
    <row r="411" spans="1:245" x14ac:dyDescent="0.2">
      <c r="A411" s="4">
        <v>50</v>
      </c>
      <c r="B411" s="4">
        <v>0</v>
      </c>
      <c r="C411" s="4">
        <v>0</v>
      </c>
      <c r="D411" s="4">
        <v>1</v>
      </c>
      <c r="E411" s="4">
        <v>227</v>
      </c>
      <c r="F411" s="4">
        <f>ROUND(Source!AX404,O411)</f>
        <v>0</v>
      </c>
      <c r="G411" s="4" t="s">
        <v>84</v>
      </c>
      <c r="H411" s="4" t="s">
        <v>85</v>
      </c>
      <c r="I411" s="4"/>
      <c r="J411" s="4"/>
      <c r="K411" s="4">
        <v>227</v>
      </c>
      <c r="L411" s="4">
        <v>6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45" x14ac:dyDescent="0.2">
      <c r="A412" s="4">
        <v>50</v>
      </c>
      <c r="B412" s="4">
        <v>0</v>
      </c>
      <c r="C412" s="4">
        <v>0</v>
      </c>
      <c r="D412" s="4">
        <v>1</v>
      </c>
      <c r="E412" s="4">
        <v>228</v>
      </c>
      <c r="F412" s="4">
        <f>ROUND(Source!AY404,O412)</f>
        <v>633.86</v>
      </c>
      <c r="G412" s="4" t="s">
        <v>86</v>
      </c>
      <c r="H412" s="4" t="s">
        <v>87</v>
      </c>
      <c r="I412" s="4"/>
      <c r="J412" s="4"/>
      <c r="K412" s="4">
        <v>228</v>
      </c>
      <c r="L412" s="4">
        <v>7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633.86</v>
      </c>
      <c r="X412" s="4">
        <v>1</v>
      </c>
      <c r="Y412" s="4">
        <v>633.86</v>
      </c>
      <c r="Z412" s="4"/>
      <c r="AA412" s="4"/>
      <c r="AB412" s="4"/>
    </row>
    <row r="413" spans="1:245" x14ac:dyDescent="0.2">
      <c r="A413" s="4">
        <v>50</v>
      </c>
      <c r="B413" s="4">
        <v>0</v>
      </c>
      <c r="C413" s="4">
        <v>0</v>
      </c>
      <c r="D413" s="4">
        <v>1</v>
      </c>
      <c r="E413" s="4">
        <v>216</v>
      </c>
      <c r="F413" s="4">
        <f>ROUND(Source!AP404,O413)</f>
        <v>0</v>
      </c>
      <c r="G413" s="4" t="s">
        <v>88</v>
      </c>
      <c r="H413" s="4" t="s">
        <v>89</v>
      </c>
      <c r="I413" s="4"/>
      <c r="J413" s="4"/>
      <c r="K413" s="4">
        <v>216</v>
      </c>
      <c r="L413" s="4">
        <v>8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45" x14ac:dyDescent="0.2">
      <c r="A414" s="4">
        <v>50</v>
      </c>
      <c r="B414" s="4">
        <v>0</v>
      </c>
      <c r="C414" s="4">
        <v>0</v>
      </c>
      <c r="D414" s="4">
        <v>1</v>
      </c>
      <c r="E414" s="4">
        <v>223</v>
      </c>
      <c r="F414" s="4">
        <f>ROUND(Source!AQ404,O414)</f>
        <v>0</v>
      </c>
      <c r="G414" s="4" t="s">
        <v>90</v>
      </c>
      <c r="H414" s="4" t="s">
        <v>91</v>
      </c>
      <c r="I414" s="4"/>
      <c r="J414" s="4"/>
      <c r="K414" s="4">
        <v>223</v>
      </c>
      <c r="L414" s="4">
        <v>9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45" x14ac:dyDescent="0.2">
      <c r="A415" s="4">
        <v>50</v>
      </c>
      <c r="B415" s="4">
        <v>0</v>
      </c>
      <c r="C415" s="4">
        <v>0</v>
      </c>
      <c r="D415" s="4">
        <v>1</v>
      </c>
      <c r="E415" s="4">
        <v>229</v>
      </c>
      <c r="F415" s="4">
        <f>ROUND(Source!AZ404,O415)</f>
        <v>0</v>
      </c>
      <c r="G415" s="4" t="s">
        <v>92</v>
      </c>
      <c r="H415" s="4" t="s">
        <v>93</v>
      </c>
      <c r="I415" s="4"/>
      <c r="J415" s="4"/>
      <c r="K415" s="4">
        <v>229</v>
      </c>
      <c r="L415" s="4">
        <v>10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45" x14ac:dyDescent="0.2">
      <c r="A416" s="4">
        <v>50</v>
      </c>
      <c r="B416" s="4">
        <v>0</v>
      </c>
      <c r="C416" s="4">
        <v>0</v>
      </c>
      <c r="D416" s="4">
        <v>1</v>
      </c>
      <c r="E416" s="4">
        <v>203</v>
      </c>
      <c r="F416" s="4">
        <f>ROUND(Source!Q404,O416)</f>
        <v>0</v>
      </c>
      <c r="G416" s="4" t="s">
        <v>94</v>
      </c>
      <c r="H416" s="4" t="s">
        <v>95</v>
      </c>
      <c r="I416" s="4"/>
      <c r="J416" s="4"/>
      <c r="K416" s="4">
        <v>203</v>
      </c>
      <c r="L416" s="4">
        <v>11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231</v>
      </c>
      <c r="F417" s="4">
        <f>ROUND(Source!BB404,O417)</f>
        <v>0</v>
      </c>
      <c r="G417" s="4" t="s">
        <v>96</v>
      </c>
      <c r="H417" s="4" t="s">
        <v>97</v>
      </c>
      <c r="I417" s="4"/>
      <c r="J417" s="4"/>
      <c r="K417" s="4">
        <v>231</v>
      </c>
      <c r="L417" s="4">
        <v>12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204</v>
      </c>
      <c r="F418" s="4">
        <f>ROUND(Source!R404,O418)</f>
        <v>0</v>
      </c>
      <c r="G418" s="4" t="s">
        <v>98</v>
      </c>
      <c r="H418" s="4" t="s">
        <v>99</v>
      </c>
      <c r="I418" s="4"/>
      <c r="J418" s="4"/>
      <c r="K418" s="4">
        <v>204</v>
      </c>
      <c r="L418" s="4">
        <v>13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205</v>
      </c>
      <c r="F419" s="4">
        <f>ROUND(Source!S404,O419)</f>
        <v>820.64</v>
      </c>
      <c r="G419" s="4" t="s">
        <v>100</v>
      </c>
      <c r="H419" s="4" t="s">
        <v>101</v>
      </c>
      <c r="I419" s="4"/>
      <c r="J419" s="4"/>
      <c r="K419" s="4">
        <v>205</v>
      </c>
      <c r="L419" s="4">
        <v>14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820.64</v>
      </c>
      <c r="X419" s="4">
        <v>1</v>
      </c>
      <c r="Y419" s="4">
        <v>820.64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232</v>
      </c>
      <c r="F420" s="4">
        <f>ROUND(Source!BC404,O420)</f>
        <v>0</v>
      </c>
      <c r="G420" s="4" t="s">
        <v>102</v>
      </c>
      <c r="H420" s="4" t="s">
        <v>103</v>
      </c>
      <c r="I420" s="4"/>
      <c r="J420" s="4"/>
      <c r="K420" s="4">
        <v>232</v>
      </c>
      <c r="L420" s="4">
        <v>15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214</v>
      </c>
      <c r="F421" s="4">
        <f>ROUND(Source!AS404,O421)</f>
        <v>0</v>
      </c>
      <c r="G421" s="4" t="s">
        <v>104</v>
      </c>
      <c r="H421" s="4" t="s">
        <v>105</v>
      </c>
      <c r="I421" s="4"/>
      <c r="J421" s="4"/>
      <c r="K421" s="4">
        <v>214</v>
      </c>
      <c r="L421" s="4">
        <v>16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215</v>
      </c>
      <c r="F422" s="4">
        <f>ROUND(Source!AT404,O422)</f>
        <v>0</v>
      </c>
      <c r="G422" s="4" t="s">
        <v>106</v>
      </c>
      <c r="H422" s="4" t="s">
        <v>107</v>
      </c>
      <c r="I422" s="4"/>
      <c r="J422" s="4"/>
      <c r="K422" s="4">
        <v>215</v>
      </c>
      <c r="L422" s="4">
        <v>17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217</v>
      </c>
      <c r="F423" s="4">
        <f>ROUND(Source!AU404,O423)</f>
        <v>2111.0100000000002</v>
      </c>
      <c r="G423" s="4" t="s">
        <v>108</v>
      </c>
      <c r="H423" s="4" t="s">
        <v>109</v>
      </c>
      <c r="I423" s="4"/>
      <c r="J423" s="4"/>
      <c r="K423" s="4">
        <v>217</v>
      </c>
      <c r="L423" s="4">
        <v>18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2111.0100000000002</v>
      </c>
      <c r="X423" s="4">
        <v>1</v>
      </c>
      <c r="Y423" s="4">
        <v>2111.0100000000002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230</v>
      </c>
      <c r="F424" s="4">
        <f>ROUND(Source!BA404,O424)</f>
        <v>0</v>
      </c>
      <c r="G424" s="4" t="s">
        <v>110</v>
      </c>
      <c r="H424" s="4" t="s">
        <v>111</v>
      </c>
      <c r="I424" s="4"/>
      <c r="J424" s="4"/>
      <c r="K424" s="4">
        <v>230</v>
      </c>
      <c r="L424" s="4">
        <v>19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206</v>
      </c>
      <c r="F425" s="4">
        <f>ROUND(Source!T404,O425)</f>
        <v>0</v>
      </c>
      <c r="G425" s="4" t="s">
        <v>112</v>
      </c>
      <c r="H425" s="4" t="s">
        <v>113</v>
      </c>
      <c r="I425" s="4"/>
      <c r="J425" s="4"/>
      <c r="K425" s="4">
        <v>206</v>
      </c>
      <c r="L425" s="4">
        <v>20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207</v>
      </c>
      <c r="F426" s="4">
        <f>Source!U404</f>
        <v>1.7834400000000001</v>
      </c>
      <c r="G426" s="4" t="s">
        <v>114</v>
      </c>
      <c r="H426" s="4" t="s">
        <v>115</v>
      </c>
      <c r="I426" s="4"/>
      <c r="J426" s="4"/>
      <c r="K426" s="4">
        <v>207</v>
      </c>
      <c r="L426" s="4">
        <v>21</v>
      </c>
      <c r="M426" s="4">
        <v>3</v>
      </c>
      <c r="N426" s="4" t="s">
        <v>3</v>
      </c>
      <c r="O426" s="4">
        <v>-1</v>
      </c>
      <c r="P426" s="4"/>
      <c r="Q426" s="4"/>
      <c r="R426" s="4"/>
      <c r="S426" s="4"/>
      <c r="T426" s="4"/>
      <c r="U426" s="4"/>
      <c r="V426" s="4"/>
      <c r="W426" s="4">
        <v>1.7834400000000001</v>
      </c>
      <c r="X426" s="4">
        <v>1</v>
      </c>
      <c r="Y426" s="4">
        <v>1.7834400000000001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208</v>
      </c>
      <c r="F427" s="4">
        <f>Source!V404</f>
        <v>0</v>
      </c>
      <c r="G427" s="4" t="s">
        <v>116</v>
      </c>
      <c r="H427" s="4" t="s">
        <v>117</v>
      </c>
      <c r="I427" s="4"/>
      <c r="J427" s="4"/>
      <c r="K427" s="4">
        <v>208</v>
      </c>
      <c r="L427" s="4">
        <v>22</v>
      </c>
      <c r="M427" s="4">
        <v>3</v>
      </c>
      <c r="N427" s="4" t="s">
        <v>3</v>
      </c>
      <c r="O427" s="4">
        <v>-1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209</v>
      </c>
      <c r="F428" s="4">
        <f>ROUND(Source!W404,O428)</f>
        <v>0</v>
      </c>
      <c r="G428" s="4" t="s">
        <v>118</v>
      </c>
      <c r="H428" s="4" t="s">
        <v>119</v>
      </c>
      <c r="I428" s="4"/>
      <c r="J428" s="4"/>
      <c r="K428" s="4">
        <v>209</v>
      </c>
      <c r="L428" s="4">
        <v>23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233</v>
      </c>
      <c r="F429" s="4">
        <f>ROUND(Source!BD404,O429)</f>
        <v>0</v>
      </c>
      <c r="G429" s="4" t="s">
        <v>120</v>
      </c>
      <c r="H429" s="4" t="s">
        <v>121</v>
      </c>
      <c r="I429" s="4"/>
      <c r="J429" s="4"/>
      <c r="K429" s="4">
        <v>233</v>
      </c>
      <c r="L429" s="4">
        <v>24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210</v>
      </c>
      <c r="F430" s="4">
        <f>ROUND(Source!X404,O430)</f>
        <v>574.45000000000005</v>
      </c>
      <c r="G430" s="4" t="s">
        <v>122</v>
      </c>
      <c r="H430" s="4" t="s">
        <v>123</v>
      </c>
      <c r="I430" s="4"/>
      <c r="J430" s="4"/>
      <c r="K430" s="4">
        <v>210</v>
      </c>
      <c r="L430" s="4">
        <v>25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574.45000000000005</v>
      </c>
      <c r="X430" s="4">
        <v>1</v>
      </c>
      <c r="Y430" s="4">
        <v>574.45000000000005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211</v>
      </c>
      <c r="F431" s="4">
        <f>ROUND(Source!Y404,O431)</f>
        <v>82.06</v>
      </c>
      <c r="G431" s="4" t="s">
        <v>124</v>
      </c>
      <c r="H431" s="4" t="s">
        <v>125</v>
      </c>
      <c r="I431" s="4"/>
      <c r="J431" s="4"/>
      <c r="K431" s="4">
        <v>211</v>
      </c>
      <c r="L431" s="4">
        <v>26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82.06</v>
      </c>
      <c r="X431" s="4">
        <v>1</v>
      </c>
      <c r="Y431" s="4">
        <v>82.06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224</v>
      </c>
      <c r="F432" s="4">
        <f>ROUND(Source!AR404,O432)</f>
        <v>2111.0100000000002</v>
      </c>
      <c r="G432" s="4" t="s">
        <v>126</v>
      </c>
      <c r="H432" s="4" t="s">
        <v>127</v>
      </c>
      <c r="I432" s="4"/>
      <c r="J432" s="4"/>
      <c r="K432" s="4">
        <v>224</v>
      </c>
      <c r="L432" s="4">
        <v>27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2111.0100000000002</v>
      </c>
      <c r="X432" s="4">
        <v>1</v>
      </c>
      <c r="Y432" s="4">
        <v>2111.0100000000002</v>
      </c>
      <c r="Z432" s="4"/>
      <c r="AA432" s="4"/>
      <c r="AB432" s="4"/>
    </row>
    <row r="434" spans="1:245" x14ac:dyDescent="0.2">
      <c r="A434" s="1">
        <v>5</v>
      </c>
      <c r="B434" s="1">
        <v>1</v>
      </c>
      <c r="C434" s="1"/>
      <c r="D434" s="1">
        <f>ROW(A452)</f>
        <v>452</v>
      </c>
      <c r="E434" s="1"/>
      <c r="F434" s="1" t="s">
        <v>15</v>
      </c>
      <c r="G434" s="1" t="s">
        <v>149</v>
      </c>
      <c r="H434" s="1" t="s">
        <v>3</v>
      </c>
      <c r="I434" s="1">
        <v>0</v>
      </c>
      <c r="J434" s="1"/>
      <c r="K434" s="1">
        <v>0</v>
      </c>
      <c r="L434" s="1"/>
      <c r="M434" s="1" t="s">
        <v>3</v>
      </c>
      <c r="N434" s="1"/>
      <c r="O434" s="1"/>
      <c r="P434" s="1"/>
      <c r="Q434" s="1"/>
      <c r="R434" s="1"/>
      <c r="S434" s="1">
        <v>0</v>
      </c>
      <c r="T434" s="1"/>
      <c r="U434" s="1" t="s">
        <v>3</v>
      </c>
      <c r="V434" s="1">
        <v>0</v>
      </c>
      <c r="W434" s="1"/>
      <c r="X434" s="1"/>
      <c r="Y434" s="1"/>
      <c r="Z434" s="1"/>
      <c r="AA434" s="1"/>
      <c r="AB434" s="1" t="s">
        <v>3</v>
      </c>
      <c r="AC434" s="1" t="s">
        <v>3</v>
      </c>
      <c r="AD434" s="1" t="s">
        <v>3</v>
      </c>
      <c r="AE434" s="1" t="s">
        <v>3</v>
      </c>
      <c r="AF434" s="1" t="s">
        <v>3</v>
      </c>
      <c r="AG434" s="1" t="s">
        <v>3</v>
      </c>
      <c r="AH434" s="1"/>
      <c r="AI434" s="1"/>
      <c r="AJ434" s="1"/>
      <c r="AK434" s="1"/>
      <c r="AL434" s="1"/>
      <c r="AM434" s="1"/>
      <c r="AN434" s="1"/>
      <c r="AO434" s="1"/>
      <c r="AP434" s="1" t="s">
        <v>3</v>
      </c>
      <c r="AQ434" s="1" t="s">
        <v>3</v>
      </c>
      <c r="AR434" s="1" t="s">
        <v>3</v>
      </c>
      <c r="AS434" s="1"/>
      <c r="AT434" s="1"/>
      <c r="AU434" s="1"/>
      <c r="AV434" s="1"/>
      <c r="AW434" s="1"/>
      <c r="AX434" s="1"/>
      <c r="AY434" s="1"/>
      <c r="AZ434" s="1" t="s">
        <v>3</v>
      </c>
      <c r="BA434" s="1"/>
      <c r="BB434" s="1" t="s">
        <v>3</v>
      </c>
      <c r="BC434" s="1" t="s">
        <v>3</v>
      </c>
      <c r="BD434" s="1" t="s">
        <v>3</v>
      </c>
      <c r="BE434" s="1" t="s">
        <v>3</v>
      </c>
      <c r="BF434" s="1" t="s">
        <v>3</v>
      </c>
      <c r="BG434" s="1" t="s">
        <v>3</v>
      </c>
      <c r="BH434" s="1" t="s">
        <v>3</v>
      </c>
      <c r="BI434" s="1" t="s">
        <v>3</v>
      </c>
      <c r="BJ434" s="1" t="s">
        <v>3</v>
      </c>
      <c r="BK434" s="1" t="s">
        <v>3</v>
      </c>
      <c r="BL434" s="1" t="s">
        <v>3</v>
      </c>
      <c r="BM434" s="1" t="s">
        <v>3</v>
      </c>
      <c r="BN434" s="1" t="s">
        <v>3</v>
      </c>
      <c r="BO434" s="1" t="s">
        <v>3</v>
      </c>
      <c r="BP434" s="1" t="s">
        <v>3</v>
      </c>
      <c r="BQ434" s="1"/>
      <c r="BR434" s="1"/>
      <c r="BS434" s="1"/>
      <c r="BT434" s="1"/>
      <c r="BU434" s="1"/>
      <c r="BV434" s="1"/>
      <c r="BW434" s="1"/>
      <c r="BX434" s="1">
        <v>0</v>
      </c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>
        <v>0</v>
      </c>
    </row>
    <row r="436" spans="1:245" x14ac:dyDescent="0.2">
      <c r="A436" s="2">
        <v>52</v>
      </c>
      <c r="B436" s="2">
        <f t="shared" ref="B436:G436" si="276">B452</f>
        <v>1</v>
      </c>
      <c r="C436" s="2">
        <f t="shared" si="276"/>
        <v>5</v>
      </c>
      <c r="D436" s="2">
        <f t="shared" si="276"/>
        <v>434</v>
      </c>
      <c r="E436" s="2">
        <f t="shared" si="276"/>
        <v>0</v>
      </c>
      <c r="F436" s="2" t="str">
        <f t="shared" si="276"/>
        <v>Новый подраздел</v>
      </c>
      <c r="G436" s="2" t="str">
        <f t="shared" si="276"/>
        <v>Инженерные сети</v>
      </c>
      <c r="H436" s="2"/>
      <c r="I436" s="2"/>
      <c r="J436" s="2"/>
      <c r="K436" s="2"/>
      <c r="L436" s="2"/>
      <c r="M436" s="2"/>
      <c r="N436" s="2"/>
      <c r="O436" s="2">
        <f t="shared" ref="O436:AT436" si="277">O452</f>
        <v>19529.349999999999</v>
      </c>
      <c r="P436" s="2">
        <f t="shared" si="277"/>
        <v>17171.68</v>
      </c>
      <c r="Q436" s="2">
        <f t="shared" si="277"/>
        <v>0.12</v>
      </c>
      <c r="R436" s="2">
        <f t="shared" si="277"/>
        <v>0.04</v>
      </c>
      <c r="S436" s="2">
        <f t="shared" si="277"/>
        <v>2357.5500000000002</v>
      </c>
      <c r="T436" s="2">
        <f t="shared" si="277"/>
        <v>0</v>
      </c>
      <c r="U436" s="2">
        <f t="shared" si="277"/>
        <v>4.7559200000000006</v>
      </c>
      <c r="V436" s="2">
        <f t="shared" si="277"/>
        <v>0</v>
      </c>
      <c r="W436" s="2">
        <f t="shared" si="277"/>
        <v>0</v>
      </c>
      <c r="X436" s="2">
        <f t="shared" si="277"/>
        <v>1650.3</v>
      </c>
      <c r="Y436" s="2">
        <f t="shared" si="277"/>
        <v>235.77</v>
      </c>
      <c r="Z436" s="2">
        <f t="shared" si="277"/>
        <v>0</v>
      </c>
      <c r="AA436" s="2">
        <f t="shared" si="277"/>
        <v>0</v>
      </c>
      <c r="AB436" s="2">
        <f t="shared" si="277"/>
        <v>19529.349999999999</v>
      </c>
      <c r="AC436" s="2">
        <f t="shared" si="277"/>
        <v>17171.68</v>
      </c>
      <c r="AD436" s="2">
        <f t="shared" si="277"/>
        <v>0.12</v>
      </c>
      <c r="AE436" s="2">
        <f t="shared" si="277"/>
        <v>0.04</v>
      </c>
      <c r="AF436" s="2">
        <f t="shared" si="277"/>
        <v>2357.5500000000002</v>
      </c>
      <c r="AG436" s="2">
        <f t="shared" si="277"/>
        <v>0</v>
      </c>
      <c r="AH436" s="2">
        <f t="shared" si="277"/>
        <v>4.7559200000000006</v>
      </c>
      <c r="AI436" s="2">
        <f t="shared" si="277"/>
        <v>0</v>
      </c>
      <c r="AJ436" s="2">
        <f t="shared" si="277"/>
        <v>0</v>
      </c>
      <c r="AK436" s="2">
        <f t="shared" si="277"/>
        <v>1650.3</v>
      </c>
      <c r="AL436" s="2">
        <f t="shared" si="277"/>
        <v>235.77</v>
      </c>
      <c r="AM436" s="2">
        <f t="shared" si="277"/>
        <v>0</v>
      </c>
      <c r="AN436" s="2">
        <f t="shared" si="277"/>
        <v>0</v>
      </c>
      <c r="AO436" s="2">
        <f t="shared" si="277"/>
        <v>0</v>
      </c>
      <c r="AP436" s="2">
        <f t="shared" si="277"/>
        <v>0</v>
      </c>
      <c r="AQ436" s="2">
        <f t="shared" si="277"/>
        <v>0</v>
      </c>
      <c r="AR436" s="2">
        <f t="shared" si="277"/>
        <v>21415.46</v>
      </c>
      <c r="AS436" s="2">
        <f t="shared" si="277"/>
        <v>0</v>
      </c>
      <c r="AT436" s="2">
        <f t="shared" si="277"/>
        <v>0</v>
      </c>
      <c r="AU436" s="2">
        <f t="shared" ref="AU436:BZ436" si="278">AU452</f>
        <v>21415.46</v>
      </c>
      <c r="AV436" s="2">
        <f t="shared" si="278"/>
        <v>17171.68</v>
      </c>
      <c r="AW436" s="2">
        <f t="shared" si="278"/>
        <v>17171.68</v>
      </c>
      <c r="AX436" s="2">
        <f t="shared" si="278"/>
        <v>0</v>
      </c>
      <c r="AY436" s="2">
        <f t="shared" si="278"/>
        <v>17171.68</v>
      </c>
      <c r="AZ436" s="2">
        <f t="shared" si="278"/>
        <v>0</v>
      </c>
      <c r="BA436" s="2">
        <f t="shared" si="278"/>
        <v>0</v>
      </c>
      <c r="BB436" s="2">
        <f t="shared" si="278"/>
        <v>0</v>
      </c>
      <c r="BC436" s="2">
        <f t="shared" si="278"/>
        <v>0</v>
      </c>
      <c r="BD436" s="2">
        <f t="shared" si="278"/>
        <v>0</v>
      </c>
      <c r="BE436" s="2">
        <f t="shared" si="278"/>
        <v>0</v>
      </c>
      <c r="BF436" s="2">
        <f t="shared" si="278"/>
        <v>0</v>
      </c>
      <c r="BG436" s="2">
        <f t="shared" si="278"/>
        <v>0</v>
      </c>
      <c r="BH436" s="2">
        <f t="shared" si="278"/>
        <v>0</v>
      </c>
      <c r="BI436" s="2">
        <f t="shared" si="278"/>
        <v>0</v>
      </c>
      <c r="BJ436" s="2">
        <f t="shared" si="278"/>
        <v>0</v>
      </c>
      <c r="BK436" s="2">
        <f t="shared" si="278"/>
        <v>0</v>
      </c>
      <c r="BL436" s="2">
        <f t="shared" si="278"/>
        <v>0</v>
      </c>
      <c r="BM436" s="2">
        <f t="shared" si="278"/>
        <v>0</v>
      </c>
      <c r="BN436" s="2">
        <f t="shared" si="278"/>
        <v>0</v>
      </c>
      <c r="BO436" s="2">
        <f t="shared" si="278"/>
        <v>0</v>
      </c>
      <c r="BP436" s="2">
        <f t="shared" si="278"/>
        <v>0</v>
      </c>
      <c r="BQ436" s="2">
        <f t="shared" si="278"/>
        <v>0</v>
      </c>
      <c r="BR436" s="2">
        <f t="shared" si="278"/>
        <v>0</v>
      </c>
      <c r="BS436" s="2">
        <f t="shared" si="278"/>
        <v>0</v>
      </c>
      <c r="BT436" s="2">
        <f t="shared" si="278"/>
        <v>0</v>
      </c>
      <c r="BU436" s="2">
        <f t="shared" si="278"/>
        <v>0</v>
      </c>
      <c r="BV436" s="2">
        <f t="shared" si="278"/>
        <v>0</v>
      </c>
      <c r="BW436" s="2">
        <f t="shared" si="278"/>
        <v>0</v>
      </c>
      <c r="BX436" s="2">
        <f t="shared" si="278"/>
        <v>0</v>
      </c>
      <c r="BY436" s="2">
        <f t="shared" si="278"/>
        <v>0</v>
      </c>
      <c r="BZ436" s="2">
        <f t="shared" si="278"/>
        <v>0</v>
      </c>
      <c r="CA436" s="2">
        <f t="shared" ref="CA436:DF436" si="279">CA452</f>
        <v>21415.46</v>
      </c>
      <c r="CB436" s="2">
        <f t="shared" si="279"/>
        <v>0</v>
      </c>
      <c r="CC436" s="2">
        <f t="shared" si="279"/>
        <v>0</v>
      </c>
      <c r="CD436" s="2">
        <f t="shared" si="279"/>
        <v>21415.46</v>
      </c>
      <c r="CE436" s="2">
        <f t="shared" si="279"/>
        <v>17171.68</v>
      </c>
      <c r="CF436" s="2">
        <f t="shared" si="279"/>
        <v>17171.68</v>
      </c>
      <c r="CG436" s="2">
        <f t="shared" si="279"/>
        <v>0</v>
      </c>
      <c r="CH436" s="2">
        <f t="shared" si="279"/>
        <v>17171.68</v>
      </c>
      <c r="CI436" s="2">
        <f t="shared" si="279"/>
        <v>0</v>
      </c>
      <c r="CJ436" s="2">
        <f t="shared" si="279"/>
        <v>0</v>
      </c>
      <c r="CK436" s="2">
        <f t="shared" si="279"/>
        <v>0</v>
      </c>
      <c r="CL436" s="2">
        <f t="shared" si="279"/>
        <v>0</v>
      </c>
      <c r="CM436" s="2">
        <f t="shared" si="279"/>
        <v>0</v>
      </c>
      <c r="CN436" s="2">
        <f t="shared" si="279"/>
        <v>0</v>
      </c>
      <c r="CO436" s="2">
        <f t="shared" si="279"/>
        <v>0</v>
      </c>
      <c r="CP436" s="2">
        <f t="shared" si="279"/>
        <v>0</v>
      </c>
      <c r="CQ436" s="2">
        <f t="shared" si="279"/>
        <v>0</v>
      </c>
      <c r="CR436" s="2">
        <f t="shared" si="279"/>
        <v>0</v>
      </c>
      <c r="CS436" s="2">
        <f t="shared" si="279"/>
        <v>0</v>
      </c>
      <c r="CT436" s="2">
        <f t="shared" si="279"/>
        <v>0</v>
      </c>
      <c r="CU436" s="2">
        <f t="shared" si="279"/>
        <v>0</v>
      </c>
      <c r="CV436" s="2">
        <f t="shared" si="279"/>
        <v>0</v>
      </c>
      <c r="CW436" s="2">
        <f t="shared" si="279"/>
        <v>0</v>
      </c>
      <c r="CX436" s="2">
        <f t="shared" si="279"/>
        <v>0</v>
      </c>
      <c r="CY436" s="2">
        <f t="shared" si="279"/>
        <v>0</v>
      </c>
      <c r="CZ436" s="2">
        <f t="shared" si="279"/>
        <v>0</v>
      </c>
      <c r="DA436" s="2">
        <f t="shared" si="279"/>
        <v>0</v>
      </c>
      <c r="DB436" s="2">
        <f t="shared" si="279"/>
        <v>0</v>
      </c>
      <c r="DC436" s="2">
        <f t="shared" si="279"/>
        <v>0</v>
      </c>
      <c r="DD436" s="2">
        <f t="shared" si="279"/>
        <v>0</v>
      </c>
      <c r="DE436" s="2">
        <f t="shared" si="279"/>
        <v>0</v>
      </c>
      <c r="DF436" s="2">
        <f t="shared" si="279"/>
        <v>0</v>
      </c>
      <c r="DG436" s="3">
        <f t="shared" ref="DG436:EL436" si="280">DG452</f>
        <v>0</v>
      </c>
      <c r="DH436" s="3">
        <f t="shared" si="280"/>
        <v>0</v>
      </c>
      <c r="DI436" s="3">
        <f t="shared" si="280"/>
        <v>0</v>
      </c>
      <c r="DJ436" s="3">
        <f t="shared" si="280"/>
        <v>0</v>
      </c>
      <c r="DK436" s="3">
        <f t="shared" si="280"/>
        <v>0</v>
      </c>
      <c r="DL436" s="3">
        <f t="shared" si="280"/>
        <v>0</v>
      </c>
      <c r="DM436" s="3">
        <f t="shared" si="280"/>
        <v>0</v>
      </c>
      <c r="DN436" s="3">
        <f t="shared" si="280"/>
        <v>0</v>
      </c>
      <c r="DO436" s="3">
        <f t="shared" si="280"/>
        <v>0</v>
      </c>
      <c r="DP436" s="3">
        <f t="shared" si="280"/>
        <v>0</v>
      </c>
      <c r="DQ436" s="3">
        <f t="shared" si="280"/>
        <v>0</v>
      </c>
      <c r="DR436" s="3">
        <f t="shared" si="280"/>
        <v>0</v>
      </c>
      <c r="DS436" s="3">
        <f t="shared" si="280"/>
        <v>0</v>
      </c>
      <c r="DT436" s="3">
        <f t="shared" si="280"/>
        <v>0</v>
      </c>
      <c r="DU436" s="3">
        <f t="shared" si="280"/>
        <v>0</v>
      </c>
      <c r="DV436" s="3">
        <f t="shared" si="280"/>
        <v>0</v>
      </c>
      <c r="DW436" s="3">
        <f t="shared" si="280"/>
        <v>0</v>
      </c>
      <c r="DX436" s="3">
        <f t="shared" si="280"/>
        <v>0</v>
      </c>
      <c r="DY436" s="3">
        <f t="shared" si="280"/>
        <v>0</v>
      </c>
      <c r="DZ436" s="3">
        <f t="shared" si="280"/>
        <v>0</v>
      </c>
      <c r="EA436" s="3">
        <f t="shared" si="280"/>
        <v>0</v>
      </c>
      <c r="EB436" s="3">
        <f t="shared" si="280"/>
        <v>0</v>
      </c>
      <c r="EC436" s="3">
        <f t="shared" si="280"/>
        <v>0</v>
      </c>
      <c r="ED436" s="3">
        <f t="shared" si="280"/>
        <v>0</v>
      </c>
      <c r="EE436" s="3">
        <f t="shared" si="280"/>
        <v>0</v>
      </c>
      <c r="EF436" s="3">
        <f t="shared" si="280"/>
        <v>0</v>
      </c>
      <c r="EG436" s="3">
        <f t="shared" si="280"/>
        <v>0</v>
      </c>
      <c r="EH436" s="3">
        <f t="shared" si="280"/>
        <v>0</v>
      </c>
      <c r="EI436" s="3">
        <f t="shared" si="280"/>
        <v>0</v>
      </c>
      <c r="EJ436" s="3">
        <f t="shared" si="280"/>
        <v>0</v>
      </c>
      <c r="EK436" s="3">
        <f t="shared" si="280"/>
        <v>0</v>
      </c>
      <c r="EL436" s="3">
        <f t="shared" si="280"/>
        <v>0</v>
      </c>
      <c r="EM436" s="3">
        <f t="shared" ref="EM436:FR436" si="281">EM452</f>
        <v>0</v>
      </c>
      <c r="EN436" s="3">
        <f t="shared" si="281"/>
        <v>0</v>
      </c>
      <c r="EO436" s="3">
        <f t="shared" si="281"/>
        <v>0</v>
      </c>
      <c r="EP436" s="3">
        <f t="shared" si="281"/>
        <v>0</v>
      </c>
      <c r="EQ436" s="3">
        <f t="shared" si="281"/>
        <v>0</v>
      </c>
      <c r="ER436" s="3">
        <f t="shared" si="281"/>
        <v>0</v>
      </c>
      <c r="ES436" s="3">
        <f t="shared" si="281"/>
        <v>0</v>
      </c>
      <c r="ET436" s="3">
        <f t="shared" si="281"/>
        <v>0</v>
      </c>
      <c r="EU436" s="3">
        <f t="shared" si="281"/>
        <v>0</v>
      </c>
      <c r="EV436" s="3">
        <f t="shared" si="281"/>
        <v>0</v>
      </c>
      <c r="EW436" s="3">
        <f t="shared" si="281"/>
        <v>0</v>
      </c>
      <c r="EX436" s="3">
        <f t="shared" si="281"/>
        <v>0</v>
      </c>
      <c r="EY436" s="3">
        <f t="shared" si="281"/>
        <v>0</v>
      </c>
      <c r="EZ436" s="3">
        <f t="shared" si="281"/>
        <v>0</v>
      </c>
      <c r="FA436" s="3">
        <f t="shared" si="281"/>
        <v>0</v>
      </c>
      <c r="FB436" s="3">
        <f t="shared" si="281"/>
        <v>0</v>
      </c>
      <c r="FC436" s="3">
        <f t="shared" si="281"/>
        <v>0</v>
      </c>
      <c r="FD436" s="3">
        <f t="shared" si="281"/>
        <v>0</v>
      </c>
      <c r="FE436" s="3">
        <f t="shared" si="281"/>
        <v>0</v>
      </c>
      <c r="FF436" s="3">
        <f t="shared" si="281"/>
        <v>0</v>
      </c>
      <c r="FG436" s="3">
        <f t="shared" si="281"/>
        <v>0</v>
      </c>
      <c r="FH436" s="3">
        <f t="shared" si="281"/>
        <v>0</v>
      </c>
      <c r="FI436" s="3">
        <f t="shared" si="281"/>
        <v>0</v>
      </c>
      <c r="FJ436" s="3">
        <f t="shared" si="281"/>
        <v>0</v>
      </c>
      <c r="FK436" s="3">
        <f t="shared" si="281"/>
        <v>0</v>
      </c>
      <c r="FL436" s="3">
        <f t="shared" si="281"/>
        <v>0</v>
      </c>
      <c r="FM436" s="3">
        <f t="shared" si="281"/>
        <v>0</v>
      </c>
      <c r="FN436" s="3">
        <f t="shared" si="281"/>
        <v>0</v>
      </c>
      <c r="FO436" s="3">
        <f t="shared" si="281"/>
        <v>0</v>
      </c>
      <c r="FP436" s="3">
        <f t="shared" si="281"/>
        <v>0</v>
      </c>
      <c r="FQ436" s="3">
        <f t="shared" si="281"/>
        <v>0</v>
      </c>
      <c r="FR436" s="3">
        <f t="shared" si="281"/>
        <v>0</v>
      </c>
      <c r="FS436" s="3">
        <f t="shared" ref="FS436:GX436" si="282">FS452</f>
        <v>0</v>
      </c>
      <c r="FT436" s="3">
        <f t="shared" si="282"/>
        <v>0</v>
      </c>
      <c r="FU436" s="3">
        <f t="shared" si="282"/>
        <v>0</v>
      </c>
      <c r="FV436" s="3">
        <f t="shared" si="282"/>
        <v>0</v>
      </c>
      <c r="FW436" s="3">
        <f t="shared" si="282"/>
        <v>0</v>
      </c>
      <c r="FX436" s="3">
        <f t="shared" si="282"/>
        <v>0</v>
      </c>
      <c r="FY436" s="3">
        <f t="shared" si="282"/>
        <v>0</v>
      </c>
      <c r="FZ436" s="3">
        <f t="shared" si="282"/>
        <v>0</v>
      </c>
      <c r="GA436" s="3">
        <f t="shared" si="282"/>
        <v>0</v>
      </c>
      <c r="GB436" s="3">
        <f t="shared" si="282"/>
        <v>0</v>
      </c>
      <c r="GC436" s="3">
        <f t="shared" si="282"/>
        <v>0</v>
      </c>
      <c r="GD436" s="3">
        <f t="shared" si="282"/>
        <v>0</v>
      </c>
      <c r="GE436" s="3">
        <f t="shared" si="282"/>
        <v>0</v>
      </c>
      <c r="GF436" s="3">
        <f t="shared" si="282"/>
        <v>0</v>
      </c>
      <c r="GG436" s="3">
        <f t="shared" si="282"/>
        <v>0</v>
      </c>
      <c r="GH436" s="3">
        <f t="shared" si="282"/>
        <v>0</v>
      </c>
      <c r="GI436" s="3">
        <f t="shared" si="282"/>
        <v>0</v>
      </c>
      <c r="GJ436" s="3">
        <f t="shared" si="282"/>
        <v>0</v>
      </c>
      <c r="GK436" s="3">
        <f t="shared" si="282"/>
        <v>0</v>
      </c>
      <c r="GL436" s="3">
        <f t="shared" si="282"/>
        <v>0</v>
      </c>
      <c r="GM436" s="3">
        <f t="shared" si="282"/>
        <v>0</v>
      </c>
      <c r="GN436" s="3">
        <f t="shared" si="282"/>
        <v>0</v>
      </c>
      <c r="GO436" s="3">
        <f t="shared" si="282"/>
        <v>0</v>
      </c>
      <c r="GP436" s="3">
        <f t="shared" si="282"/>
        <v>0</v>
      </c>
      <c r="GQ436" s="3">
        <f t="shared" si="282"/>
        <v>0</v>
      </c>
      <c r="GR436" s="3">
        <f t="shared" si="282"/>
        <v>0</v>
      </c>
      <c r="GS436" s="3">
        <f t="shared" si="282"/>
        <v>0</v>
      </c>
      <c r="GT436" s="3">
        <f t="shared" si="282"/>
        <v>0</v>
      </c>
      <c r="GU436" s="3">
        <f t="shared" si="282"/>
        <v>0</v>
      </c>
      <c r="GV436" s="3">
        <f t="shared" si="282"/>
        <v>0</v>
      </c>
      <c r="GW436" s="3">
        <f t="shared" si="282"/>
        <v>0</v>
      </c>
      <c r="GX436" s="3">
        <f t="shared" si="282"/>
        <v>0</v>
      </c>
    </row>
    <row r="438" spans="1:245" x14ac:dyDescent="0.2">
      <c r="A438">
        <v>17</v>
      </c>
      <c r="B438">
        <v>1</v>
      </c>
      <c r="C438">
        <f>ROW(SmtRes!A157)</f>
        <v>157</v>
      </c>
      <c r="D438">
        <f>ROW(EtalonRes!A146)</f>
        <v>146</v>
      </c>
      <c r="E438" t="s">
        <v>275</v>
      </c>
      <c r="F438" t="s">
        <v>151</v>
      </c>
      <c r="G438" t="s">
        <v>152</v>
      </c>
      <c r="H438" t="s">
        <v>153</v>
      </c>
      <c r="I438">
        <f>ROUND(1/100,9)</f>
        <v>0.01</v>
      </c>
      <c r="J438">
        <v>0</v>
      </c>
      <c r="K438">
        <f>ROUND(1/100,9)</f>
        <v>0.01</v>
      </c>
      <c r="O438">
        <f t="shared" ref="O438:O450" si="283">ROUND(CP438,2)</f>
        <v>276.27999999999997</v>
      </c>
      <c r="P438">
        <f t="shared" ref="P438:P450" si="284">ROUND(CQ438*I438,2)</f>
        <v>0</v>
      </c>
      <c r="Q438">
        <f t="shared" ref="Q438:Q450" si="285">ROUND(CR438*I438,2)</f>
        <v>0</v>
      </c>
      <c r="R438">
        <f t="shared" ref="R438:R450" si="286">ROUND(CS438*I438,2)</f>
        <v>0</v>
      </c>
      <c r="S438">
        <f t="shared" ref="S438:S450" si="287">ROUND(CT438*I438,2)</f>
        <v>276.27999999999997</v>
      </c>
      <c r="T438">
        <f t="shared" ref="T438:T450" si="288">ROUND(CU438*I438,2)</f>
        <v>0</v>
      </c>
      <c r="U438">
        <f t="shared" ref="U438:U450" si="289">CV438*I438</f>
        <v>0.60799999999999998</v>
      </c>
      <c r="V438">
        <f t="shared" ref="V438:V450" si="290">CW438*I438</f>
        <v>0</v>
      </c>
      <c r="W438">
        <f t="shared" ref="W438:W450" si="291">ROUND(CX438*I438,2)</f>
        <v>0</v>
      </c>
      <c r="X438">
        <f t="shared" ref="X438:X450" si="292">ROUND(CY438,2)</f>
        <v>193.4</v>
      </c>
      <c r="Y438">
        <f t="shared" ref="Y438:Y450" si="293">ROUND(CZ438,2)</f>
        <v>27.63</v>
      </c>
      <c r="AA438">
        <v>75700856</v>
      </c>
      <c r="AB438">
        <f t="shared" ref="AB438:AB450" si="294">ROUND((AC438+AD438+AF438),6)</f>
        <v>27627.52</v>
      </c>
      <c r="AC438">
        <f>ROUND((ES438),6)</f>
        <v>0</v>
      </c>
      <c r="AD438">
        <f>ROUND((((ET438)-(EU438))+AE438),6)</f>
        <v>0</v>
      </c>
      <c r="AE438">
        <f>ROUND((EU438),6)</f>
        <v>0</v>
      </c>
      <c r="AF438">
        <f>ROUND((EV438),6)</f>
        <v>27627.52</v>
      </c>
      <c r="AG438">
        <f t="shared" ref="AG438:AG450" si="295">ROUND((AP438),6)</f>
        <v>0</v>
      </c>
      <c r="AH438">
        <f>(EW438)</f>
        <v>60.8</v>
      </c>
      <c r="AI438">
        <f>(EX438)</f>
        <v>0</v>
      </c>
      <c r="AJ438">
        <f t="shared" ref="AJ438:AJ450" si="296">(AS438)</f>
        <v>0</v>
      </c>
      <c r="AK438">
        <v>27627.52</v>
      </c>
      <c r="AL438">
        <v>0</v>
      </c>
      <c r="AM438">
        <v>0</v>
      </c>
      <c r="AN438">
        <v>0</v>
      </c>
      <c r="AO438">
        <v>27627.52</v>
      </c>
      <c r="AP438">
        <v>0</v>
      </c>
      <c r="AQ438">
        <v>60.8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154</v>
      </c>
      <c r="BM438">
        <v>0</v>
      </c>
      <c r="BN438">
        <v>75371441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ref="CP438:CP450" si="297">(P438+Q438+S438)</f>
        <v>276.27999999999997</v>
      </c>
      <c r="CQ438">
        <f t="shared" ref="CQ438:CQ450" si="298">(AC438*BC438*AW438)</f>
        <v>0</v>
      </c>
      <c r="CR438">
        <f>((((ET438)*BB438-(EU438)*BS438)+AE438*BS438)*AV438)</f>
        <v>0</v>
      </c>
      <c r="CS438">
        <f t="shared" ref="CS438:CS450" si="299">(AE438*BS438*AV438)</f>
        <v>0</v>
      </c>
      <c r="CT438">
        <f t="shared" ref="CT438:CT450" si="300">(AF438*BA438*AV438)</f>
        <v>27627.52</v>
      </c>
      <c r="CU438">
        <f t="shared" ref="CU438:CU450" si="301">AG438</f>
        <v>0</v>
      </c>
      <c r="CV438">
        <f t="shared" ref="CV438:CV450" si="302">(AH438*AV438)</f>
        <v>60.8</v>
      </c>
      <c r="CW438">
        <f t="shared" ref="CW438:CW450" si="303">AI438</f>
        <v>0</v>
      </c>
      <c r="CX438">
        <f t="shared" ref="CX438:CX450" si="304">AJ438</f>
        <v>0</v>
      </c>
      <c r="CY438">
        <f t="shared" ref="CY438:CY450" si="305">((S438*BZ438)/100)</f>
        <v>193.39599999999999</v>
      </c>
      <c r="CZ438">
        <f t="shared" ref="CZ438:CZ450" si="306">((S438*CA438)/100)</f>
        <v>27.627999999999997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1013</v>
      </c>
      <c r="DV438" t="s">
        <v>153</v>
      </c>
      <c r="DW438" t="s">
        <v>153</v>
      </c>
      <c r="DX438">
        <v>1</v>
      </c>
      <c r="DZ438" t="s">
        <v>3</v>
      </c>
      <c r="EA438" t="s">
        <v>3</v>
      </c>
      <c r="EB438" t="s">
        <v>3</v>
      </c>
      <c r="EC438" t="s">
        <v>3</v>
      </c>
      <c r="EE438">
        <v>75371444</v>
      </c>
      <c r="EF438">
        <v>1</v>
      </c>
      <c r="EG438" t="s">
        <v>22</v>
      </c>
      <c r="EH438">
        <v>0</v>
      </c>
      <c r="EI438" t="s">
        <v>3</v>
      </c>
      <c r="EJ438">
        <v>4</v>
      </c>
      <c r="EK438">
        <v>0</v>
      </c>
      <c r="EL438" t="s">
        <v>23</v>
      </c>
      <c r="EM438" t="s">
        <v>24</v>
      </c>
      <c r="EO438" t="s">
        <v>3</v>
      </c>
      <c r="EQ438">
        <v>0</v>
      </c>
      <c r="ER438">
        <v>27627.52</v>
      </c>
      <c r="ES438">
        <v>0</v>
      </c>
      <c r="ET438">
        <v>0</v>
      </c>
      <c r="EU438">
        <v>0</v>
      </c>
      <c r="EV438">
        <v>27627.52</v>
      </c>
      <c r="EW438">
        <v>60.8</v>
      </c>
      <c r="EX438">
        <v>0</v>
      </c>
      <c r="EY438">
        <v>0</v>
      </c>
      <c r="FQ438">
        <v>0</v>
      </c>
      <c r="FR438">
        <f t="shared" ref="FR438:FR450" si="307">ROUND(IF(BI438=3,GM438,0),2)</f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1450101547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ref="GL438:GL450" si="308">ROUND(IF(AND(BH438=3,BI438=3,FS438&lt;&gt;0),P438,0),2)</f>
        <v>0</v>
      </c>
      <c r="GM438">
        <f t="shared" ref="GM438:GM450" si="309">ROUND(O438+X438+Y438+GK438,2)+GX438</f>
        <v>497.31</v>
      </c>
      <c r="GN438">
        <f t="shared" ref="GN438:GN450" si="310">IF(OR(BI438=0,BI438=1),GM438-GX438,0)</f>
        <v>0</v>
      </c>
      <c r="GO438">
        <f t="shared" ref="GO438:GO450" si="311">IF(BI438=2,GM438-GX438,0)</f>
        <v>0</v>
      </c>
      <c r="GP438">
        <f t="shared" ref="GP438:GP450" si="312">IF(BI438=4,GM438-GX438,0)</f>
        <v>497.31</v>
      </c>
      <c r="GR438">
        <v>0</v>
      </c>
      <c r="GS438">
        <v>3</v>
      </c>
      <c r="GT438">
        <v>0</v>
      </c>
      <c r="GU438" t="s">
        <v>3</v>
      </c>
      <c r="GV438">
        <f t="shared" ref="GV438:GV450" si="313">ROUND((GT438),6)</f>
        <v>0</v>
      </c>
      <c r="GW438">
        <v>1</v>
      </c>
      <c r="GX438">
        <f t="shared" ref="GX438:GX450" si="314">ROUND(HC438*I438,2)</f>
        <v>0</v>
      </c>
      <c r="HA438">
        <v>0</v>
      </c>
      <c r="HB438">
        <v>0</v>
      </c>
      <c r="HC438">
        <f t="shared" ref="HC438:HC450" si="315">GV438*GW438</f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C439">
        <f>ROW(SmtRes!A161)</f>
        <v>161</v>
      </c>
      <c r="D439">
        <f>ROW(EtalonRes!A150)</f>
        <v>150</v>
      </c>
      <c r="E439" t="s">
        <v>276</v>
      </c>
      <c r="F439" t="s">
        <v>156</v>
      </c>
      <c r="G439" t="s">
        <v>157</v>
      </c>
      <c r="H439" t="s">
        <v>158</v>
      </c>
      <c r="I439">
        <f>ROUND(1/100,9)</f>
        <v>0.01</v>
      </c>
      <c r="J439">
        <v>0</v>
      </c>
      <c r="K439">
        <f>ROUND(1/100,9)</f>
        <v>0.01</v>
      </c>
      <c r="O439">
        <f t="shared" si="283"/>
        <v>62.77</v>
      </c>
      <c r="P439">
        <f t="shared" si="284"/>
        <v>0</v>
      </c>
      <c r="Q439">
        <f t="shared" si="285"/>
        <v>0</v>
      </c>
      <c r="R439">
        <f t="shared" si="286"/>
        <v>0</v>
      </c>
      <c r="S439">
        <f t="shared" si="287"/>
        <v>62.77</v>
      </c>
      <c r="T439">
        <f t="shared" si="288"/>
        <v>0</v>
      </c>
      <c r="U439">
        <f t="shared" si="289"/>
        <v>0.15572000000000003</v>
      </c>
      <c r="V439">
        <f t="shared" si="290"/>
        <v>0</v>
      </c>
      <c r="W439">
        <f t="shared" si="291"/>
        <v>0</v>
      </c>
      <c r="X439">
        <f t="shared" si="292"/>
        <v>43.94</v>
      </c>
      <c r="Y439">
        <f t="shared" si="293"/>
        <v>6.28</v>
      </c>
      <c r="AA439">
        <v>75700856</v>
      </c>
      <c r="AB439">
        <f t="shared" si="294"/>
        <v>6277.0739999999996</v>
      </c>
      <c r="AC439">
        <f>ROUND(((ES439*0)),6)</f>
        <v>0</v>
      </c>
      <c r="AD439">
        <f>ROUND(((((ET439*0.2))-((EU439*0.2)))+AE439),6)</f>
        <v>0</v>
      </c>
      <c r="AE439">
        <f>ROUND(((EU439*0.2)),6)</f>
        <v>0</v>
      </c>
      <c r="AF439">
        <f>ROUND(((EV439*0.2)),6)</f>
        <v>6277.0739999999996</v>
      </c>
      <c r="AG439">
        <f t="shared" si="295"/>
        <v>0</v>
      </c>
      <c r="AH439">
        <f>((EW439*0.2))</f>
        <v>15.572000000000001</v>
      </c>
      <c r="AI439">
        <f>((EX439*0.2))</f>
        <v>0</v>
      </c>
      <c r="AJ439">
        <f t="shared" si="296"/>
        <v>0</v>
      </c>
      <c r="AK439">
        <v>46449.07</v>
      </c>
      <c r="AL439">
        <v>15063.7</v>
      </c>
      <c r="AM439">
        <v>0</v>
      </c>
      <c r="AN439">
        <v>0</v>
      </c>
      <c r="AO439">
        <v>31385.37</v>
      </c>
      <c r="AP439">
        <v>0</v>
      </c>
      <c r="AQ439">
        <v>77.86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159</v>
      </c>
      <c r="BM439">
        <v>0</v>
      </c>
      <c r="BN439">
        <v>75371441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491</v>
      </c>
      <c r="CO439">
        <v>0</v>
      </c>
      <c r="CP439">
        <f t="shared" si="297"/>
        <v>62.77</v>
      </c>
      <c r="CQ439">
        <f t="shared" si="298"/>
        <v>0</v>
      </c>
      <c r="CR439">
        <f>(((((ET439*0.2))*BB439-((EU439*0.2))*BS439)+AE439*BS439)*AV439)</f>
        <v>0</v>
      </c>
      <c r="CS439">
        <f t="shared" si="299"/>
        <v>0</v>
      </c>
      <c r="CT439">
        <f t="shared" si="300"/>
        <v>6277.0739999999996</v>
      </c>
      <c r="CU439">
        <f t="shared" si="301"/>
        <v>0</v>
      </c>
      <c r="CV439">
        <f t="shared" si="302"/>
        <v>15.572000000000001</v>
      </c>
      <c r="CW439">
        <f t="shared" si="303"/>
        <v>0</v>
      </c>
      <c r="CX439">
        <f t="shared" si="304"/>
        <v>0</v>
      </c>
      <c r="CY439">
        <f t="shared" si="305"/>
        <v>43.939000000000007</v>
      </c>
      <c r="CZ439">
        <f t="shared" si="306"/>
        <v>6.2770000000000001</v>
      </c>
      <c r="DC439" t="s">
        <v>3</v>
      </c>
      <c r="DD439" t="s">
        <v>160</v>
      </c>
      <c r="DE439" t="s">
        <v>161</v>
      </c>
      <c r="DF439" t="s">
        <v>161</v>
      </c>
      <c r="DG439" t="s">
        <v>161</v>
      </c>
      <c r="DH439" t="s">
        <v>3</v>
      </c>
      <c r="DI439" t="s">
        <v>161</v>
      </c>
      <c r="DJ439" t="s">
        <v>161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1010</v>
      </c>
      <c r="DV439" t="s">
        <v>158</v>
      </c>
      <c r="DW439" t="s">
        <v>158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75371444</v>
      </c>
      <c r="EF439">
        <v>1</v>
      </c>
      <c r="EG439" t="s">
        <v>22</v>
      </c>
      <c r="EH439">
        <v>0</v>
      </c>
      <c r="EI439" t="s">
        <v>3</v>
      </c>
      <c r="EJ439">
        <v>4</v>
      </c>
      <c r="EK439">
        <v>0</v>
      </c>
      <c r="EL439" t="s">
        <v>23</v>
      </c>
      <c r="EM439" t="s">
        <v>24</v>
      </c>
      <c r="EO439" t="s">
        <v>162</v>
      </c>
      <c r="EQ439">
        <v>0</v>
      </c>
      <c r="ER439">
        <v>46449.07</v>
      </c>
      <c r="ES439">
        <v>15063.7</v>
      </c>
      <c r="ET439">
        <v>0</v>
      </c>
      <c r="EU439">
        <v>0</v>
      </c>
      <c r="EV439">
        <v>31385.37</v>
      </c>
      <c r="EW439">
        <v>77.86</v>
      </c>
      <c r="EX439">
        <v>0</v>
      </c>
      <c r="EY439">
        <v>0</v>
      </c>
      <c r="FQ439">
        <v>0</v>
      </c>
      <c r="FR439">
        <f t="shared" si="307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-497449691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</v>
      </c>
      <c r="GL439">
        <f t="shared" si="308"/>
        <v>0</v>
      </c>
      <c r="GM439">
        <f t="shared" si="309"/>
        <v>112.99</v>
      </c>
      <c r="GN439">
        <f t="shared" si="310"/>
        <v>0</v>
      </c>
      <c r="GO439">
        <f t="shared" si="311"/>
        <v>0</v>
      </c>
      <c r="GP439">
        <f t="shared" si="312"/>
        <v>112.99</v>
      </c>
      <c r="GR439">
        <v>0</v>
      </c>
      <c r="GS439">
        <v>3</v>
      </c>
      <c r="GT439">
        <v>0</v>
      </c>
      <c r="GU439" t="s">
        <v>3</v>
      </c>
      <c r="GV439">
        <f t="shared" si="313"/>
        <v>0</v>
      </c>
      <c r="GW439">
        <v>1</v>
      </c>
      <c r="GX439">
        <f t="shared" si="314"/>
        <v>0</v>
      </c>
      <c r="HA439">
        <v>0</v>
      </c>
      <c r="HB439">
        <v>0</v>
      </c>
      <c r="HC439">
        <f t="shared" si="315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0" spans="1:245" x14ac:dyDescent="0.2">
      <c r="A440">
        <v>17</v>
      </c>
      <c r="B440">
        <v>1</v>
      </c>
      <c r="C440">
        <f>ROW(SmtRes!A176)</f>
        <v>176</v>
      </c>
      <c r="D440">
        <f>ROW(EtalonRes!A163)</f>
        <v>163</v>
      </c>
      <c r="E440" t="s">
        <v>277</v>
      </c>
      <c r="F440" t="s">
        <v>164</v>
      </c>
      <c r="G440" t="s">
        <v>165</v>
      </c>
      <c r="H440" t="s">
        <v>166</v>
      </c>
      <c r="I440">
        <v>1</v>
      </c>
      <c r="J440">
        <v>0</v>
      </c>
      <c r="K440">
        <v>1</v>
      </c>
      <c r="O440">
        <f t="shared" si="283"/>
        <v>9103.32</v>
      </c>
      <c r="P440">
        <f t="shared" si="284"/>
        <v>7914.99</v>
      </c>
      <c r="Q440">
        <f t="shared" si="285"/>
        <v>0.12</v>
      </c>
      <c r="R440">
        <f t="shared" si="286"/>
        <v>0.04</v>
      </c>
      <c r="S440">
        <f t="shared" si="287"/>
        <v>1188.21</v>
      </c>
      <c r="T440">
        <f t="shared" si="288"/>
        <v>0</v>
      </c>
      <c r="U440">
        <f t="shared" si="289"/>
        <v>2.2400000000000002</v>
      </c>
      <c r="V440">
        <f t="shared" si="290"/>
        <v>0</v>
      </c>
      <c r="W440">
        <f t="shared" si="291"/>
        <v>0</v>
      </c>
      <c r="X440">
        <f t="shared" si="292"/>
        <v>831.75</v>
      </c>
      <c r="Y440">
        <f t="shared" si="293"/>
        <v>118.82</v>
      </c>
      <c r="AA440">
        <v>75700856</v>
      </c>
      <c r="AB440">
        <f t="shared" si="294"/>
        <v>9103.32</v>
      </c>
      <c r="AC440">
        <f t="shared" ref="AC440:AC450" si="316">ROUND((ES440),6)</f>
        <v>7914.99</v>
      </c>
      <c r="AD440">
        <f t="shared" ref="AD440:AD450" si="317">ROUND((((ET440)-(EU440))+AE440),6)</f>
        <v>0.12</v>
      </c>
      <c r="AE440">
        <f t="shared" ref="AE440:AE450" si="318">ROUND((EU440),6)</f>
        <v>0.04</v>
      </c>
      <c r="AF440">
        <f t="shared" ref="AF440:AF450" si="319">ROUND((EV440),6)</f>
        <v>1188.21</v>
      </c>
      <c r="AG440">
        <f t="shared" si="295"/>
        <v>0</v>
      </c>
      <c r="AH440">
        <f t="shared" ref="AH440:AH450" si="320">(EW440)</f>
        <v>2.2400000000000002</v>
      </c>
      <c r="AI440">
        <f t="shared" ref="AI440:AI450" si="321">(EX440)</f>
        <v>0</v>
      </c>
      <c r="AJ440">
        <f t="shared" si="296"/>
        <v>0</v>
      </c>
      <c r="AK440">
        <v>9103.32</v>
      </c>
      <c r="AL440">
        <v>7914.99</v>
      </c>
      <c r="AM440">
        <v>0.12</v>
      </c>
      <c r="AN440">
        <v>0.04</v>
      </c>
      <c r="AO440">
        <v>1188.21</v>
      </c>
      <c r="AP440">
        <v>0</v>
      </c>
      <c r="AQ440">
        <v>2.2400000000000002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167</v>
      </c>
      <c r="BM440">
        <v>0</v>
      </c>
      <c r="BN440">
        <v>75371441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 t="shared" si="297"/>
        <v>9103.32</v>
      </c>
      <c r="CQ440">
        <f t="shared" si="298"/>
        <v>7914.99</v>
      </c>
      <c r="CR440">
        <f t="shared" ref="CR440:CR450" si="322">((((ET440)*BB440-(EU440)*BS440)+AE440*BS440)*AV440)</f>
        <v>0.12</v>
      </c>
      <c r="CS440">
        <f t="shared" si="299"/>
        <v>0.04</v>
      </c>
      <c r="CT440">
        <f t="shared" si="300"/>
        <v>1188.21</v>
      </c>
      <c r="CU440">
        <f t="shared" si="301"/>
        <v>0</v>
      </c>
      <c r="CV440">
        <f t="shared" si="302"/>
        <v>2.2400000000000002</v>
      </c>
      <c r="CW440">
        <f t="shared" si="303"/>
        <v>0</v>
      </c>
      <c r="CX440">
        <f t="shared" si="304"/>
        <v>0</v>
      </c>
      <c r="CY440">
        <f t="shared" si="305"/>
        <v>831.74699999999996</v>
      </c>
      <c r="CZ440">
        <f t="shared" si="306"/>
        <v>118.821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1013</v>
      </c>
      <c r="DV440" t="s">
        <v>166</v>
      </c>
      <c r="DW440" t="s">
        <v>166</v>
      </c>
      <c r="DX440">
        <v>1</v>
      </c>
      <c r="DZ440" t="s">
        <v>3</v>
      </c>
      <c r="EA440" t="s">
        <v>3</v>
      </c>
      <c r="EB440" t="s">
        <v>3</v>
      </c>
      <c r="EC440" t="s">
        <v>3</v>
      </c>
      <c r="EE440">
        <v>75371444</v>
      </c>
      <c r="EF440">
        <v>1</v>
      </c>
      <c r="EG440" t="s">
        <v>22</v>
      </c>
      <c r="EH440">
        <v>0</v>
      </c>
      <c r="EI440" t="s">
        <v>3</v>
      </c>
      <c r="EJ440">
        <v>4</v>
      </c>
      <c r="EK440">
        <v>0</v>
      </c>
      <c r="EL440" t="s">
        <v>23</v>
      </c>
      <c r="EM440" t="s">
        <v>24</v>
      </c>
      <c r="EO440" t="s">
        <v>3</v>
      </c>
      <c r="EQ440">
        <v>0</v>
      </c>
      <c r="ER440">
        <v>9103.32</v>
      </c>
      <c r="ES440">
        <v>7914.99</v>
      </c>
      <c r="ET440">
        <v>0.12</v>
      </c>
      <c r="EU440">
        <v>0.04</v>
      </c>
      <c r="EV440">
        <v>1188.21</v>
      </c>
      <c r="EW440">
        <v>2.2400000000000002</v>
      </c>
      <c r="EX440">
        <v>0</v>
      </c>
      <c r="EY440">
        <v>0</v>
      </c>
      <c r="FQ440">
        <v>0</v>
      </c>
      <c r="FR440">
        <f t="shared" si="307"/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-1808202667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0.04</v>
      </c>
      <c r="GL440">
        <f t="shared" si="308"/>
        <v>0</v>
      </c>
      <c r="GM440">
        <f t="shared" si="309"/>
        <v>10053.93</v>
      </c>
      <c r="GN440">
        <f t="shared" si="310"/>
        <v>0</v>
      </c>
      <c r="GO440">
        <f t="shared" si="311"/>
        <v>0</v>
      </c>
      <c r="GP440">
        <f t="shared" si="312"/>
        <v>10053.93</v>
      </c>
      <c r="GR440">
        <v>0</v>
      </c>
      <c r="GS440">
        <v>3</v>
      </c>
      <c r="GT440">
        <v>0</v>
      </c>
      <c r="GU440" t="s">
        <v>3</v>
      </c>
      <c r="GV440">
        <f t="shared" si="313"/>
        <v>0</v>
      </c>
      <c r="GW440">
        <v>1</v>
      </c>
      <c r="GX440">
        <f t="shared" si="314"/>
        <v>0</v>
      </c>
      <c r="HA440">
        <v>0</v>
      </c>
      <c r="HB440">
        <v>0</v>
      </c>
      <c r="HC440">
        <f t="shared" si="315"/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18</v>
      </c>
      <c r="B441">
        <v>1</v>
      </c>
      <c r="C441">
        <v>174</v>
      </c>
      <c r="E441" t="s">
        <v>278</v>
      </c>
      <c r="F441" t="s">
        <v>169</v>
      </c>
      <c r="G441" t="s">
        <v>170</v>
      </c>
      <c r="H441" t="s">
        <v>171</v>
      </c>
      <c r="I441">
        <f>I440*J441</f>
        <v>1</v>
      </c>
      <c r="J441">
        <v>1</v>
      </c>
      <c r="K441">
        <v>1</v>
      </c>
      <c r="O441">
        <f t="shared" si="283"/>
        <v>5025.26</v>
      </c>
      <c r="P441">
        <f t="shared" si="284"/>
        <v>5025.26</v>
      </c>
      <c r="Q441">
        <f t="shared" si="285"/>
        <v>0</v>
      </c>
      <c r="R441">
        <f t="shared" si="286"/>
        <v>0</v>
      </c>
      <c r="S441">
        <f t="shared" si="287"/>
        <v>0</v>
      </c>
      <c r="T441">
        <f t="shared" si="288"/>
        <v>0</v>
      </c>
      <c r="U441">
        <f t="shared" si="289"/>
        <v>0</v>
      </c>
      <c r="V441">
        <f t="shared" si="290"/>
        <v>0</v>
      </c>
      <c r="W441">
        <f t="shared" si="291"/>
        <v>0</v>
      </c>
      <c r="X441">
        <f t="shared" si="292"/>
        <v>0</v>
      </c>
      <c r="Y441">
        <f t="shared" si="293"/>
        <v>0</v>
      </c>
      <c r="AA441">
        <v>75700856</v>
      </c>
      <c r="AB441">
        <f t="shared" si="294"/>
        <v>5025.26</v>
      </c>
      <c r="AC441">
        <f t="shared" si="316"/>
        <v>5025.26</v>
      </c>
      <c r="AD441">
        <f t="shared" si="317"/>
        <v>0</v>
      </c>
      <c r="AE441">
        <f t="shared" si="318"/>
        <v>0</v>
      </c>
      <c r="AF441">
        <f t="shared" si="319"/>
        <v>0</v>
      </c>
      <c r="AG441">
        <f t="shared" si="295"/>
        <v>0</v>
      </c>
      <c r="AH441">
        <f t="shared" si="320"/>
        <v>0</v>
      </c>
      <c r="AI441">
        <f t="shared" si="321"/>
        <v>0</v>
      </c>
      <c r="AJ441">
        <f t="shared" si="296"/>
        <v>0</v>
      </c>
      <c r="AK441">
        <v>5025.26</v>
      </c>
      <c r="AL441">
        <v>5025.26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3</v>
      </c>
      <c r="BI441">
        <v>4</v>
      </c>
      <c r="BJ441" t="s">
        <v>172</v>
      </c>
      <c r="BM441">
        <v>0</v>
      </c>
      <c r="BN441">
        <v>75371441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 t="shared" si="297"/>
        <v>5025.26</v>
      </c>
      <c r="CQ441">
        <f t="shared" si="298"/>
        <v>5025.26</v>
      </c>
      <c r="CR441">
        <f t="shared" si="322"/>
        <v>0</v>
      </c>
      <c r="CS441">
        <f t="shared" si="299"/>
        <v>0</v>
      </c>
      <c r="CT441">
        <f t="shared" si="300"/>
        <v>0</v>
      </c>
      <c r="CU441">
        <f t="shared" si="301"/>
        <v>0</v>
      </c>
      <c r="CV441">
        <f t="shared" si="302"/>
        <v>0</v>
      </c>
      <c r="CW441">
        <f t="shared" si="303"/>
        <v>0</v>
      </c>
      <c r="CX441">
        <f t="shared" si="304"/>
        <v>0</v>
      </c>
      <c r="CY441">
        <f t="shared" si="305"/>
        <v>0</v>
      </c>
      <c r="CZ441">
        <f t="shared" si="306"/>
        <v>0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1010</v>
      </c>
      <c r="DV441" t="s">
        <v>171</v>
      </c>
      <c r="DW441" t="s">
        <v>171</v>
      </c>
      <c r="DX441">
        <v>1</v>
      </c>
      <c r="DZ441" t="s">
        <v>3</v>
      </c>
      <c r="EA441" t="s">
        <v>3</v>
      </c>
      <c r="EB441" t="s">
        <v>3</v>
      </c>
      <c r="EC441" t="s">
        <v>3</v>
      </c>
      <c r="EE441">
        <v>75371444</v>
      </c>
      <c r="EF441">
        <v>1</v>
      </c>
      <c r="EG441" t="s">
        <v>22</v>
      </c>
      <c r="EH441">
        <v>0</v>
      </c>
      <c r="EI441" t="s">
        <v>3</v>
      </c>
      <c r="EJ441">
        <v>4</v>
      </c>
      <c r="EK441">
        <v>0</v>
      </c>
      <c r="EL441" t="s">
        <v>23</v>
      </c>
      <c r="EM441" t="s">
        <v>24</v>
      </c>
      <c r="EO441" t="s">
        <v>3</v>
      </c>
      <c r="EQ441">
        <v>0</v>
      </c>
      <c r="ER441">
        <v>5025.26</v>
      </c>
      <c r="ES441">
        <v>5025.26</v>
      </c>
      <c r="ET441">
        <v>0</v>
      </c>
      <c r="EU441">
        <v>0</v>
      </c>
      <c r="EV441">
        <v>0</v>
      </c>
      <c r="EW441">
        <v>0</v>
      </c>
      <c r="EX441">
        <v>0</v>
      </c>
      <c r="FQ441">
        <v>0</v>
      </c>
      <c r="FR441">
        <f t="shared" si="307"/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-125063506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 t="shared" si="308"/>
        <v>0</v>
      </c>
      <c r="GM441">
        <f t="shared" si="309"/>
        <v>5025.26</v>
      </c>
      <c r="GN441">
        <f t="shared" si="310"/>
        <v>0</v>
      </c>
      <c r="GO441">
        <f t="shared" si="311"/>
        <v>0</v>
      </c>
      <c r="GP441">
        <f t="shared" si="312"/>
        <v>5025.26</v>
      </c>
      <c r="GR441">
        <v>0</v>
      </c>
      <c r="GS441">
        <v>3</v>
      </c>
      <c r="GT441">
        <v>0</v>
      </c>
      <c r="GU441" t="s">
        <v>3</v>
      </c>
      <c r="GV441">
        <f t="shared" si="313"/>
        <v>0</v>
      </c>
      <c r="GW441">
        <v>1</v>
      </c>
      <c r="GX441">
        <f t="shared" si="314"/>
        <v>0</v>
      </c>
      <c r="HA441">
        <v>0</v>
      </c>
      <c r="HB441">
        <v>0</v>
      </c>
      <c r="HC441">
        <f t="shared" si="315"/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2" spans="1:245" x14ac:dyDescent="0.2">
      <c r="A442">
        <v>18</v>
      </c>
      <c r="B442">
        <v>1</v>
      </c>
      <c r="C442">
        <v>176</v>
      </c>
      <c r="E442" t="s">
        <v>279</v>
      </c>
      <c r="F442" t="s">
        <v>174</v>
      </c>
      <c r="G442" t="s">
        <v>175</v>
      </c>
      <c r="H442" t="s">
        <v>171</v>
      </c>
      <c r="I442">
        <f>I440*J442</f>
        <v>1</v>
      </c>
      <c r="J442">
        <v>1</v>
      </c>
      <c r="K442">
        <v>1</v>
      </c>
      <c r="O442">
        <f t="shared" si="283"/>
        <v>37.5</v>
      </c>
      <c r="P442">
        <f t="shared" si="284"/>
        <v>37.5</v>
      </c>
      <c r="Q442">
        <f t="shared" si="285"/>
        <v>0</v>
      </c>
      <c r="R442">
        <f t="shared" si="286"/>
        <v>0</v>
      </c>
      <c r="S442">
        <f t="shared" si="287"/>
        <v>0</v>
      </c>
      <c r="T442">
        <f t="shared" si="288"/>
        <v>0</v>
      </c>
      <c r="U442">
        <f t="shared" si="289"/>
        <v>0</v>
      </c>
      <c r="V442">
        <f t="shared" si="290"/>
        <v>0</v>
      </c>
      <c r="W442">
        <f t="shared" si="291"/>
        <v>0</v>
      </c>
      <c r="X442">
        <f t="shared" si="292"/>
        <v>0</v>
      </c>
      <c r="Y442">
        <f t="shared" si="293"/>
        <v>0</v>
      </c>
      <c r="AA442">
        <v>75700856</v>
      </c>
      <c r="AB442">
        <f t="shared" si="294"/>
        <v>37.5</v>
      </c>
      <c r="AC442">
        <f t="shared" si="316"/>
        <v>37.5</v>
      </c>
      <c r="AD442">
        <f t="shared" si="317"/>
        <v>0</v>
      </c>
      <c r="AE442">
        <f t="shared" si="318"/>
        <v>0</v>
      </c>
      <c r="AF442">
        <f t="shared" si="319"/>
        <v>0</v>
      </c>
      <c r="AG442">
        <f t="shared" si="295"/>
        <v>0</v>
      </c>
      <c r="AH442">
        <f t="shared" si="320"/>
        <v>0</v>
      </c>
      <c r="AI442">
        <f t="shared" si="321"/>
        <v>0</v>
      </c>
      <c r="AJ442">
        <f t="shared" si="296"/>
        <v>0</v>
      </c>
      <c r="AK442">
        <v>37.5</v>
      </c>
      <c r="AL442">
        <v>37.5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70</v>
      </c>
      <c r="AU442">
        <v>10</v>
      </c>
      <c r="AV442">
        <v>1</v>
      </c>
      <c r="AW442">
        <v>1</v>
      </c>
      <c r="AZ442">
        <v>1</v>
      </c>
      <c r="BA442">
        <v>1</v>
      </c>
      <c r="BB442">
        <v>1</v>
      </c>
      <c r="BC442">
        <v>1</v>
      </c>
      <c r="BD442" t="s">
        <v>3</v>
      </c>
      <c r="BE442" t="s">
        <v>3</v>
      </c>
      <c r="BF442" t="s">
        <v>3</v>
      </c>
      <c r="BG442" t="s">
        <v>3</v>
      </c>
      <c r="BH442">
        <v>3</v>
      </c>
      <c r="BI442">
        <v>4</v>
      </c>
      <c r="BJ442" t="s">
        <v>3</v>
      </c>
      <c r="BM442">
        <v>0</v>
      </c>
      <c r="BN442">
        <v>0</v>
      </c>
      <c r="BO442" t="s">
        <v>3</v>
      </c>
      <c r="BP442">
        <v>0</v>
      </c>
      <c r="BQ442">
        <v>1</v>
      </c>
      <c r="BR442">
        <v>0</v>
      </c>
      <c r="BS442">
        <v>1</v>
      </c>
      <c r="BT442">
        <v>1</v>
      </c>
      <c r="BU442">
        <v>1</v>
      </c>
      <c r="BV442">
        <v>1</v>
      </c>
      <c r="BW442">
        <v>1</v>
      </c>
      <c r="BX442">
        <v>1</v>
      </c>
      <c r="BY442" t="s">
        <v>3</v>
      </c>
      <c r="BZ442">
        <v>70</v>
      </c>
      <c r="CA442">
        <v>10</v>
      </c>
      <c r="CB442" t="s">
        <v>3</v>
      </c>
      <c r="CE442">
        <v>0</v>
      </c>
      <c r="CF442">
        <v>0</v>
      </c>
      <c r="CG442">
        <v>0</v>
      </c>
      <c r="CM442">
        <v>0</v>
      </c>
      <c r="CN442" t="s">
        <v>3</v>
      </c>
      <c r="CO442">
        <v>0</v>
      </c>
      <c r="CP442">
        <f t="shared" si="297"/>
        <v>37.5</v>
      </c>
      <c r="CQ442">
        <f t="shared" si="298"/>
        <v>37.5</v>
      </c>
      <c r="CR442">
        <f t="shared" si="322"/>
        <v>0</v>
      </c>
      <c r="CS442">
        <f t="shared" si="299"/>
        <v>0</v>
      </c>
      <c r="CT442">
        <f t="shared" si="300"/>
        <v>0</v>
      </c>
      <c r="CU442">
        <f t="shared" si="301"/>
        <v>0</v>
      </c>
      <c r="CV442">
        <f t="shared" si="302"/>
        <v>0</v>
      </c>
      <c r="CW442">
        <f t="shared" si="303"/>
        <v>0</v>
      </c>
      <c r="CX442">
        <f t="shared" si="304"/>
        <v>0</v>
      </c>
      <c r="CY442">
        <f t="shared" si="305"/>
        <v>0</v>
      </c>
      <c r="CZ442">
        <f t="shared" si="306"/>
        <v>0</v>
      </c>
      <c r="DC442" t="s">
        <v>3</v>
      </c>
      <c r="DD442" t="s">
        <v>3</v>
      </c>
      <c r="DE442" t="s">
        <v>3</v>
      </c>
      <c r="DF442" t="s">
        <v>3</v>
      </c>
      <c r="DG442" t="s">
        <v>3</v>
      </c>
      <c r="DH442" t="s">
        <v>3</v>
      </c>
      <c r="DI442" t="s">
        <v>3</v>
      </c>
      <c r="DJ442" t="s">
        <v>3</v>
      </c>
      <c r="DK442" t="s">
        <v>3</v>
      </c>
      <c r="DL442" t="s">
        <v>3</v>
      </c>
      <c r="DM442" t="s">
        <v>3</v>
      </c>
      <c r="DN442">
        <v>0</v>
      </c>
      <c r="DO442">
        <v>0</v>
      </c>
      <c r="DP442">
        <v>1</v>
      </c>
      <c r="DQ442">
        <v>1</v>
      </c>
      <c r="DU442">
        <v>1010</v>
      </c>
      <c r="DV442" t="s">
        <v>171</v>
      </c>
      <c r="DW442" t="s">
        <v>171</v>
      </c>
      <c r="DX442">
        <v>1</v>
      </c>
      <c r="DZ442" t="s">
        <v>3</v>
      </c>
      <c r="EA442" t="s">
        <v>3</v>
      </c>
      <c r="EB442" t="s">
        <v>3</v>
      </c>
      <c r="EC442" t="s">
        <v>3</v>
      </c>
      <c r="EE442">
        <v>75371444</v>
      </c>
      <c r="EF442">
        <v>1</v>
      </c>
      <c r="EG442" t="s">
        <v>22</v>
      </c>
      <c r="EH442">
        <v>0</v>
      </c>
      <c r="EI442" t="s">
        <v>3</v>
      </c>
      <c r="EJ442">
        <v>4</v>
      </c>
      <c r="EK442">
        <v>0</v>
      </c>
      <c r="EL442" t="s">
        <v>23</v>
      </c>
      <c r="EM442" t="s">
        <v>24</v>
      </c>
      <c r="EO442" t="s">
        <v>3</v>
      </c>
      <c r="EQ442">
        <v>0</v>
      </c>
      <c r="ER442">
        <v>37.5</v>
      </c>
      <c r="ES442">
        <v>37.5</v>
      </c>
      <c r="ET442">
        <v>0</v>
      </c>
      <c r="EU442">
        <v>0</v>
      </c>
      <c r="EV442">
        <v>0</v>
      </c>
      <c r="EW442">
        <v>0</v>
      </c>
      <c r="EX442">
        <v>0</v>
      </c>
      <c r="EZ442">
        <v>5</v>
      </c>
      <c r="FC442">
        <v>1</v>
      </c>
      <c r="FD442">
        <v>18</v>
      </c>
      <c r="FF442">
        <v>45</v>
      </c>
      <c r="FQ442">
        <v>0</v>
      </c>
      <c r="FR442">
        <f t="shared" si="307"/>
        <v>0</v>
      </c>
      <c r="FS442">
        <v>0</v>
      </c>
      <c r="FX442">
        <v>70</v>
      </c>
      <c r="FY442">
        <v>10</v>
      </c>
      <c r="GA442" t="s">
        <v>176</v>
      </c>
      <c r="GD442">
        <v>0</v>
      </c>
      <c r="GF442">
        <v>1407851726</v>
      </c>
      <c r="GG442">
        <v>2</v>
      </c>
      <c r="GH442">
        <v>3</v>
      </c>
      <c r="GI442">
        <v>-2</v>
      </c>
      <c r="GJ442">
        <v>0</v>
      </c>
      <c r="GK442">
        <f>ROUND(R442*(R12)/100,2)</f>
        <v>0</v>
      </c>
      <c r="GL442">
        <f t="shared" si="308"/>
        <v>0</v>
      </c>
      <c r="GM442">
        <f t="shared" si="309"/>
        <v>37.5</v>
      </c>
      <c r="GN442">
        <f t="shared" si="310"/>
        <v>0</v>
      </c>
      <c r="GO442">
        <f t="shared" si="311"/>
        <v>0</v>
      </c>
      <c r="GP442">
        <f t="shared" si="312"/>
        <v>37.5</v>
      </c>
      <c r="GR442">
        <v>1</v>
      </c>
      <c r="GS442">
        <v>1</v>
      </c>
      <c r="GT442">
        <v>0</v>
      </c>
      <c r="GU442" t="s">
        <v>3</v>
      </c>
      <c r="GV442">
        <f t="shared" si="313"/>
        <v>0</v>
      </c>
      <c r="GW442">
        <v>1</v>
      </c>
      <c r="GX442">
        <f t="shared" si="314"/>
        <v>0</v>
      </c>
      <c r="HA442">
        <v>0</v>
      </c>
      <c r="HB442">
        <v>0</v>
      </c>
      <c r="HC442">
        <f t="shared" si="315"/>
        <v>0</v>
      </c>
      <c r="HE442" t="s">
        <v>51</v>
      </c>
      <c r="HF442" t="s">
        <v>51</v>
      </c>
      <c r="HM442" t="s">
        <v>3</v>
      </c>
      <c r="HN442" t="s">
        <v>3</v>
      </c>
      <c r="HO442" t="s">
        <v>3</v>
      </c>
      <c r="HP442" t="s">
        <v>3</v>
      </c>
      <c r="HQ442" t="s">
        <v>3</v>
      </c>
      <c r="IK442">
        <v>0</v>
      </c>
    </row>
    <row r="443" spans="1:245" x14ac:dyDescent="0.2">
      <c r="A443">
        <v>18</v>
      </c>
      <c r="B443">
        <v>1</v>
      </c>
      <c r="C443">
        <v>175</v>
      </c>
      <c r="E443" t="s">
        <v>280</v>
      </c>
      <c r="F443" t="s">
        <v>169</v>
      </c>
      <c r="G443" t="s">
        <v>170</v>
      </c>
      <c r="H443" t="s">
        <v>171</v>
      </c>
      <c r="I443">
        <f>I440*J443</f>
        <v>-1</v>
      </c>
      <c r="J443">
        <v>-1</v>
      </c>
      <c r="K443">
        <v>-1</v>
      </c>
      <c r="O443">
        <f t="shared" si="283"/>
        <v>-5025.26</v>
      </c>
      <c r="P443">
        <f t="shared" si="284"/>
        <v>-5025.26</v>
      </c>
      <c r="Q443">
        <f t="shared" si="285"/>
        <v>0</v>
      </c>
      <c r="R443">
        <f t="shared" si="286"/>
        <v>0</v>
      </c>
      <c r="S443">
        <f t="shared" si="287"/>
        <v>0</v>
      </c>
      <c r="T443">
        <f t="shared" si="288"/>
        <v>0</v>
      </c>
      <c r="U443">
        <f t="shared" si="289"/>
        <v>0</v>
      </c>
      <c r="V443">
        <f t="shared" si="290"/>
        <v>0</v>
      </c>
      <c r="W443">
        <f t="shared" si="291"/>
        <v>0</v>
      </c>
      <c r="X443">
        <f t="shared" si="292"/>
        <v>0</v>
      </c>
      <c r="Y443">
        <f t="shared" si="293"/>
        <v>0</v>
      </c>
      <c r="AA443">
        <v>75700856</v>
      </c>
      <c r="AB443">
        <f t="shared" si="294"/>
        <v>5025.26</v>
      </c>
      <c r="AC443">
        <f t="shared" si="316"/>
        <v>5025.26</v>
      </c>
      <c r="AD443">
        <f t="shared" si="317"/>
        <v>0</v>
      </c>
      <c r="AE443">
        <f t="shared" si="318"/>
        <v>0</v>
      </c>
      <c r="AF443">
        <f t="shared" si="319"/>
        <v>0</v>
      </c>
      <c r="AG443">
        <f t="shared" si="295"/>
        <v>0</v>
      </c>
      <c r="AH443">
        <f t="shared" si="320"/>
        <v>0</v>
      </c>
      <c r="AI443">
        <f t="shared" si="321"/>
        <v>0</v>
      </c>
      <c r="AJ443">
        <f t="shared" si="296"/>
        <v>0</v>
      </c>
      <c r="AK443">
        <v>5025.26</v>
      </c>
      <c r="AL443">
        <v>5025.26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70</v>
      </c>
      <c r="AU443">
        <v>10</v>
      </c>
      <c r="AV443">
        <v>1</v>
      </c>
      <c r="AW443">
        <v>1</v>
      </c>
      <c r="AZ443">
        <v>1</v>
      </c>
      <c r="BA443">
        <v>1</v>
      </c>
      <c r="BB443">
        <v>1</v>
      </c>
      <c r="BC443">
        <v>1</v>
      </c>
      <c r="BD443" t="s">
        <v>3</v>
      </c>
      <c r="BE443" t="s">
        <v>3</v>
      </c>
      <c r="BF443" t="s">
        <v>3</v>
      </c>
      <c r="BG443" t="s">
        <v>3</v>
      </c>
      <c r="BH443">
        <v>3</v>
      </c>
      <c r="BI443">
        <v>4</v>
      </c>
      <c r="BJ443" t="s">
        <v>172</v>
      </c>
      <c r="BM443">
        <v>0</v>
      </c>
      <c r="BN443">
        <v>75371441</v>
      </c>
      <c r="BO443" t="s">
        <v>3</v>
      </c>
      <c r="BP443">
        <v>0</v>
      </c>
      <c r="BQ443">
        <v>1</v>
      </c>
      <c r="BR443">
        <v>1</v>
      </c>
      <c r="BS443">
        <v>1</v>
      </c>
      <c r="BT443">
        <v>1</v>
      </c>
      <c r="BU443">
        <v>1</v>
      </c>
      <c r="BV443">
        <v>1</v>
      </c>
      <c r="BW443">
        <v>1</v>
      </c>
      <c r="BX443">
        <v>1</v>
      </c>
      <c r="BY443" t="s">
        <v>3</v>
      </c>
      <c r="BZ443">
        <v>70</v>
      </c>
      <c r="CA443">
        <v>10</v>
      </c>
      <c r="CB443" t="s">
        <v>3</v>
      </c>
      <c r="CE443">
        <v>0</v>
      </c>
      <c r="CF443">
        <v>0</v>
      </c>
      <c r="CG443">
        <v>0</v>
      </c>
      <c r="CM443">
        <v>0</v>
      </c>
      <c r="CN443" t="s">
        <v>3</v>
      </c>
      <c r="CO443">
        <v>0</v>
      </c>
      <c r="CP443">
        <f t="shared" si="297"/>
        <v>-5025.26</v>
      </c>
      <c r="CQ443">
        <f t="shared" si="298"/>
        <v>5025.26</v>
      </c>
      <c r="CR443">
        <f t="shared" si="322"/>
        <v>0</v>
      </c>
      <c r="CS443">
        <f t="shared" si="299"/>
        <v>0</v>
      </c>
      <c r="CT443">
        <f t="shared" si="300"/>
        <v>0</v>
      </c>
      <c r="CU443">
        <f t="shared" si="301"/>
        <v>0</v>
      </c>
      <c r="CV443">
        <f t="shared" si="302"/>
        <v>0</v>
      </c>
      <c r="CW443">
        <f t="shared" si="303"/>
        <v>0</v>
      </c>
      <c r="CX443">
        <f t="shared" si="304"/>
        <v>0</v>
      </c>
      <c r="CY443">
        <f t="shared" si="305"/>
        <v>0</v>
      </c>
      <c r="CZ443">
        <f t="shared" si="306"/>
        <v>0</v>
      </c>
      <c r="DC443" t="s">
        <v>3</v>
      </c>
      <c r="DD443" t="s">
        <v>3</v>
      </c>
      <c r="DE443" t="s">
        <v>3</v>
      </c>
      <c r="DF443" t="s">
        <v>3</v>
      </c>
      <c r="DG443" t="s">
        <v>3</v>
      </c>
      <c r="DH443" t="s">
        <v>3</v>
      </c>
      <c r="DI443" t="s">
        <v>3</v>
      </c>
      <c r="DJ443" t="s">
        <v>3</v>
      </c>
      <c r="DK443" t="s">
        <v>3</v>
      </c>
      <c r="DL443" t="s">
        <v>3</v>
      </c>
      <c r="DM443" t="s">
        <v>3</v>
      </c>
      <c r="DN443">
        <v>0</v>
      </c>
      <c r="DO443">
        <v>0</v>
      </c>
      <c r="DP443">
        <v>1</v>
      </c>
      <c r="DQ443">
        <v>1</v>
      </c>
      <c r="DU443">
        <v>1010</v>
      </c>
      <c r="DV443" t="s">
        <v>171</v>
      </c>
      <c r="DW443" t="s">
        <v>171</v>
      </c>
      <c r="DX443">
        <v>1</v>
      </c>
      <c r="DZ443" t="s">
        <v>3</v>
      </c>
      <c r="EA443" t="s">
        <v>3</v>
      </c>
      <c r="EB443" t="s">
        <v>3</v>
      </c>
      <c r="EC443" t="s">
        <v>3</v>
      </c>
      <c r="EE443">
        <v>75371444</v>
      </c>
      <c r="EF443">
        <v>1</v>
      </c>
      <c r="EG443" t="s">
        <v>22</v>
      </c>
      <c r="EH443">
        <v>0</v>
      </c>
      <c r="EI443" t="s">
        <v>3</v>
      </c>
      <c r="EJ443">
        <v>4</v>
      </c>
      <c r="EK443">
        <v>0</v>
      </c>
      <c r="EL443" t="s">
        <v>23</v>
      </c>
      <c r="EM443" t="s">
        <v>24</v>
      </c>
      <c r="EO443" t="s">
        <v>3</v>
      </c>
      <c r="EQ443">
        <v>32768</v>
      </c>
      <c r="ER443">
        <v>5025.26</v>
      </c>
      <c r="ES443">
        <v>5025.26</v>
      </c>
      <c r="ET443">
        <v>0</v>
      </c>
      <c r="EU443">
        <v>0</v>
      </c>
      <c r="EV443">
        <v>0</v>
      </c>
      <c r="EW443">
        <v>0</v>
      </c>
      <c r="EX443">
        <v>0</v>
      </c>
      <c r="FQ443">
        <v>0</v>
      </c>
      <c r="FR443">
        <f t="shared" si="307"/>
        <v>0</v>
      </c>
      <c r="FS443">
        <v>0</v>
      </c>
      <c r="FX443">
        <v>70</v>
      </c>
      <c r="FY443">
        <v>10</v>
      </c>
      <c r="GA443" t="s">
        <v>3</v>
      </c>
      <c r="GD443">
        <v>0</v>
      </c>
      <c r="GF443">
        <v>-125063506</v>
      </c>
      <c r="GG443">
        <v>2</v>
      </c>
      <c r="GH443">
        <v>1</v>
      </c>
      <c r="GI443">
        <v>-2</v>
      </c>
      <c r="GJ443">
        <v>0</v>
      </c>
      <c r="GK443">
        <f>ROUND(R443*(R12)/100,2)</f>
        <v>0</v>
      </c>
      <c r="GL443">
        <f t="shared" si="308"/>
        <v>0</v>
      </c>
      <c r="GM443">
        <f t="shared" si="309"/>
        <v>-5025.26</v>
      </c>
      <c r="GN443">
        <f t="shared" si="310"/>
        <v>0</v>
      </c>
      <c r="GO443">
        <f t="shared" si="311"/>
        <v>0</v>
      </c>
      <c r="GP443">
        <f t="shared" si="312"/>
        <v>-5025.26</v>
      </c>
      <c r="GR443">
        <v>0</v>
      </c>
      <c r="GS443">
        <v>3</v>
      </c>
      <c r="GT443">
        <v>0</v>
      </c>
      <c r="GU443" t="s">
        <v>3</v>
      </c>
      <c r="GV443">
        <f t="shared" si="313"/>
        <v>0</v>
      </c>
      <c r="GW443">
        <v>1</v>
      </c>
      <c r="GX443">
        <f t="shared" si="314"/>
        <v>0</v>
      </c>
      <c r="HA443">
        <v>0</v>
      </c>
      <c r="HB443">
        <v>0</v>
      </c>
      <c r="HC443">
        <f t="shared" si="315"/>
        <v>0</v>
      </c>
      <c r="HE443" t="s">
        <v>3</v>
      </c>
      <c r="HF443" t="s">
        <v>3</v>
      </c>
      <c r="HM443" t="s">
        <v>3</v>
      </c>
      <c r="HN443" t="s">
        <v>3</v>
      </c>
      <c r="HO443" t="s">
        <v>3</v>
      </c>
      <c r="HP443" t="s">
        <v>3</v>
      </c>
      <c r="HQ443" t="s">
        <v>3</v>
      </c>
      <c r="IK443">
        <v>0</v>
      </c>
    </row>
    <row r="444" spans="1:245" x14ac:dyDescent="0.2">
      <c r="A444">
        <v>18</v>
      </c>
      <c r="B444">
        <v>1</v>
      </c>
      <c r="C444">
        <v>171</v>
      </c>
      <c r="E444" t="s">
        <v>281</v>
      </c>
      <c r="F444" t="s">
        <v>179</v>
      </c>
      <c r="G444" t="s">
        <v>180</v>
      </c>
      <c r="H444" t="s">
        <v>171</v>
      </c>
      <c r="I444">
        <f>I440*J444</f>
        <v>-1</v>
      </c>
      <c r="J444">
        <v>-1</v>
      </c>
      <c r="K444">
        <v>-1</v>
      </c>
      <c r="O444">
        <f t="shared" si="283"/>
        <v>-1624.55</v>
      </c>
      <c r="P444">
        <f t="shared" si="284"/>
        <v>-1624.55</v>
      </c>
      <c r="Q444">
        <f t="shared" si="285"/>
        <v>0</v>
      </c>
      <c r="R444">
        <f t="shared" si="286"/>
        <v>0</v>
      </c>
      <c r="S444">
        <f t="shared" si="287"/>
        <v>0</v>
      </c>
      <c r="T444">
        <f t="shared" si="288"/>
        <v>0</v>
      </c>
      <c r="U444">
        <f t="shared" si="289"/>
        <v>0</v>
      </c>
      <c r="V444">
        <f t="shared" si="290"/>
        <v>0</v>
      </c>
      <c r="W444">
        <f t="shared" si="291"/>
        <v>0</v>
      </c>
      <c r="X444">
        <f t="shared" si="292"/>
        <v>0</v>
      </c>
      <c r="Y444">
        <f t="shared" si="293"/>
        <v>0</v>
      </c>
      <c r="AA444">
        <v>75700856</v>
      </c>
      <c r="AB444">
        <f t="shared" si="294"/>
        <v>1624.55</v>
      </c>
      <c r="AC444">
        <f t="shared" si="316"/>
        <v>1624.55</v>
      </c>
      <c r="AD444">
        <f t="shared" si="317"/>
        <v>0</v>
      </c>
      <c r="AE444">
        <f t="shared" si="318"/>
        <v>0</v>
      </c>
      <c r="AF444">
        <f t="shared" si="319"/>
        <v>0</v>
      </c>
      <c r="AG444">
        <f t="shared" si="295"/>
        <v>0</v>
      </c>
      <c r="AH444">
        <f t="shared" si="320"/>
        <v>0</v>
      </c>
      <c r="AI444">
        <f t="shared" si="321"/>
        <v>0</v>
      </c>
      <c r="AJ444">
        <f t="shared" si="296"/>
        <v>0</v>
      </c>
      <c r="AK444">
        <v>1624.55</v>
      </c>
      <c r="AL444">
        <v>1624.55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70</v>
      </c>
      <c r="AU444">
        <v>10</v>
      </c>
      <c r="AV444">
        <v>1</v>
      </c>
      <c r="AW444">
        <v>1</v>
      </c>
      <c r="AZ444">
        <v>1</v>
      </c>
      <c r="BA444">
        <v>1</v>
      </c>
      <c r="BB444">
        <v>1</v>
      </c>
      <c r="BC444">
        <v>1</v>
      </c>
      <c r="BD444" t="s">
        <v>3</v>
      </c>
      <c r="BE444" t="s">
        <v>3</v>
      </c>
      <c r="BF444" t="s">
        <v>3</v>
      </c>
      <c r="BG444" t="s">
        <v>3</v>
      </c>
      <c r="BH444">
        <v>3</v>
      </c>
      <c r="BI444">
        <v>4</v>
      </c>
      <c r="BJ444" t="s">
        <v>181</v>
      </c>
      <c r="BM444">
        <v>0</v>
      </c>
      <c r="BN444">
        <v>75371441</v>
      </c>
      <c r="BO444" t="s">
        <v>3</v>
      </c>
      <c r="BP444">
        <v>0</v>
      </c>
      <c r="BQ444">
        <v>1</v>
      </c>
      <c r="BR444">
        <v>1</v>
      </c>
      <c r="BS444">
        <v>1</v>
      </c>
      <c r="BT444">
        <v>1</v>
      </c>
      <c r="BU444">
        <v>1</v>
      </c>
      <c r="BV444">
        <v>1</v>
      </c>
      <c r="BW444">
        <v>1</v>
      </c>
      <c r="BX444">
        <v>1</v>
      </c>
      <c r="BY444" t="s">
        <v>3</v>
      </c>
      <c r="BZ444">
        <v>70</v>
      </c>
      <c r="CA444">
        <v>10</v>
      </c>
      <c r="CB444" t="s">
        <v>3</v>
      </c>
      <c r="CE444">
        <v>0</v>
      </c>
      <c r="CF444">
        <v>0</v>
      </c>
      <c r="CG444">
        <v>0</v>
      </c>
      <c r="CM444">
        <v>0</v>
      </c>
      <c r="CN444" t="s">
        <v>3</v>
      </c>
      <c r="CO444">
        <v>0</v>
      </c>
      <c r="CP444">
        <f t="shared" si="297"/>
        <v>-1624.55</v>
      </c>
      <c r="CQ444">
        <f t="shared" si="298"/>
        <v>1624.55</v>
      </c>
      <c r="CR444">
        <f t="shared" si="322"/>
        <v>0</v>
      </c>
      <c r="CS444">
        <f t="shared" si="299"/>
        <v>0</v>
      </c>
      <c r="CT444">
        <f t="shared" si="300"/>
        <v>0</v>
      </c>
      <c r="CU444">
        <f t="shared" si="301"/>
        <v>0</v>
      </c>
      <c r="CV444">
        <f t="shared" si="302"/>
        <v>0</v>
      </c>
      <c r="CW444">
        <f t="shared" si="303"/>
        <v>0</v>
      </c>
      <c r="CX444">
        <f t="shared" si="304"/>
        <v>0</v>
      </c>
      <c r="CY444">
        <f t="shared" si="305"/>
        <v>0</v>
      </c>
      <c r="CZ444">
        <f t="shared" si="306"/>
        <v>0</v>
      </c>
      <c r="DC444" t="s">
        <v>3</v>
      </c>
      <c r="DD444" t="s">
        <v>3</v>
      </c>
      <c r="DE444" t="s">
        <v>3</v>
      </c>
      <c r="DF444" t="s">
        <v>3</v>
      </c>
      <c r="DG444" t="s">
        <v>3</v>
      </c>
      <c r="DH444" t="s">
        <v>3</v>
      </c>
      <c r="DI444" t="s">
        <v>3</v>
      </c>
      <c r="DJ444" t="s">
        <v>3</v>
      </c>
      <c r="DK444" t="s">
        <v>3</v>
      </c>
      <c r="DL444" t="s">
        <v>3</v>
      </c>
      <c r="DM444" t="s">
        <v>3</v>
      </c>
      <c r="DN444">
        <v>0</v>
      </c>
      <c r="DO444">
        <v>0</v>
      </c>
      <c r="DP444">
        <v>1</v>
      </c>
      <c r="DQ444">
        <v>1</v>
      </c>
      <c r="DU444">
        <v>1010</v>
      </c>
      <c r="DV444" t="s">
        <v>171</v>
      </c>
      <c r="DW444" t="s">
        <v>171</v>
      </c>
      <c r="DX444">
        <v>1</v>
      </c>
      <c r="DZ444" t="s">
        <v>3</v>
      </c>
      <c r="EA444" t="s">
        <v>3</v>
      </c>
      <c r="EB444" t="s">
        <v>3</v>
      </c>
      <c r="EC444" t="s">
        <v>3</v>
      </c>
      <c r="EE444">
        <v>75371444</v>
      </c>
      <c r="EF444">
        <v>1</v>
      </c>
      <c r="EG444" t="s">
        <v>22</v>
      </c>
      <c r="EH444">
        <v>0</v>
      </c>
      <c r="EI444" t="s">
        <v>3</v>
      </c>
      <c r="EJ444">
        <v>4</v>
      </c>
      <c r="EK444">
        <v>0</v>
      </c>
      <c r="EL444" t="s">
        <v>23</v>
      </c>
      <c r="EM444" t="s">
        <v>24</v>
      </c>
      <c r="EO444" t="s">
        <v>3</v>
      </c>
      <c r="EQ444">
        <v>32768</v>
      </c>
      <c r="ER444">
        <v>1624.55</v>
      </c>
      <c r="ES444">
        <v>1624.55</v>
      </c>
      <c r="ET444">
        <v>0</v>
      </c>
      <c r="EU444">
        <v>0</v>
      </c>
      <c r="EV444">
        <v>0</v>
      </c>
      <c r="EW444">
        <v>0</v>
      </c>
      <c r="EX444">
        <v>0</v>
      </c>
      <c r="FQ444">
        <v>0</v>
      </c>
      <c r="FR444">
        <f t="shared" si="307"/>
        <v>0</v>
      </c>
      <c r="FS444">
        <v>0</v>
      </c>
      <c r="FX444">
        <v>70</v>
      </c>
      <c r="FY444">
        <v>10</v>
      </c>
      <c r="GA444" t="s">
        <v>3</v>
      </c>
      <c r="GD444">
        <v>0</v>
      </c>
      <c r="GF444">
        <v>-2016625611</v>
      </c>
      <c r="GG444">
        <v>2</v>
      </c>
      <c r="GH444">
        <v>1</v>
      </c>
      <c r="GI444">
        <v>-2</v>
      </c>
      <c r="GJ444">
        <v>0</v>
      </c>
      <c r="GK444">
        <f>ROUND(R444*(R12)/100,2)</f>
        <v>0</v>
      </c>
      <c r="GL444">
        <f t="shared" si="308"/>
        <v>0</v>
      </c>
      <c r="GM444">
        <f t="shared" si="309"/>
        <v>-1624.55</v>
      </c>
      <c r="GN444">
        <f t="shared" si="310"/>
        <v>0</v>
      </c>
      <c r="GO444">
        <f t="shared" si="311"/>
        <v>0</v>
      </c>
      <c r="GP444">
        <f t="shared" si="312"/>
        <v>-1624.55</v>
      </c>
      <c r="GR444">
        <v>0</v>
      </c>
      <c r="GS444">
        <v>3</v>
      </c>
      <c r="GT444">
        <v>0</v>
      </c>
      <c r="GU444" t="s">
        <v>3</v>
      </c>
      <c r="GV444">
        <f t="shared" si="313"/>
        <v>0</v>
      </c>
      <c r="GW444">
        <v>1</v>
      </c>
      <c r="GX444">
        <f t="shared" si="314"/>
        <v>0</v>
      </c>
      <c r="HA444">
        <v>0</v>
      </c>
      <c r="HB444">
        <v>0</v>
      </c>
      <c r="HC444">
        <f t="shared" si="315"/>
        <v>0</v>
      </c>
      <c r="HE444" t="s">
        <v>3</v>
      </c>
      <c r="HF444" t="s">
        <v>3</v>
      </c>
      <c r="HM444" t="s">
        <v>3</v>
      </c>
      <c r="HN444" t="s">
        <v>3</v>
      </c>
      <c r="HO444" t="s">
        <v>3</v>
      </c>
      <c r="HP444" t="s">
        <v>3</v>
      </c>
      <c r="HQ444" t="s">
        <v>3</v>
      </c>
      <c r="IK444">
        <v>0</v>
      </c>
    </row>
    <row r="445" spans="1:245" x14ac:dyDescent="0.2">
      <c r="A445">
        <v>17</v>
      </c>
      <c r="B445">
        <v>1</v>
      </c>
      <c r="C445">
        <f>ROW(SmtRes!A181)</f>
        <v>181</v>
      </c>
      <c r="D445">
        <f>ROW(EtalonRes!A167)</f>
        <v>167</v>
      </c>
      <c r="E445" t="s">
        <v>282</v>
      </c>
      <c r="F445" t="s">
        <v>156</v>
      </c>
      <c r="G445" t="s">
        <v>183</v>
      </c>
      <c r="H445" t="s">
        <v>158</v>
      </c>
      <c r="I445">
        <f>ROUND(1/100,9)</f>
        <v>0.01</v>
      </c>
      <c r="J445">
        <v>0</v>
      </c>
      <c r="K445">
        <f>ROUND(1/100,9)</f>
        <v>0.01</v>
      </c>
      <c r="O445">
        <f t="shared" si="283"/>
        <v>464.49</v>
      </c>
      <c r="P445">
        <f t="shared" si="284"/>
        <v>150.63999999999999</v>
      </c>
      <c r="Q445">
        <f t="shared" si="285"/>
        <v>0</v>
      </c>
      <c r="R445">
        <f t="shared" si="286"/>
        <v>0</v>
      </c>
      <c r="S445">
        <f t="shared" si="287"/>
        <v>313.85000000000002</v>
      </c>
      <c r="T445">
        <f t="shared" si="288"/>
        <v>0</v>
      </c>
      <c r="U445">
        <f t="shared" si="289"/>
        <v>0.77859999999999996</v>
      </c>
      <c r="V445">
        <f t="shared" si="290"/>
        <v>0</v>
      </c>
      <c r="W445">
        <f t="shared" si="291"/>
        <v>0</v>
      </c>
      <c r="X445">
        <f t="shared" si="292"/>
        <v>219.7</v>
      </c>
      <c r="Y445">
        <f t="shared" si="293"/>
        <v>31.39</v>
      </c>
      <c r="AA445">
        <v>75700856</v>
      </c>
      <c r="AB445">
        <f t="shared" si="294"/>
        <v>46449.07</v>
      </c>
      <c r="AC445">
        <f t="shared" si="316"/>
        <v>15063.7</v>
      </c>
      <c r="AD445">
        <f t="shared" si="317"/>
        <v>0</v>
      </c>
      <c r="AE445">
        <f t="shared" si="318"/>
        <v>0</v>
      </c>
      <c r="AF445">
        <f t="shared" si="319"/>
        <v>31385.37</v>
      </c>
      <c r="AG445">
        <f t="shared" si="295"/>
        <v>0</v>
      </c>
      <c r="AH445">
        <f t="shared" si="320"/>
        <v>77.86</v>
      </c>
      <c r="AI445">
        <f t="shared" si="321"/>
        <v>0</v>
      </c>
      <c r="AJ445">
        <f t="shared" si="296"/>
        <v>0</v>
      </c>
      <c r="AK445">
        <v>46449.07</v>
      </c>
      <c r="AL445">
        <v>15063.7</v>
      </c>
      <c r="AM445">
        <v>0</v>
      </c>
      <c r="AN445">
        <v>0</v>
      </c>
      <c r="AO445">
        <v>31385.37</v>
      </c>
      <c r="AP445">
        <v>0</v>
      </c>
      <c r="AQ445">
        <v>77.86</v>
      </c>
      <c r="AR445">
        <v>0</v>
      </c>
      <c r="AS445">
        <v>0</v>
      </c>
      <c r="AT445">
        <v>70</v>
      </c>
      <c r="AU445">
        <v>10</v>
      </c>
      <c r="AV445">
        <v>1</v>
      </c>
      <c r="AW445">
        <v>1</v>
      </c>
      <c r="AZ445">
        <v>1</v>
      </c>
      <c r="BA445">
        <v>1</v>
      </c>
      <c r="BB445">
        <v>1</v>
      </c>
      <c r="BC445">
        <v>1</v>
      </c>
      <c r="BD445" t="s">
        <v>3</v>
      </c>
      <c r="BE445" t="s">
        <v>3</v>
      </c>
      <c r="BF445" t="s">
        <v>3</v>
      </c>
      <c r="BG445" t="s">
        <v>3</v>
      </c>
      <c r="BH445">
        <v>0</v>
      </c>
      <c r="BI445">
        <v>4</v>
      </c>
      <c r="BJ445" t="s">
        <v>159</v>
      </c>
      <c r="BM445">
        <v>0</v>
      </c>
      <c r="BN445">
        <v>75371441</v>
      </c>
      <c r="BO445" t="s">
        <v>3</v>
      </c>
      <c r="BP445">
        <v>0</v>
      </c>
      <c r="BQ445">
        <v>1</v>
      </c>
      <c r="BR445">
        <v>0</v>
      </c>
      <c r="BS445">
        <v>1</v>
      </c>
      <c r="BT445">
        <v>1</v>
      </c>
      <c r="BU445">
        <v>1</v>
      </c>
      <c r="BV445">
        <v>1</v>
      </c>
      <c r="BW445">
        <v>1</v>
      </c>
      <c r="BX445">
        <v>1</v>
      </c>
      <c r="BY445" t="s">
        <v>3</v>
      </c>
      <c r="BZ445">
        <v>70</v>
      </c>
      <c r="CA445">
        <v>10</v>
      </c>
      <c r="CB445" t="s">
        <v>3</v>
      </c>
      <c r="CE445">
        <v>0</v>
      </c>
      <c r="CF445">
        <v>0</v>
      </c>
      <c r="CG445">
        <v>0</v>
      </c>
      <c r="CM445">
        <v>0</v>
      </c>
      <c r="CN445" t="s">
        <v>3</v>
      </c>
      <c r="CO445">
        <v>0</v>
      </c>
      <c r="CP445">
        <f t="shared" si="297"/>
        <v>464.49</v>
      </c>
      <c r="CQ445">
        <f t="shared" si="298"/>
        <v>15063.7</v>
      </c>
      <c r="CR445">
        <f t="shared" si="322"/>
        <v>0</v>
      </c>
      <c r="CS445">
        <f t="shared" si="299"/>
        <v>0</v>
      </c>
      <c r="CT445">
        <f t="shared" si="300"/>
        <v>31385.37</v>
      </c>
      <c r="CU445">
        <f t="shared" si="301"/>
        <v>0</v>
      </c>
      <c r="CV445">
        <f t="shared" si="302"/>
        <v>77.86</v>
      </c>
      <c r="CW445">
        <f t="shared" si="303"/>
        <v>0</v>
      </c>
      <c r="CX445">
        <f t="shared" si="304"/>
        <v>0</v>
      </c>
      <c r="CY445">
        <f t="shared" si="305"/>
        <v>219.69499999999999</v>
      </c>
      <c r="CZ445">
        <f t="shared" si="306"/>
        <v>31.385000000000002</v>
      </c>
      <c r="DC445" t="s">
        <v>3</v>
      </c>
      <c r="DD445" t="s">
        <v>3</v>
      </c>
      <c r="DE445" t="s">
        <v>3</v>
      </c>
      <c r="DF445" t="s">
        <v>3</v>
      </c>
      <c r="DG445" t="s">
        <v>3</v>
      </c>
      <c r="DH445" t="s">
        <v>3</v>
      </c>
      <c r="DI445" t="s">
        <v>3</v>
      </c>
      <c r="DJ445" t="s">
        <v>3</v>
      </c>
      <c r="DK445" t="s">
        <v>3</v>
      </c>
      <c r="DL445" t="s">
        <v>3</v>
      </c>
      <c r="DM445" t="s">
        <v>3</v>
      </c>
      <c r="DN445">
        <v>0</v>
      </c>
      <c r="DO445">
        <v>0</v>
      </c>
      <c r="DP445">
        <v>1</v>
      </c>
      <c r="DQ445">
        <v>1</v>
      </c>
      <c r="DU445">
        <v>1010</v>
      </c>
      <c r="DV445" t="s">
        <v>158</v>
      </c>
      <c r="DW445" t="s">
        <v>158</v>
      </c>
      <c r="DX445">
        <v>100</v>
      </c>
      <c r="DZ445" t="s">
        <v>3</v>
      </c>
      <c r="EA445" t="s">
        <v>3</v>
      </c>
      <c r="EB445" t="s">
        <v>3</v>
      </c>
      <c r="EC445" t="s">
        <v>3</v>
      </c>
      <c r="EE445">
        <v>75371444</v>
      </c>
      <c r="EF445">
        <v>1</v>
      </c>
      <c r="EG445" t="s">
        <v>22</v>
      </c>
      <c r="EH445">
        <v>0</v>
      </c>
      <c r="EI445" t="s">
        <v>3</v>
      </c>
      <c r="EJ445">
        <v>4</v>
      </c>
      <c r="EK445">
        <v>0</v>
      </c>
      <c r="EL445" t="s">
        <v>23</v>
      </c>
      <c r="EM445" t="s">
        <v>24</v>
      </c>
      <c r="EO445" t="s">
        <v>3</v>
      </c>
      <c r="EQ445">
        <v>0</v>
      </c>
      <c r="ER445">
        <v>46449.07</v>
      </c>
      <c r="ES445">
        <v>15063.7</v>
      </c>
      <c r="ET445">
        <v>0</v>
      </c>
      <c r="EU445">
        <v>0</v>
      </c>
      <c r="EV445">
        <v>31385.37</v>
      </c>
      <c r="EW445">
        <v>77.86</v>
      </c>
      <c r="EX445">
        <v>0</v>
      </c>
      <c r="EY445">
        <v>0</v>
      </c>
      <c r="FQ445">
        <v>0</v>
      </c>
      <c r="FR445">
        <f t="shared" si="307"/>
        <v>0</v>
      </c>
      <c r="FS445">
        <v>0</v>
      </c>
      <c r="FX445">
        <v>70</v>
      </c>
      <c r="FY445">
        <v>10</v>
      </c>
      <c r="GA445" t="s">
        <v>3</v>
      </c>
      <c r="GD445">
        <v>0</v>
      </c>
      <c r="GF445">
        <v>-479591771</v>
      </c>
      <c r="GG445">
        <v>2</v>
      </c>
      <c r="GH445">
        <v>1</v>
      </c>
      <c r="GI445">
        <v>-2</v>
      </c>
      <c r="GJ445">
        <v>0</v>
      </c>
      <c r="GK445">
        <f>ROUND(R445*(R12)/100,2)</f>
        <v>0</v>
      </c>
      <c r="GL445">
        <f t="shared" si="308"/>
        <v>0</v>
      </c>
      <c r="GM445">
        <f t="shared" si="309"/>
        <v>715.58</v>
      </c>
      <c r="GN445">
        <f t="shared" si="310"/>
        <v>0</v>
      </c>
      <c r="GO445">
        <f t="shared" si="311"/>
        <v>0</v>
      </c>
      <c r="GP445">
        <f t="shared" si="312"/>
        <v>715.58</v>
      </c>
      <c r="GR445">
        <v>0</v>
      </c>
      <c r="GS445">
        <v>3</v>
      </c>
      <c r="GT445">
        <v>0</v>
      </c>
      <c r="GU445" t="s">
        <v>3</v>
      </c>
      <c r="GV445">
        <f t="shared" si="313"/>
        <v>0</v>
      </c>
      <c r="GW445">
        <v>1</v>
      </c>
      <c r="GX445">
        <f t="shared" si="314"/>
        <v>0</v>
      </c>
      <c r="HA445">
        <v>0</v>
      </c>
      <c r="HB445">
        <v>0</v>
      </c>
      <c r="HC445">
        <f t="shared" si="315"/>
        <v>0</v>
      </c>
      <c r="HE445" t="s">
        <v>3</v>
      </c>
      <c r="HF445" t="s">
        <v>3</v>
      </c>
      <c r="HM445" t="s">
        <v>3</v>
      </c>
      <c r="HN445" t="s">
        <v>3</v>
      </c>
      <c r="HO445" t="s">
        <v>3</v>
      </c>
      <c r="HP445" t="s">
        <v>3</v>
      </c>
      <c r="HQ445" t="s">
        <v>3</v>
      </c>
      <c r="IK445">
        <v>0</v>
      </c>
    </row>
    <row r="446" spans="1:245" x14ac:dyDescent="0.2">
      <c r="A446">
        <v>18</v>
      </c>
      <c r="B446">
        <v>1</v>
      </c>
      <c r="C446">
        <v>181</v>
      </c>
      <c r="E446" t="s">
        <v>283</v>
      </c>
      <c r="F446" t="s">
        <v>174</v>
      </c>
      <c r="G446" t="s">
        <v>185</v>
      </c>
      <c r="H446" t="s">
        <v>171</v>
      </c>
      <c r="I446">
        <f>I445*J446</f>
        <v>1</v>
      </c>
      <c r="J446">
        <v>100</v>
      </c>
      <c r="K446">
        <v>1</v>
      </c>
      <c r="O446">
        <f t="shared" si="283"/>
        <v>10050.83</v>
      </c>
      <c r="P446">
        <f t="shared" si="284"/>
        <v>10050.83</v>
      </c>
      <c r="Q446">
        <f t="shared" si="285"/>
        <v>0</v>
      </c>
      <c r="R446">
        <f t="shared" si="286"/>
        <v>0</v>
      </c>
      <c r="S446">
        <f t="shared" si="287"/>
        <v>0</v>
      </c>
      <c r="T446">
        <f t="shared" si="288"/>
        <v>0</v>
      </c>
      <c r="U446">
        <f t="shared" si="289"/>
        <v>0</v>
      </c>
      <c r="V446">
        <f t="shared" si="290"/>
        <v>0</v>
      </c>
      <c r="W446">
        <f t="shared" si="291"/>
        <v>0</v>
      </c>
      <c r="X446">
        <f t="shared" si="292"/>
        <v>0</v>
      </c>
      <c r="Y446">
        <f t="shared" si="293"/>
        <v>0</v>
      </c>
      <c r="AA446">
        <v>75700856</v>
      </c>
      <c r="AB446">
        <f t="shared" si="294"/>
        <v>10050.83</v>
      </c>
      <c r="AC446">
        <f t="shared" si="316"/>
        <v>10050.83</v>
      </c>
      <c r="AD446">
        <f t="shared" si="317"/>
        <v>0</v>
      </c>
      <c r="AE446">
        <f t="shared" si="318"/>
        <v>0</v>
      </c>
      <c r="AF446">
        <f t="shared" si="319"/>
        <v>0</v>
      </c>
      <c r="AG446">
        <f t="shared" si="295"/>
        <v>0</v>
      </c>
      <c r="AH446">
        <f t="shared" si="320"/>
        <v>0</v>
      </c>
      <c r="AI446">
        <f t="shared" si="321"/>
        <v>0</v>
      </c>
      <c r="AJ446">
        <f t="shared" si="296"/>
        <v>0</v>
      </c>
      <c r="AK446">
        <v>10050.83</v>
      </c>
      <c r="AL446">
        <v>10050.83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70</v>
      </c>
      <c r="AU446">
        <v>10</v>
      </c>
      <c r="AV446">
        <v>1</v>
      </c>
      <c r="AW446">
        <v>1</v>
      </c>
      <c r="AZ446">
        <v>1</v>
      </c>
      <c r="BA446">
        <v>1</v>
      </c>
      <c r="BB446">
        <v>1</v>
      </c>
      <c r="BC446">
        <v>1</v>
      </c>
      <c r="BD446" t="s">
        <v>3</v>
      </c>
      <c r="BE446" t="s">
        <v>3</v>
      </c>
      <c r="BF446" t="s">
        <v>3</v>
      </c>
      <c r="BG446" t="s">
        <v>3</v>
      </c>
      <c r="BH446">
        <v>3</v>
      </c>
      <c r="BI446">
        <v>4</v>
      </c>
      <c r="BJ446" t="s">
        <v>3</v>
      </c>
      <c r="BM446">
        <v>0</v>
      </c>
      <c r="BN446">
        <v>0</v>
      </c>
      <c r="BO446" t="s">
        <v>3</v>
      </c>
      <c r="BP446">
        <v>0</v>
      </c>
      <c r="BQ446">
        <v>1</v>
      </c>
      <c r="BR446">
        <v>0</v>
      </c>
      <c r="BS446">
        <v>1</v>
      </c>
      <c r="BT446">
        <v>1</v>
      </c>
      <c r="BU446">
        <v>1</v>
      </c>
      <c r="BV446">
        <v>1</v>
      </c>
      <c r="BW446">
        <v>1</v>
      </c>
      <c r="BX446">
        <v>1</v>
      </c>
      <c r="BY446" t="s">
        <v>3</v>
      </c>
      <c r="BZ446">
        <v>70</v>
      </c>
      <c r="CA446">
        <v>10</v>
      </c>
      <c r="CB446" t="s">
        <v>3</v>
      </c>
      <c r="CE446">
        <v>0</v>
      </c>
      <c r="CF446">
        <v>0</v>
      </c>
      <c r="CG446">
        <v>0</v>
      </c>
      <c r="CM446">
        <v>0</v>
      </c>
      <c r="CN446" t="s">
        <v>3</v>
      </c>
      <c r="CO446">
        <v>0</v>
      </c>
      <c r="CP446">
        <f t="shared" si="297"/>
        <v>10050.83</v>
      </c>
      <c r="CQ446">
        <f t="shared" si="298"/>
        <v>10050.83</v>
      </c>
      <c r="CR446">
        <f t="shared" si="322"/>
        <v>0</v>
      </c>
      <c r="CS446">
        <f t="shared" si="299"/>
        <v>0</v>
      </c>
      <c r="CT446">
        <f t="shared" si="300"/>
        <v>0</v>
      </c>
      <c r="CU446">
        <f t="shared" si="301"/>
        <v>0</v>
      </c>
      <c r="CV446">
        <f t="shared" si="302"/>
        <v>0</v>
      </c>
      <c r="CW446">
        <f t="shared" si="303"/>
        <v>0</v>
      </c>
      <c r="CX446">
        <f t="shared" si="304"/>
        <v>0</v>
      </c>
      <c r="CY446">
        <f t="shared" si="305"/>
        <v>0</v>
      </c>
      <c r="CZ446">
        <f t="shared" si="306"/>
        <v>0</v>
      </c>
      <c r="DC446" t="s">
        <v>3</v>
      </c>
      <c r="DD446" t="s">
        <v>3</v>
      </c>
      <c r="DE446" t="s">
        <v>3</v>
      </c>
      <c r="DF446" t="s">
        <v>3</v>
      </c>
      <c r="DG446" t="s">
        <v>3</v>
      </c>
      <c r="DH446" t="s">
        <v>3</v>
      </c>
      <c r="DI446" t="s">
        <v>3</v>
      </c>
      <c r="DJ446" t="s">
        <v>3</v>
      </c>
      <c r="DK446" t="s">
        <v>3</v>
      </c>
      <c r="DL446" t="s">
        <v>3</v>
      </c>
      <c r="DM446" t="s">
        <v>3</v>
      </c>
      <c r="DN446">
        <v>0</v>
      </c>
      <c r="DO446">
        <v>0</v>
      </c>
      <c r="DP446">
        <v>1</v>
      </c>
      <c r="DQ446">
        <v>1</v>
      </c>
      <c r="DU446">
        <v>1010</v>
      </c>
      <c r="DV446" t="s">
        <v>171</v>
      </c>
      <c r="DW446" t="s">
        <v>171</v>
      </c>
      <c r="DX446">
        <v>1</v>
      </c>
      <c r="DZ446" t="s">
        <v>3</v>
      </c>
      <c r="EA446" t="s">
        <v>3</v>
      </c>
      <c r="EB446" t="s">
        <v>3</v>
      </c>
      <c r="EC446" t="s">
        <v>3</v>
      </c>
      <c r="EE446">
        <v>75371444</v>
      </c>
      <c r="EF446">
        <v>1</v>
      </c>
      <c r="EG446" t="s">
        <v>22</v>
      </c>
      <c r="EH446">
        <v>0</v>
      </c>
      <c r="EI446" t="s">
        <v>3</v>
      </c>
      <c r="EJ446">
        <v>4</v>
      </c>
      <c r="EK446">
        <v>0</v>
      </c>
      <c r="EL446" t="s">
        <v>23</v>
      </c>
      <c r="EM446" t="s">
        <v>24</v>
      </c>
      <c r="EO446" t="s">
        <v>3</v>
      </c>
      <c r="EQ446">
        <v>0</v>
      </c>
      <c r="ER446">
        <v>10050.83</v>
      </c>
      <c r="ES446">
        <v>10050.83</v>
      </c>
      <c r="ET446">
        <v>0</v>
      </c>
      <c r="EU446">
        <v>0</v>
      </c>
      <c r="EV446">
        <v>0</v>
      </c>
      <c r="EW446">
        <v>0</v>
      </c>
      <c r="EX446">
        <v>0</v>
      </c>
      <c r="EZ446">
        <v>5</v>
      </c>
      <c r="FC446">
        <v>1</v>
      </c>
      <c r="FD446">
        <v>18</v>
      </c>
      <c r="FF446">
        <v>12061</v>
      </c>
      <c r="FQ446">
        <v>0</v>
      </c>
      <c r="FR446">
        <f t="shared" si="307"/>
        <v>0</v>
      </c>
      <c r="FS446">
        <v>0</v>
      </c>
      <c r="FX446">
        <v>70</v>
      </c>
      <c r="FY446">
        <v>10</v>
      </c>
      <c r="GA446" t="s">
        <v>186</v>
      </c>
      <c r="GD446">
        <v>0</v>
      </c>
      <c r="GF446">
        <v>-541391768</v>
      </c>
      <c r="GG446">
        <v>2</v>
      </c>
      <c r="GH446">
        <v>3</v>
      </c>
      <c r="GI446">
        <v>-2</v>
      </c>
      <c r="GJ446">
        <v>0</v>
      </c>
      <c r="GK446">
        <f>ROUND(R446*(R12)/100,2)</f>
        <v>0</v>
      </c>
      <c r="GL446">
        <f t="shared" si="308"/>
        <v>0</v>
      </c>
      <c r="GM446">
        <f t="shared" si="309"/>
        <v>10050.83</v>
      </c>
      <c r="GN446">
        <f t="shared" si="310"/>
        <v>0</v>
      </c>
      <c r="GO446">
        <f t="shared" si="311"/>
        <v>0</v>
      </c>
      <c r="GP446">
        <f t="shared" si="312"/>
        <v>10050.83</v>
      </c>
      <c r="GR446">
        <v>1</v>
      </c>
      <c r="GS446">
        <v>1</v>
      </c>
      <c r="GT446">
        <v>0</v>
      </c>
      <c r="GU446" t="s">
        <v>3</v>
      </c>
      <c r="GV446">
        <f t="shared" si="313"/>
        <v>0</v>
      </c>
      <c r="GW446">
        <v>1</v>
      </c>
      <c r="GX446">
        <f t="shared" si="314"/>
        <v>0</v>
      </c>
      <c r="HA446">
        <v>0</v>
      </c>
      <c r="HB446">
        <v>0</v>
      </c>
      <c r="HC446">
        <f t="shared" si="315"/>
        <v>0</v>
      </c>
      <c r="HE446" t="s">
        <v>51</v>
      </c>
      <c r="HF446" t="s">
        <v>51</v>
      </c>
      <c r="HM446" t="s">
        <v>3</v>
      </c>
      <c r="HN446" t="s">
        <v>3</v>
      </c>
      <c r="HO446" t="s">
        <v>3</v>
      </c>
      <c r="HP446" t="s">
        <v>3</v>
      </c>
      <c r="HQ446" t="s">
        <v>3</v>
      </c>
      <c r="IK446">
        <v>0</v>
      </c>
    </row>
    <row r="447" spans="1:245" x14ac:dyDescent="0.2">
      <c r="A447">
        <v>17</v>
      </c>
      <c r="B447">
        <v>1</v>
      </c>
      <c r="C447">
        <f>ROW(SmtRes!A183)</f>
        <v>183</v>
      </c>
      <c r="D447">
        <f>ROW(EtalonRes!A169)</f>
        <v>169</v>
      </c>
      <c r="E447" t="s">
        <v>284</v>
      </c>
      <c r="F447" t="s">
        <v>188</v>
      </c>
      <c r="G447" t="s">
        <v>189</v>
      </c>
      <c r="H447" t="s">
        <v>20</v>
      </c>
      <c r="I447">
        <f>ROUND(1/100,9)</f>
        <v>0.01</v>
      </c>
      <c r="J447">
        <v>0</v>
      </c>
      <c r="K447">
        <f>ROUND(1/100,9)</f>
        <v>0.01</v>
      </c>
      <c r="O447">
        <f t="shared" si="283"/>
        <v>470.2</v>
      </c>
      <c r="P447">
        <f t="shared" si="284"/>
        <v>264.60000000000002</v>
      </c>
      <c r="Q447">
        <f t="shared" si="285"/>
        <v>0</v>
      </c>
      <c r="R447">
        <f t="shared" si="286"/>
        <v>0</v>
      </c>
      <c r="S447">
        <f t="shared" si="287"/>
        <v>205.6</v>
      </c>
      <c r="T447">
        <f t="shared" si="288"/>
        <v>0</v>
      </c>
      <c r="U447">
        <f t="shared" si="289"/>
        <v>0.3876</v>
      </c>
      <c r="V447">
        <f t="shared" si="290"/>
        <v>0</v>
      </c>
      <c r="W447">
        <f t="shared" si="291"/>
        <v>0</v>
      </c>
      <c r="X447">
        <f t="shared" si="292"/>
        <v>143.91999999999999</v>
      </c>
      <c r="Y447">
        <f t="shared" si="293"/>
        <v>20.56</v>
      </c>
      <c r="AA447">
        <v>75700856</v>
      </c>
      <c r="AB447">
        <f t="shared" si="294"/>
        <v>47020.24</v>
      </c>
      <c r="AC447">
        <f t="shared" si="316"/>
        <v>26460</v>
      </c>
      <c r="AD447">
        <f t="shared" si="317"/>
        <v>0</v>
      </c>
      <c r="AE447">
        <f t="shared" si="318"/>
        <v>0</v>
      </c>
      <c r="AF447">
        <f t="shared" si="319"/>
        <v>20560.240000000002</v>
      </c>
      <c r="AG447">
        <f t="shared" si="295"/>
        <v>0</v>
      </c>
      <c r="AH447">
        <f t="shared" si="320"/>
        <v>38.76</v>
      </c>
      <c r="AI447">
        <f t="shared" si="321"/>
        <v>0</v>
      </c>
      <c r="AJ447">
        <f t="shared" si="296"/>
        <v>0</v>
      </c>
      <c r="AK447">
        <v>47020.24</v>
      </c>
      <c r="AL447">
        <v>26460</v>
      </c>
      <c r="AM447">
        <v>0</v>
      </c>
      <c r="AN447">
        <v>0</v>
      </c>
      <c r="AO447">
        <v>20560.240000000002</v>
      </c>
      <c r="AP447">
        <v>0</v>
      </c>
      <c r="AQ447">
        <v>38.76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190</v>
      </c>
      <c r="BM447">
        <v>0</v>
      </c>
      <c r="BN447">
        <v>75371441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si="297"/>
        <v>470.20000000000005</v>
      </c>
      <c r="CQ447">
        <f t="shared" si="298"/>
        <v>26460</v>
      </c>
      <c r="CR447">
        <f t="shared" si="322"/>
        <v>0</v>
      </c>
      <c r="CS447">
        <f t="shared" si="299"/>
        <v>0</v>
      </c>
      <c r="CT447">
        <f t="shared" si="300"/>
        <v>20560.240000000002</v>
      </c>
      <c r="CU447">
        <f t="shared" si="301"/>
        <v>0</v>
      </c>
      <c r="CV447">
        <f t="shared" si="302"/>
        <v>38.76</v>
      </c>
      <c r="CW447">
        <f t="shared" si="303"/>
        <v>0</v>
      </c>
      <c r="CX447">
        <f t="shared" si="304"/>
        <v>0</v>
      </c>
      <c r="CY447">
        <f t="shared" si="305"/>
        <v>143.91999999999999</v>
      </c>
      <c r="CZ447">
        <f t="shared" si="306"/>
        <v>20.56</v>
      </c>
      <c r="DC447" t="s">
        <v>3</v>
      </c>
      <c r="DD447" t="s">
        <v>3</v>
      </c>
      <c r="DE447" t="s">
        <v>3</v>
      </c>
      <c r="DF447" t="s">
        <v>3</v>
      </c>
      <c r="DG447" t="s">
        <v>3</v>
      </c>
      <c r="DH447" t="s">
        <v>3</v>
      </c>
      <c r="DI447" t="s">
        <v>3</v>
      </c>
      <c r="DJ447" t="s">
        <v>3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1003</v>
      </c>
      <c r="DV447" t="s">
        <v>20</v>
      </c>
      <c r="DW447" t="s">
        <v>20</v>
      </c>
      <c r="DX447">
        <v>100</v>
      </c>
      <c r="DZ447" t="s">
        <v>3</v>
      </c>
      <c r="EA447" t="s">
        <v>3</v>
      </c>
      <c r="EB447" t="s">
        <v>3</v>
      </c>
      <c r="EC447" t="s">
        <v>3</v>
      </c>
      <c r="EE447">
        <v>75371444</v>
      </c>
      <c r="EF447">
        <v>1</v>
      </c>
      <c r="EG447" t="s">
        <v>22</v>
      </c>
      <c r="EH447">
        <v>0</v>
      </c>
      <c r="EI447" t="s">
        <v>3</v>
      </c>
      <c r="EJ447">
        <v>4</v>
      </c>
      <c r="EK447">
        <v>0</v>
      </c>
      <c r="EL447" t="s">
        <v>23</v>
      </c>
      <c r="EM447" t="s">
        <v>24</v>
      </c>
      <c r="EO447" t="s">
        <v>3</v>
      </c>
      <c r="EQ447">
        <v>0</v>
      </c>
      <c r="ER447">
        <v>47020.24</v>
      </c>
      <c r="ES447">
        <v>26460</v>
      </c>
      <c r="ET447">
        <v>0</v>
      </c>
      <c r="EU447">
        <v>0</v>
      </c>
      <c r="EV447">
        <v>20560.240000000002</v>
      </c>
      <c r="EW447">
        <v>38.76</v>
      </c>
      <c r="EX447">
        <v>0</v>
      </c>
      <c r="EY447">
        <v>0</v>
      </c>
      <c r="FQ447">
        <v>0</v>
      </c>
      <c r="FR447">
        <f t="shared" si="307"/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-1291364735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si="308"/>
        <v>0</v>
      </c>
      <c r="GM447">
        <f t="shared" si="309"/>
        <v>634.67999999999995</v>
      </c>
      <c r="GN447">
        <f t="shared" si="310"/>
        <v>0</v>
      </c>
      <c r="GO447">
        <f t="shared" si="311"/>
        <v>0</v>
      </c>
      <c r="GP447">
        <f t="shared" si="312"/>
        <v>634.67999999999995</v>
      </c>
      <c r="GR447">
        <v>0</v>
      </c>
      <c r="GS447">
        <v>3</v>
      </c>
      <c r="GT447">
        <v>0</v>
      </c>
      <c r="GU447" t="s">
        <v>3</v>
      </c>
      <c r="GV447">
        <f t="shared" si="313"/>
        <v>0</v>
      </c>
      <c r="GW447">
        <v>1</v>
      </c>
      <c r="GX447">
        <f t="shared" si="314"/>
        <v>0</v>
      </c>
      <c r="HA447">
        <v>0</v>
      </c>
      <c r="HB447">
        <v>0</v>
      </c>
      <c r="HC447">
        <f t="shared" si="315"/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C448">
        <f>ROW(SmtRes!A184)</f>
        <v>184</v>
      </c>
      <c r="D448">
        <f>ROW(EtalonRes!A170)</f>
        <v>170</v>
      </c>
      <c r="E448" t="s">
        <v>285</v>
      </c>
      <c r="F448" t="s">
        <v>192</v>
      </c>
      <c r="G448" t="s">
        <v>193</v>
      </c>
      <c r="H448" t="s">
        <v>194</v>
      </c>
      <c r="I448">
        <f>ROUND(2/10,9)</f>
        <v>0.2</v>
      </c>
      <c r="J448">
        <v>0</v>
      </c>
      <c r="K448">
        <f>ROUND(2/10,9)</f>
        <v>0.2</v>
      </c>
      <c r="O448">
        <f t="shared" si="283"/>
        <v>128.37</v>
      </c>
      <c r="P448">
        <f t="shared" si="284"/>
        <v>0</v>
      </c>
      <c r="Q448">
        <f t="shared" si="285"/>
        <v>0</v>
      </c>
      <c r="R448">
        <f t="shared" si="286"/>
        <v>0</v>
      </c>
      <c r="S448">
        <f t="shared" si="287"/>
        <v>128.37</v>
      </c>
      <c r="T448">
        <f t="shared" si="288"/>
        <v>0</v>
      </c>
      <c r="U448">
        <f t="shared" si="289"/>
        <v>0.24199999999999999</v>
      </c>
      <c r="V448">
        <f t="shared" si="290"/>
        <v>0</v>
      </c>
      <c r="W448">
        <f t="shared" si="291"/>
        <v>0</v>
      </c>
      <c r="X448">
        <f t="shared" si="292"/>
        <v>89.86</v>
      </c>
      <c r="Y448">
        <f t="shared" si="293"/>
        <v>12.84</v>
      </c>
      <c r="AA448">
        <v>75700856</v>
      </c>
      <c r="AB448">
        <f t="shared" si="294"/>
        <v>641.84</v>
      </c>
      <c r="AC448">
        <f t="shared" si="316"/>
        <v>0</v>
      </c>
      <c r="AD448">
        <f t="shared" si="317"/>
        <v>0</v>
      </c>
      <c r="AE448">
        <f t="shared" si="318"/>
        <v>0</v>
      </c>
      <c r="AF448">
        <f t="shared" si="319"/>
        <v>641.84</v>
      </c>
      <c r="AG448">
        <f t="shared" si="295"/>
        <v>0</v>
      </c>
      <c r="AH448">
        <f t="shared" si="320"/>
        <v>1.21</v>
      </c>
      <c r="AI448">
        <f t="shared" si="321"/>
        <v>0</v>
      </c>
      <c r="AJ448">
        <f t="shared" si="296"/>
        <v>0</v>
      </c>
      <c r="AK448">
        <v>641.84</v>
      </c>
      <c r="AL448">
        <v>0</v>
      </c>
      <c r="AM448">
        <v>0</v>
      </c>
      <c r="AN448">
        <v>0</v>
      </c>
      <c r="AO448">
        <v>641.84</v>
      </c>
      <c r="AP448">
        <v>0</v>
      </c>
      <c r="AQ448">
        <v>1.21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195</v>
      </c>
      <c r="BM448">
        <v>0</v>
      </c>
      <c r="BN448">
        <v>75371441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297"/>
        <v>128.37</v>
      </c>
      <c r="CQ448">
        <f t="shared" si="298"/>
        <v>0</v>
      </c>
      <c r="CR448">
        <f t="shared" si="322"/>
        <v>0</v>
      </c>
      <c r="CS448">
        <f t="shared" si="299"/>
        <v>0</v>
      </c>
      <c r="CT448">
        <f t="shared" si="300"/>
        <v>641.84</v>
      </c>
      <c r="CU448">
        <f t="shared" si="301"/>
        <v>0</v>
      </c>
      <c r="CV448">
        <f t="shared" si="302"/>
        <v>1.21</v>
      </c>
      <c r="CW448">
        <f t="shared" si="303"/>
        <v>0</v>
      </c>
      <c r="CX448">
        <f t="shared" si="304"/>
        <v>0</v>
      </c>
      <c r="CY448">
        <f t="shared" si="305"/>
        <v>89.858999999999995</v>
      </c>
      <c r="CZ448">
        <f t="shared" si="306"/>
        <v>12.837</v>
      </c>
      <c r="DC448" t="s">
        <v>3</v>
      </c>
      <c r="DD448" t="s">
        <v>3</v>
      </c>
      <c r="DE448" t="s">
        <v>3</v>
      </c>
      <c r="DF448" t="s">
        <v>3</v>
      </c>
      <c r="DG448" t="s">
        <v>3</v>
      </c>
      <c r="DH448" t="s">
        <v>3</v>
      </c>
      <c r="DI448" t="s">
        <v>3</v>
      </c>
      <c r="DJ448" t="s">
        <v>3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1010</v>
      </c>
      <c r="DV448" t="s">
        <v>194</v>
      </c>
      <c r="DW448" t="s">
        <v>194</v>
      </c>
      <c r="DX448">
        <v>10</v>
      </c>
      <c r="DZ448" t="s">
        <v>3</v>
      </c>
      <c r="EA448" t="s">
        <v>3</v>
      </c>
      <c r="EB448" t="s">
        <v>3</v>
      </c>
      <c r="EC448" t="s">
        <v>3</v>
      </c>
      <c r="EE448">
        <v>75371444</v>
      </c>
      <c r="EF448">
        <v>1</v>
      </c>
      <c r="EG448" t="s">
        <v>22</v>
      </c>
      <c r="EH448">
        <v>0</v>
      </c>
      <c r="EI448" t="s">
        <v>3</v>
      </c>
      <c r="EJ448">
        <v>4</v>
      </c>
      <c r="EK448">
        <v>0</v>
      </c>
      <c r="EL448" t="s">
        <v>23</v>
      </c>
      <c r="EM448" t="s">
        <v>24</v>
      </c>
      <c r="EO448" t="s">
        <v>3</v>
      </c>
      <c r="EQ448">
        <v>0</v>
      </c>
      <c r="ER448">
        <v>641.84</v>
      </c>
      <c r="ES448">
        <v>0</v>
      </c>
      <c r="ET448">
        <v>0</v>
      </c>
      <c r="EU448">
        <v>0</v>
      </c>
      <c r="EV448">
        <v>641.84</v>
      </c>
      <c r="EW448">
        <v>1.21</v>
      </c>
      <c r="EX448">
        <v>0</v>
      </c>
      <c r="EY448">
        <v>0</v>
      </c>
      <c r="FQ448">
        <v>0</v>
      </c>
      <c r="FR448">
        <f t="shared" si="307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1393993943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</v>
      </c>
      <c r="GL448">
        <f t="shared" si="308"/>
        <v>0</v>
      </c>
      <c r="GM448">
        <f t="shared" si="309"/>
        <v>231.07</v>
      </c>
      <c r="GN448">
        <f t="shared" si="310"/>
        <v>0</v>
      </c>
      <c r="GO448">
        <f t="shared" si="311"/>
        <v>0</v>
      </c>
      <c r="GP448">
        <f t="shared" si="312"/>
        <v>231.07</v>
      </c>
      <c r="GR448">
        <v>0</v>
      </c>
      <c r="GS448">
        <v>3</v>
      </c>
      <c r="GT448">
        <v>0</v>
      </c>
      <c r="GU448" t="s">
        <v>3</v>
      </c>
      <c r="GV448">
        <f t="shared" si="313"/>
        <v>0</v>
      </c>
      <c r="GW448">
        <v>1</v>
      </c>
      <c r="GX448">
        <f t="shared" si="314"/>
        <v>0</v>
      </c>
      <c r="HA448">
        <v>0</v>
      </c>
      <c r="HB448">
        <v>0</v>
      </c>
      <c r="HC448">
        <f t="shared" si="315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C449">
        <f>ROW(SmtRes!A189)</f>
        <v>189</v>
      </c>
      <c r="D449">
        <f>ROW(EtalonRes!A174)</f>
        <v>174</v>
      </c>
      <c r="E449" t="s">
        <v>286</v>
      </c>
      <c r="F449" t="s">
        <v>197</v>
      </c>
      <c r="G449" t="s">
        <v>198</v>
      </c>
      <c r="H449" t="s">
        <v>194</v>
      </c>
      <c r="I449">
        <f>ROUND(2/10,9)</f>
        <v>0.2</v>
      </c>
      <c r="J449">
        <v>0</v>
      </c>
      <c r="K449">
        <f>ROUND(2/10,9)</f>
        <v>0.2</v>
      </c>
      <c r="O449">
        <f t="shared" si="283"/>
        <v>194.38</v>
      </c>
      <c r="P449">
        <f t="shared" si="284"/>
        <v>11.91</v>
      </c>
      <c r="Q449">
        <f t="shared" si="285"/>
        <v>0</v>
      </c>
      <c r="R449">
        <f t="shared" si="286"/>
        <v>0</v>
      </c>
      <c r="S449">
        <f t="shared" si="287"/>
        <v>182.47</v>
      </c>
      <c r="T449">
        <f t="shared" si="288"/>
        <v>0</v>
      </c>
      <c r="U449">
        <f t="shared" si="289"/>
        <v>0.34400000000000003</v>
      </c>
      <c r="V449">
        <f t="shared" si="290"/>
        <v>0</v>
      </c>
      <c r="W449">
        <f t="shared" si="291"/>
        <v>0</v>
      </c>
      <c r="X449">
        <f t="shared" si="292"/>
        <v>127.73</v>
      </c>
      <c r="Y449">
        <f t="shared" si="293"/>
        <v>18.25</v>
      </c>
      <c r="AA449">
        <v>75700856</v>
      </c>
      <c r="AB449">
        <f t="shared" si="294"/>
        <v>971.91</v>
      </c>
      <c r="AC449">
        <f t="shared" si="316"/>
        <v>59.54</v>
      </c>
      <c r="AD449">
        <f t="shared" si="317"/>
        <v>0</v>
      </c>
      <c r="AE449">
        <f t="shared" si="318"/>
        <v>0</v>
      </c>
      <c r="AF449">
        <f t="shared" si="319"/>
        <v>912.37</v>
      </c>
      <c r="AG449">
        <f t="shared" si="295"/>
        <v>0</v>
      </c>
      <c r="AH449">
        <f t="shared" si="320"/>
        <v>1.72</v>
      </c>
      <c r="AI449">
        <f t="shared" si="321"/>
        <v>0</v>
      </c>
      <c r="AJ449">
        <f t="shared" si="296"/>
        <v>0</v>
      </c>
      <c r="AK449">
        <v>971.91</v>
      </c>
      <c r="AL449">
        <v>59.54</v>
      </c>
      <c r="AM449">
        <v>0</v>
      </c>
      <c r="AN449">
        <v>0</v>
      </c>
      <c r="AO449">
        <v>912.37</v>
      </c>
      <c r="AP449">
        <v>0</v>
      </c>
      <c r="AQ449">
        <v>1.72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199</v>
      </c>
      <c r="BM449">
        <v>0</v>
      </c>
      <c r="BN449">
        <v>75371441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297"/>
        <v>194.38</v>
      </c>
      <c r="CQ449">
        <f t="shared" si="298"/>
        <v>59.54</v>
      </c>
      <c r="CR449">
        <f t="shared" si="322"/>
        <v>0</v>
      </c>
      <c r="CS449">
        <f t="shared" si="299"/>
        <v>0</v>
      </c>
      <c r="CT449">
        <f t="shared" si="300"/>
        <v>912.37</v>
      </c>
      <c r="CU449">
        <f t="shared" si="301"/>
        <v>0</v>
      </c>
      <c r="CV449">
        <f t="shared" si="302"/>
        <v>1.72</v>
      </c>
      <c r="CW449">
        <f t="shared" si="303"/>
        <v>0</v>
      </c>
      <c r="CX449">
        <f t="shared" si="304"/>
        <v>0</v>
      </c>
      <c r="CY449">
        <f t="shared" si="305"/>
        <v>127.729</v>
      </c>
      <c r="CZ449">
        <f t="shared" si="306"/>
        <v>18.247</v>
      </c>
      <c r="DC449" t="s">
        <v>3</v>
      </c>
      <c r="DD449" t="s">
        <v>3</v>
      </c>
      <c r="DE449" t="s">
        <v>3</v>
      </c>
      <c r="DF449" t="s">
        <v>3</v>
      </c>
      <c r="DG449" t="s">
        <v>3</v>
      </c>
      <c r="DH449" t="s">
        <v>3</v>
      </c>
      <c r="DI449" t="s">
        <v>3</v>
      </c>
      <c r="DJ449" t="s">
        <v>3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1010</v>
      </c>
      <c r="DV449" t="s">
        <v>194</v>
      </c>
      <c r="DW449" t="s">
        <v>194</v>
      </c>
      <c r="DX449">
        <v>10</v>
      </c>
      <c r="DZ449" t="s">
        <v>3</v>
      </c>
      <c r="EA449" t="s">
        <v>3</v>
      </c>
      <c r="EB449" t="s">
        <v>3</v>
      </c>
      <c r="EC449" t="s">
        <v>3</v>
      </c>
      <c r="EE449">
        <v>75371444</v>
      </c>
      <c r="EF449">
        <v>1</v>
      </c>
      <c r="EG449" t="s">
        <v>22</v>
      </c>
      <c r="EH449">
        <v>0</v>
      </c>
      <c r="EI449" t="s">
        <v>3</v>
      </c>
      <c r="EJ449">
        <v>4</v>
      </c>
      <c r="EK449">
        <v>0</v>
      </c>
      <c r="EL449" t="s">
        <v>23</v>
      </c>
      <c r="EM449" t="s">
        <v>24</v>
      </c>
      <c r="EO449" t="s">
        <v>3</v>
      </c>
      <c r="EQ449">
        <v>0</v>
      </c>
      <c r="ER449">
        <v>971.91</v>
      </c>
      <c r="ES449">
        <v>59.54</v>
      </c>
      <c r="ET449">
        <v>0</v>
      </c>
      <c r="EU449">
        <v>0</v>
      </c>
      <c r="EV449">
        <v>912.37</v>
      </c>
      <c r="EW449">
        <v>1.72</v>
      </c>
      <c r="EX449">
        <v>0</v>
      </c>
      <c r="EY449">
        <v>0</v>
      </c>
      <c r="FQ449">
        <v>0</v>
      </c>
      <c r="FR449">
        <f t="shared" si="307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-1108274012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</v>
      </c>
      <c r="GL449">
        <f t="shared" si="308"/>
        <v>0</v>
      </c>
      <c r="GM449">
        <f t="shared" si="309"/>
        <v>340.36</v>
      </c>
      <c r="GN449">
        <f t="shared" si="310"/>
        <v>0</v>
      </c>
      <c r="GO449">
        <f t="shared" si="311"/>
        <v>0</v>
      </c>
      <c r="GP449">
        <f t="shared" si="312"/>
        <v>340.36</v>
      </c>
      <c r="GR449">
        <v>0</v>
      </c>
      <c r="GS449">
        <v>3</v>
      </c>
      <c r="GT449">
        <v>0</v>
      </c>
      <c r="GU449" t="s">
        <v>3</v>
      </c>
      <c r="GV449">
        <f t="shared" si="313"/>
        <v>0</v>
      </c>
      <c r="GW449">
        <v>1</v>
      </c>
      <c r="GX449">
        <f t="shared" si="314"/>
        <v>0</v>
      </c>
      <c r="HA449">
        <v>0</v>
      </c>
      <c r="HB449">
        <v>0</v>
      </c>
      <c r="HC449">
        <f t="shared" si="315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0" spans="1:245" x14ac:dyDescent="0.2">
      <c r="A450">
        <v>18</v>
      </c>
      <c r="B450">
        <v>1</v>
      </c>
      <c r="C450">
        <v>187</v>
      </c>
      <c r="E450" t="s">
        <v>287</v>
      </c>
      <c r="F450" t="s">
        <v>201</v>
      </c>
      <c r="G450" t="s">
        <v>202</v>
      </c>
      <c r="H450" t="s">
        <v>171</v>
      </c>
      <c r="I450">
        <f>I449*J450</f>
        <v>2</v>
      </c>
      <c r="J450">
        <v>10</v>
      </c>
      <c r="K450">
        <v>10</v>
      </c>
      <c r="O450">
        <f t="shared" si="283"/>
        <v>365.76</v>
      </c>
      <c r="P450">
        <f t="shared" si="284"/>
        <v>365.76</v>
      </c>
      <c r="Q450">
        <f t="shared" si="285"/>
        <v>0</v>
      </c>
      <c r="R450">
        <f t="shared" si="286"/>
        <v>0</v>
      </c>
      <c r="S450">
        <f t="shared" si="287"/>
        <v>0</v>
      </c>
      <c r="T450">
        <f t="shared" si="288"/>
        <v>0</v>
      </c>
      <c r="U450">
        <f t="shared" si="289"/>
        <v>0</v>
      </c>
      <c r="V450">
        <f t="shared" si="290"/>
        <v>0</v>
      </c>
      <c r="W450">
        <f t="shared" si="291"/>
        <v>0</v>
      </c>
      <c r="X450">
        <f t="shared" si="292"/>
        <v>0</v>
      </c>
      <c r="Y450">
        <f t="shared" si="293"/>
        <v>0</v>
      </c>
      <c r="AA450">
        <v>75700856</v>
      </c>
      <c r="AB450">
        <f t="shared" si="294"/>
        <v>182.88</v>
      </c>
      <c r="AC450">
        <f t="shared" si="316"/>
        <v>182.88</v>
      </c>
      <c r="AD450">
        <f t="shared" si="317"/>
        <v>0</v>
      </c>
      <c r="AE450">
        <f t="shared" si="318"/>
        <v>0</v>
      </c>
      <c r="AF450">
        <f t="shared" si="319"/>
        <v>0</v>
      </c>
      <c r="AG450">
        <f t="shared" si="295"/>
        <v>0</v>
      </c>
      <c r="AH450">
        <f t="shared" si="320"/>
        <v>0</v>
      </c>
      <c r="AI450">
        <f t="shared" si="321"/>
        <v>0</v>
      </c>
      <c r="AJ450">
        <f t="shared" si="296"/>
        <v>0</v>
      </c>
      <c r="AK450">
        <v>182.88</v>
      </c>
      <c r="AL450">
        <v>182.88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70</v>
      </c>
      <c r="AU450">
        <v>10</v>
      </c>
      <c r="AV450">
        <v>1</v>
      </c>
      <c r="AW450">
        <v>1</v>
      </c>
      <c r="AZ450">
        <v>1</v>
      </c>
      <c r="BA450">
        <v>1</v>
      </c>
      <c r="BB450">
        <v>1</v>
      </c>
      <c r="BC450">
        <v>1</v>
      </c>
      <c r="BD450" t="s">
        <v>3</v>
      </c>
      <c r="BE450" t="s">
        <v>3</v>
      </c>
      <c r="BF450" t="s">
        <v>3</v>
      </c>
      <c r="BG450" t="s">
        <v>3</v>
      </c>
      <c r="BH450">
        <v>3</v>
      </c>
      <c r="BI450">
        <v>4</v>
      </c>
      <c r="BJ450" t="s">
        <v>203</v>
      </c>
      <c r="BM450">
        <v>0</v>
      </c>
      <c r="BN450">
        <v>75371441</v>
      </c>
      <c r="BO450" t="s">
        <v>3</v>
      </c>
      <c r="BP450">
        <v>0</v>
      </c>
      <c r="BQ450">
        <v>1</v>
      </c>
      <c r="BR450">
        <v>0</v>
      </c>
      <c r="BS450">
        <v>1</v>
      </c>
      <c r="BT450">
        <v>1</v>
      </c>
      <c r="BU450">
        <v>1</v>
      </c>
      <c r="BV450">
        <v>1</v>
      </c>
      <c r="BW450">
        <v>1</v>
      </c>
      <c r="BX450">
        <v>1</v>
      </c>
      <c r="BY450" t="s">
        <v>3</v>
      </c>
      <c r="BZ450">
        <v>70</v>
      </c>
      <c r="CA450">
        <v>10</v>
      </c>
      <c r="CB450" t="s">
        <v>3</v>
      </c>
      <c r="CE450">
        <v>0</v>
      </c>
      <c r="CF450">
        <v>0</v>
      </c>
      <c r="CG450">
        <v>0</v>
      </c>
      <c r="CM450">
        <v>0</v>
      </c>
      <c r="CN450" t="s">
        <v>3</v>
      </c>
      <c r="CO450">
        <v>0</v>
      </c>
      <c r="CP450">
        <f t="shared" si="297"/>
        <v>365.76</v>
      </c>
      <c r="CQ450">
        <f t="shared" si="298"/>
        <v>182.88</v>
      </c>
      <c r="CR450">
        <f t="shared" si="322"/>
        <v>0</v>
      </c>
      <c r="CS450">
        <f t="shared" si="299"/>
        <v>0</v>
      </c>
      <c r="CT450">
        <f t="shared" si="300"/>
        <v>0</v>
      </c>
      <c r="CU450">
        <f t="shared" si="301"/>
        <v>0</v>
      </c>
      <c r="CV450">
        <f t="shared" si="302"/>
        <v>0</v>
      </c>
      <c r="CW450">
        <f t="shared" si="303"/>
        <v>0</v>
      </c>
      <c r="CX450">
        <f t="shared" si="304"/>
        <v>0</v>
      </c>
      <c r="CY450">
        <f t="shared" si="305"/>
        <v>0</v>
      </c>
      <c r="CZ450">
        <f t="shared" si="306"/>
        <v>0</v>
      </c>
      <c r="DC450" t="s">
        <v>3</v>
      </c>
      <c r="DD450" t="s">
        <v>3</v>
      </c>
      <c r="DE450" t="s">
        <v>3</v>
      </c>
      <c r="DF450" t="s">
        <v>3</v>
      </c>
      <c r="DG450" t="s">
        <v>3</v>
      </c>
      <c r="DH450" t="s">
        <v>3</v>
      </c>
      <c r="DI450" t="s">
        <v>3</v>
      </c>
      <c r="DJ450" t="s">
        <v>3</v>
      </c>
      <c r="DK450" t="s">
        <v>3</v>
      </c>
      <c r="DL450" t="s">
        <v>3</v>
      </c>
      <c r="DM450" t="s">
        <v>3</v>
      </c>
      <c r="DN450">
        <v>0</v>
      </c>
      <c r="DO450">
        <v>0</v>
      </c>
      <c r="DP450">
        <v>1</v>
      </c>
      <c r="DQ450">
        <v>1</v>
      </c>
      <c r="DU450">
        <v>1010</v>
      </c>
      <c r="DV450" t="s">
        <v>171</v>
      </c>
      <c r="DW450" t="s">
        <v>171</v>
      </c>
      <c r="DX450">
        <v>1</v>
      </c>
      <c r="DZ450" t="s">
        <v>3</v>
      </c>
      <c r="EA450" t="s">
        <v>3</v>
      </c>
      <c r="EB450" t="s">
        <v>3</v>
      </c>
      <c r="EC450" t="s">
        <v>3</v>
      </c>
      <c r="EE450">
        <v>75371444</v>
      </c>
      <c r="EF450">
        <v>1</v>
      </c>
      <c r="EG450" t="s">
        <v>22</v>
      </c>
      <c r="EH450">
        <v>0</v>
      </c>
      <c r="EI450" t="s">
        <v>3</v>
      </c>
      <c r="EJ450">
        <v>4</v>
      </c>
      <c r="EK450">
        <v>0</v>
      </c>
      <c r="EL450" t="s">
        <v>23</v>
      </c>
      <c r="EM450" t="s">
        <v>24</v>
      </c>
      <c r="EO450" t="s">
        <v>3</v>
      </c>
      <c r="EQ450">
        <v>0</v>
      </c>
      <c r="ER450">
        <v>182.88</v>
      </c>
      <c r="ES450">
        <v>182.88</v>
      </c>
      <c r="ET450">
        <v>0</v>
      </c>
      <c r="EU450">
        <v>0</v>
      </c>
      <c r="EV450">
        <v>0</v>
      </c>
      <c r="EW450">
        <v>0</v>
      </c>
      <c r="EX450">
        <v>0</v>
      </c>
      <c r="FQ450">
        <v>0</v>
      </c>
      <c r="FR450">
        <f t="shared" si="307"/>
        <v>0</v>
      </c>
      <c r="FS450">
        <v>0</v>
      </c>
      <c r="FX450">
        <v>70</v>
      </c>
      <c r="FY450">
        <v>10</v>
      </c>
      <c r="GA450" t="s">
        <v>3</v>
      </c>
      <c r="GD450">
        <v>0</v>
      </c>
      <c r="GF450">
        <v>331574299</v>
      </c>
      <c r="GG450">
        <v>2</v>
      </c>
      <c r="GH450">
        <v>1</v>
      </c>
      <c r="GI450">
        <v>-2</v>
      </c>
      <c r="GJ450">
        <v>0</v>
      </c>
      <c r="GK450">
        <f>ROUND(R450*(R12)/100,2)</f>
        <v>0</v>
      </c>
      <c r="GL450">
        <f t="shared" si="308"/>
        <v>0</v>
      </c>
      <c r="GM450">
        <f t="shared" si="309"/>
        <v>365.76</v>
      </c>
      <c r="GN450">
        <f t="shared" si="310"/>
        <v>0</v>
      </c>
      <c r="GO450">
        <f t="shared" si="311"/>
        <v>0</v>
      </c>
      <c r="GP450">
        <f t="shared" si="312"/>
        <v>365.76</v>
      </c>
      <c r="GR450">
        <v>0</v>
      </c>
      <c r="GS450">
        <v>3</v>
      </c>
      <c r="GT450">
        <v>0</v>
      </c>
      <c r="GU450" t="s">
        <v>3</v>
      </c>
      <c r="GV450">
        <f t="shared" si="313"/>
        <v>0</v>
      </c>
      <c r="GW450">
        <v>1</v>
      </c>
      <c r="GX450">
        <f t="shared" si="314"/>
        <v>0</v>
      </c>
      <c r="HA450">
        <v>0</v>
      </c>
      <c r="HB450">
        <v>0</v>
      </c>
      <c r="HC450">
        <f t="shared" si="315"/>
        <v>0</v>
      </c>
      <c r="HE450" t="s">
        <v>3</v>
      </c>
      <c r="HF450" t="s">
        <v>3</v>
      </c>
      <c r="HM450" t="s">
        <v>3</v>
      </c>
      <c r="HN450" t="s">
        <v>3</v>
      </c>
      <c r="HO450" t="s">
        <v>3</v>
      </c>
      <c r="HP450" t="s">
        <v>3</v>
      </c>
      <c r="HQ450" t="s">
        <v>3</v>
      </c>
      <c r="IK450">
        <v>0</v>
      </c>
    </row>
    <row r="452" spans="1:245" x14ac:dyDescent="0.2">
      <c r="A452" s="2">
        <v>51</v>
      </c>
      <c r="B452" s="2">
        <f>B434</f>
        <v>1</v>
      </c>
      <c r="C452" s="2">
        <f>A434</f>
        <v>5</v>
      </c>
      <c r="D452" s="2">
        <f>ROW(A434)</f>
        <v>434</v>
      </c>
      <c r="E452" s="2"/>
      <c r="F452" s="2" t="str">
        <f>IF(F434&lt;&gt;"",F434,"")</f>
        <v>Новый подраздел</v>
      </c>
      <c r="G452" s="2" t="str">
        <f>IF(G434&lt;&gt;"",G434,"")</f>
        <v>Инженерные сети</v>
      </c>
      <c r="H452" s="2">
        <v>0</v>
      </c>
      <c r="I452" s="2"/>
      <c r="J452" s="2"/>
      <c r="K452" s="2"/>
      <c r="L452" s="2"/>
      <c r="M452" s="2"/>
      <c r="N452" s="2"/>
      <c r="O452" s="2">
        <f t="shared" ref="O452:T452" si="323">ROUND(AB452,2)</f>
        <v>19529.349999999999</v>
      </c>
      <c r="P452" s="2">
        <f t="shared" si="323"/>
        <v>17171.68</v>
      </c>
      <c r="Q452" s="2">
        <f t="shared" si="323"/>
        <v>0.12</v>
      </c>
      <c r="R452" s="2">
        <f t="shared" si="323"/>
        <v>0.04</v>
      </c>
      <c r="S452" s="2">
        <f t="shared" si="323"/>
        <v>2357.5500000000002</v>
      </c>
      <c r="T452" s="2">
        <f t="shared" si="323"/>
        <v>0</v>
      </c>
      <c r="U452" s="2">
        <f>AH452</f>
        <v>4.7559200000000006</v>
      </c>
      <c r="V452" s="2">
        <f>AI452</f>
        <v>0</v>
      </c>
      <c r="W452" s="2">
        <f>ROUND(AJ452,2)</f>
        <v>0</v>
      </c>
      <c r="X452" s="2">
        <f>ROUND(AK452,2)</f>
        <v>1650.3</v>
      </c>
      <c r="Y452" s="2">
        <f>ROUND(AL452,2)</f>
        <v>235.77</v>
      </c>
      <c r="Z452" s="2"/>
      <c r="AA452" s="2"/>
      <c r="AB452" s="2">
        <f>ROUND(SUMIF(AA438:AA450,"=75700856",O438:O450),2)</f>
        <v>19529.349999999999</v>
      </c>
      <c r="AC452" s="2">
        <f>ROUND(SUMIF(AA438:AA450,"=75700856",P438:P450),2)</f>
        <v>17171.68</v>
      </c>
      <c r="AD452" s="2">
        <f>ROUND(SUMIF(AA438:AA450,"=75700856",Q438:Q450),2)</f>
        <v>0.12</v>
      </c>
      <c r="AE452" s="2">
        <f>ROUND(SUMIF(AA438:AA450,"=75700856",R438:R450),2)</f>
        <v>0.04</v>
      </c>
      <c r="AF452" s="2">
        <f>ROUND(SUMIF(AA438:AA450,"=75700856",S438:S450),2)</f>
        <v>2357.5500000000002</v>
      </c>
      <c r="AG452" s="2">
        <f>ROUND(SUMIF(AA438:AA450,"=75700856",T438:T450),2)</f>
        <v>0</v>
      </c>
      <c r="AH452" s="2">
        <f>SUMIF(AA438:AA450,"=75700856",U438:U450)</f>
        <v>4.7559200000000006</v>
      </c>
      <c r="AI452" s="2">
        <f>SUMIF(AA438:AA450,"=75700856",V438:V450)</f>
        <v>0</v>
      </c>
      <c r="AJ452" s="2">
        <f>ROUND(SUMIF(AA438:AA450,"=75700856",W438:W450),2)</f>
        <v>0</v>
      </c>
      <c r="AK452" s="2">
        <f>ROUND(SUMIF(AA438:AA450,"=75700856",X438:X450),2)</f>
        <v>1650.3</v>
      </c>
      <c r="AL452" s="2">
        <f>ROUND(SUMIF(AA438:AA450,"=75700856",Y438:Y450),2)</f>
        <v>235.77</v>
      </c>
      <c r="AM452" s="2"/>
      <c r="AN452" s="2"/>
      <c r="AO452" s="2">
        <f t="shared" ref="AO452:BD452" si="324">ROUND(BX452,2)</f>
        <v>0</v>
      </c>
      <c r="AP452" s="2">
        <f t="shared" si="324"/>
        <v>0</v>
      </c>
      <c r="AQ452" s="2">
        <f t="shared" si="324"/>
        <v>0</v>
      </c>
      <c r="AR452" s="2">
        <f t="shared" si="324"/>
        <v>21415.46</v>
      </c>
      <c r="AS452" s="2">
        <f t="shared" si="324"/>
        <v>0</v>
      </c>
      <c r="AT452" s="2">
        <f t="shared" si="324"/>
        <v>0</v>
      </c>
      <c r="AU452" s="2">
        <f t="shared" si="324"/>
        <v>21415.46</v>
      </c>
      <c r="AV452" s="2">
        <f t="shared" si="324"/>
        <v>17171.68</v>
      </c>
      <c r="AW452" s="2">
        <f t="shared" si="324"/>
        <v>17171.68</v>
      </c>
      <c r="AX452" s="2">
        <f t="shared" si="324"/>
        <v>0</v>
      </c>
      <c r="AY452" s="2">
        <f t="shared" si="324"/>
        <v>17171.68</v>
      </c>
      <c r="AZ452" s="2">
        <f t="shared" si="324"/>
        <v>0</v>
      </c>
      <c r="BA452" s="2">
        <f t="shared" si="324"/>
        <v>0</v>
      </c>
      <c r="BB452" s="2">
        <f t="shared" si="324"/>
        <v>0</v>
      </c>
      <c r="BC452" s="2">
        <f t="shared" si="324"/>
        <v>0</v>
      </c>
      <c r="BD452" s="2">
        <f t="shared" si="324"/>
        <v>0</v>
      </c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>
        <f>ROUND(SUMIF(AA438:AA450,"=75700856",FQ438:FQ450),2)</f>
        <v>0</v>
      </c>
      <c r="BY452" s="2">
        <f>ROUND(SUMIF(AA438:AA450,"=75700856",FR438:FR450),2)</f>
        <v>0</v>
      </c>
      <c r="BZ452" s="2">
        <f>ROUND(SUMIF(AA438:AA450,"=75700856",GL438:GL450),2)</f>
        <v>0</v>
      </c>
      <c r="CA452" s="2">
        <f>ROUND(SUMIF(AA438:AA450,"=75700856",GM438:GM450),2)</f>
        <v>21415.46</v>
      </c>
      <c r="CB452" s="2">
        <f>ROUND(SUMIF(AA438:AA450,"=75700856",GN438:GN450),2)</f>
        <v>0</v>
      </c>
      <c r="CC452" s="2">
        <f>ROUND(SUMIF(AA438:AA450,"=75700856",GO438:GO450),2)</f>
        <v>0</v>
      </c>
      <c r="CD452" s="2">
        <f>ROUND(SUMIF(AA438:AA450,"=75700856",GP438:GP450),2)</f>
        <v>21415.46</v>
      </c>
      <c r="CE452" s="2">
        <f>AC452-BX452</f>
        <v>17171.68</v>
      </c>
      <c r="CF452" s="2">
        <f>AC452-BY452</f>
        <v>17171.68</v>
      </c>
      <c r="CG452" s="2">
        <f>BX452-BZ452</f>
        <v>0</v>
      </c>
      <c r="CH452" s="2">
        <f>AC452-BX452-BY452+BZ452</f>
        <v>17171.68</v>
      </c>
      <c r="CI452" s="2">
        <f>BY452-BZ452</f>
        <v>0</v>
      </c>
      <c r="CJ452" s="2">
        <f>ROUND(SUMIF(AA438:AA450,"=75700856",GX438:GX450),2)</f>
        <v>0</v>
      </c>
      <c r="CK452" s="2">
        <f>ROUND(SUMIF(AA438:AA450,"=75700856",GY438:GY450),2)</f>
        <v>0</v>
      </c>
      <c r="CL452" s="2">
        <f>ROUND(SUMIF(AA438:AA450,"=75700856",GZ438:GZ450),2)</f>
        <v>0</v>
      </c>
      <c r="CM452" s="2">
        <f>ROUND(SUMIF(AA438:AA450,"=75700856",HD438:HD450),2)</f>
        <v>0</v>
      </c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3"/>
      <c r="DH452" s="3"/>
      <c r="DI452" s="3"/>
      <c r="DJ452" s="3"/>
      <c r="DK452" s="3"/>
      <c r="DL452" s="3"/>
      <c r="DM452" s="3"/>
      <c r="DN452" s="3"/>
      <c r="DO452" s="3"/>
      <c r="DP452" s="3"/>
      <c r="DQ452" s="3"/>
      <c r="DR452" s="3"/>
      <c r="DS452" s="3"/>
      <c r="DT452" s="3"/>
      <c r="DU452" s="3"/>
      <c r="DV452" s="3"/>
      <c r="DW452" s="3"/>
      <c r="DX452" s="3"/>
      <c r="DY452" s="3"/>
      <c r="DZ452" s="3"/>
      <c r="EA452" s="3"/>
      <c r="EB452" s="3"/>
      <c r="EC452" s="3"/>
      <c r="ED452" s="3"/>
      <c r="EE452" s="3"/>
      <c r="EF452" s="3"/>
      <c r="EG452" s="3"/>
      <c r="EH452" s="3"/>
      <c r="EI452" s="3"/>
      <c r="EJ452" s="3"/>
      <c r="EK452" s="3"/>
      <c r="EL452" s="3"/>
      <c r="EM452" s="3"/>
      <c r="EN452" s="3"/>
      <c r="EO452" s="3"/>
      <c r="EP452" s="3"/>
      <c r="EQ452" s="3"/>
      <c r="ER452" s="3"/>
      <c r="ES452" s="3"/>
      <c r="ET452" s="3"/>
      <c r="EU452" s="3"/>
      <c r="EV452" s="3"/>
      <c r="EW452" s="3"/>
      <c r="EX452" s="3"/>
      <c r="EY452" s="3"/>
      <c r="EZ452" s="3"/>
      <c r="FA452" s="3"/>
      <c r="FB452" s="3"/>
      <c r="FC452" s="3"/>
      <c r="FD452" s="3"/>
      <c r="FE452" s="3"/>
      <c r="FF452" s="3"/>
      <c r="FG452" s="3"/>
      <c r="FH452" s="3"/>
      <c r="FI452" s="3"/>
      <c r="FJ452" s="3"/>
      <c r="FK452" s="3"/>
      <c r="FL452" s="3"/>
      <c r="FM452" s="3"/>
      <c r="FN452" s="3"/>
      <c r="FO452" s="3"/>
      <c r="FP452" s="3"/>
      <c r="FQ452" s="3"/>
      <c r="FR452" s="3"/>
      <c r="FS452" s="3"/>
      <c r="FT452" s="3"/>
      <c r="FU452" s="3"/>
      <c r="FV452" s="3"/>
      <c r="FW452" s="3"/>
      <c r="FX452" s="3"/>
      <c r="FY452" s="3"/>
      <c r="FZ452" s="3"/>
      <c r="GA452" s="3"/>
      <c r="GB452" s="3"/>
      <c r="GC452" s="3"/>
      <c r="GD452" s="3"/>
      <c r="GE452" s="3"/>
      <c r="GF452" s="3"/>
      <c r="GG452" s="3"/>
      <c r="GH452" s="3"/>
      <c r="GI452" s="3"/>
      <c r="GJ452" s="3"/>
      <c r="GK452" s="3"/>
      <c r="GL452" s="3"/>
      <c r="GM452" s="3"/>
      <c r="GN452" s="3"/>
      <c r="GO452" s="3"/>
      <c r="GP452" s="3"/>
      <c r="GQ452" s="3"/>
      <c r="GR452" s="3"/>
      <c r="GS452" s="3"/>
      <c r="GT452" s="3"/>
      <c r="GU452" s="3"/>
      <c r="GV452" s="3"/>
      <c r="GW452" s="3"/>
      <c r="GX452" s="3">
        <v>0</v>
      </c>
    </row>
    <row r="454" spans="1:245" x14ac:dyDescent="0.2">
      <c r="A454" s="4">
        <v>50</v>
      </c>
      <c r="B454" s="4">
        <v>0</v>
      </c>
      <c r="C454" s="4">
        <v>0</v>
      </c>
      <c r="D454" s="4">
        <v>1</v>
      </c>
      <c r="E454" s="4">
        <v>201</v>
      </c>
      <c r="F454" s="4">
        <f>ROUND(Source!O452,O454)</f>
        <v>19529.349999999999</v>
      </c>
      <c r="G454" s="4" t="s">
        <v>74</v>
      </c>
      <c r="H454" s="4" t="s">
        <v>75</v>
      </c>
      <c r="I454" s="4"/>
      <c r="J454" s="4"/>
      <c r="K454" s="4">
        <v>201</v>
      </c>
      <c r="L454" s="4">
        <v>1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19529.349999999999</v>
      </c>
      <c r="X454" s="4">
        <v>1</v>
      </c>
      <c r="Y454" s="4">
        <v>19529.349999999999</v>
      </c>
      <c r="Z454" s="4"/>
      <c r="AA454" s="4"/>
      <c r="AB454" s="4"/>
    </row>
    <row r="455" spans="1:245" x14ac:dyDescent="0.2">
      <c r="A455" s="4">
        <v>50</v>
      </c>
      <c r="B455" s="4">
        <v>0</v>
      </c>
      <c r="C455" s="4">
        <v>0</v>
      </c>
      <c r="D455" s="4">
        <v>1</v>
      </c>
      <c r="E455" s="4">
        <v>202</v>
      </c>
      <c r="F455" s="4">
        <f>ROUND(Source!P452,O455)</f>
        <v>17171.68</v>
      </c>
      <c r="G455" s="4" t="s">
        <v>76</v>
      </c>
      <c r="H455" s="4" t="s">
        <v>77</v>
      </c>
      <c r="I455" s="4"/>
      <c r="J455" s="4"/>
      <c r="K455" s="4">
        <v>202</v>
      </c>
      <c r="L455" s="4">
        <v>2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17171.68</v>
      </c>
      <c r="X455" s="4">
        <v>1</v>
      </c>
      <c r="Y455" s="4">
        <v>17171.68</v>
      </c>
      <c r="Z455" s="4"/>
      <c r="AA455" s="4"/>
      <c r="AB455" s="4"/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222</v>
      </c>
      <c r="F456" s="4">
        <f>ROUND(Source!AO452,O456)</f>
        <v>0</v>
      </c>
      <c r="G456" s="4" t="s">
        <v>78</v>
      </c>
      <c r="H456" s="4" t="s">
        <v>79</v>
      </c>
      <c r="I456" s="4"/>
      <c r="J456" s="4"/>
      <c r="K456" s="4">
        <v>222</v>
      </c>
      <c r="L456" s="4">
        <v>3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225</v>
      </c>
      <c r="F457" s="4">
        <f>ROUND(Source!AV452,O457)</f>
        <v>17171.68</v>
      </c>
      <c r="G457" s="4" t="s">
        <v>80</v>
      </c>
      <c r="H457" s="4" t="s">
        <v>81</v>
      </c>
      <c r="I457" s="4"/>
      <c r="J457" s="4"/>
      <c r="K457" s="4">
        <v>225</v>
      </c>
      <c r="L457" s="4">
        <v>4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17171.68</v>
      </c>
      <c r="X457" s="4">
        <v>1</v>
      </c>
      <c r="Y457" s="4">
        <v>17171.68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226</v>
      </c>
      <c r="F458" s="4">
        <f>ROUND(Source!AW452,O458)</f>
        <v>17171.68</v>
      </c>
      <c r="G458" s="4" t="s">
        <v>82</v>
      </c>
      <c r="H458" s="4" t="s">
        <v>83</v>
      </c>
      <c r="I458" s="4"/>
      <c r="J458" s="4"/>
      <c r="K458" s="4">
        <v>226</v>
      </c>
      <c r="L458" s="4">
        <v>5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17171.68</v>
      </c>
      <c r="X458" s="4">
        <v>1</v>
      </c>
      <c r="Y458" s="4">
        <v>17171.68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227</v>
      </c>
      <c r="F459" s="4">
        <f>ROUND(Source!AX452,O459)</f>
        <v>0</v>
      </c>
      <c r="G459" s="4" t="s">
        <v>84</v>
      </c>
      <c r="H459" s="4" t="s">
        <v>85</v>
      </c>
      <c r="I459" s="4"/>
      <c r="J459" s="4"/>
      <c r="K459" s="4">
        <v>227</v>
      </c>
      <c r="L459" s="4">
        <v>6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228</v>
      </c>
      <c r="F460" s="4">
        <f>ROUND(Source!AY452,O460)</f>
        <v>17171.68</v>
      </c>
      <c r="G460" s="4" t="s">
        <v>86</v>
      </c>
      <c r="H460" s="4" t="s">
        <v>87</v>
      </c>
      <c r="I460" s="4"/>
      <c r="J460" s="4"/>
      <c r="K460" s="4">
        <v>228</v>
      </c>
      <c r="L460" s="4">
        <v>7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17171.68</v>
      </c>
      <c r="X460" s="4">
        <v>1</v>
      </c>
      <c r="Y460" s="4">
        <v>17171.68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216</v>
      </c>
      <c r="F461" s="4">
        <f>ROUND(Source!AP452,O461)</f>
        <v>0</v>
      </c>
      <c r="G461" s="4" t="s">
        <v>88</v>
      </c>
      <c r="H461" s="4" t="s">
        <v>89</v>
      </c>
      <c r="I461" s="4"/>
      <c r="J461" s="4"/>
      <c r="K461" s="4">
        <v>216</v>
      </c>
      <c r="L461" s="4">
        <v>8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223</v>
      </c>
      <c r="F462" s="4">
        <f>ROUND(Source!AQ452,O462)</f>
        <v>0</v>
      </c>
      <c r="G462" s="4" t="s">
        <v>90</v>
      </c>
      <c r="H462" s="4" t="s">
        <v>91</v>
      </c>
      <c r="I462" s="4"/>
      <c r="J462" s="4"/>
      <c r="K462" s="4">
        <v>223</v>
      </c>
      <c r="L462" s="4">
        <v>9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229</v>
      </c>
      <c r="F463" s="4">
        <f>ROUND(Source!AZ452,O463)</f>
        <v>0</v>
      </c>
      <c r="G463" s="4" t="s">
        <v>92</v>
      </c>
      <c r="H463" s="4" t="s">
        <v>93</v>
      </c>
      <c r="I463" s="4"/>
      <c r="J463" s="4"/>
      <c r="K463" s="4">
        <v>229</v>
      </c>
      <c r="L463" s="4">
        <v>10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203</v>
      </c>
      <c r="F464" s="4">
        <f>ROUND(Source!Q452,O464)</f>
        <v>0.12</v>
      </c>
      <c r="G464" s="4" t="s">
        <v>94</v>
      </c>
      <c r="H464" s="4" t="s">
        <v>95</v>
      </c>
      <c r="I464" s="4"/>
      <c r="J464" s="4"/>
      <c r="K464" s="4">
        <v>203</v>
      </c>
      <c r="L464" s="4">
        <v>11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0.12</v>
      </c>
      <c r="X464" s="4">
        <v>1</v>
      </c>
      <c r="Y464" s="4">
        <v>0.12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231</v>
      </c>
      <c r="F465" s="4">
        <f>ROUND(Source!BB452,O465)</f>
        <v>0</v>
      </c>
      <c r="G465" s="4" t="s">
        <v>96</v>
      </c>
      <c r="H465" s="4" t="s">
        <v>97</v>
      </c>
      <c r="I465" s="4"/>
      <c r="J465" s="4"/>
      <c r="K465" s="4">
        <v>231</v>
      </c>
      <c r="L465" s="4">
        <v>12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204</v>
      </c>
      <c r="F466" s="4">
        <f>ROUND(Source!R452,O466)</f>
        <v>0.04</v>
      </c>
      <c r="G466" s="4" t="s">
        <v>98</v>
      </c>
      <c r="H466" s="4" t="s">
        <v>99</v>
      </c>
      <c r="I466" s="4"/>
      <c r="J466" s="4"/>
      <c r="K466" s="4">
        <v>204</v>
      </c>
      <c r="L466" s="4">
        <v>13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0.04</v>
      </c>
      <c r="X466" s="4">
        <v>1</v>
      </c>
      <c r="Y466" s="4">
        <v>0.04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205</v>
      </c>
      <c r="F467" s="4">
        <f>ROUND(Source!S452,O467)</f>
        <v>2357.5500000000002</v>
      </c>
      <c r="G467" s="4" t="s">
        <v>100</v>
      </c>
      <c r="H467" s="4" t="s">
        <v>101</v>
      </c>
      <c r="I467" s="4"/>
      <c r="J467" s="4"/>
      <c r="K467" s="4">
        <v>205</v>
      </c>
      <c r="L467" s="4">
        <v>14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2357.5500000000002</v>
      </c>
      <c r="X467" s="4">
        <v>1</v>
      </c>
      <c r="Y467" s="4">
        <v>2357.5500000000002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232</v>
      </c>
      <c r="F468" s="4">
        <f>ROUND(Source!BC452,O468)</f>
        <v>0</v>
      </c>
      <c r="G468" s="4" t="s">
        <v>102</v>
      </c>
      <c r="H468" s="4" t="s">
        <v>103</v>
      </c>
      <c r="I468" s="4"/>
      <c r="J468" s="4"/>
      <c r="K468" s="4">
        <v>232</v>
      </c>
      <c r="L468" s="4">
        <v>15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214</v>
      </c>
      <c r="F469" s="4">
        <f>ROUND(Source!AS452,O469)</f>
        <v>0</v>
      </c>
      <c r="G469" s="4" t="s">
        <v>104</v>
      </c>
      <c r="H469" s="4" t="s">
        <v>105</v>
      </c>
      <c r="I469" s="4"/>
      <c r="J469" s="4"/>
      <c r="K469" s="4">
        <v>214</v>
      </c>
      <c r="L469" s="4">
        <v>16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215</v>
      </c>
      <c r="F470" s="4">
        <f>ROUND(Source!AT452,O470)</f>
        <v>0</v>
      </c>
      <c r="G470" s="4" t="s">
        <v>106</v>
      </c>
      <c r="H470" s="4" t="s">
        <v>107</v>
      </c>
      <c r="I470" s="4"/>
      <c r="J470" s="4"/>
      <c r="K470" s="4">
        <v>215</v>
      </c>
      <c r="L470" s="4">
        <v>17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217</v>
      </c>
      <c r="F471" s="4">
        <f>ROUND(Source!AU452,O471)</f>
        <v>21415.46</v>
      </c>
      <c r="G471" s="4" t="s">
        <v>108</v>
      </c>
      <c r="H471" s="4" t="s">
        <v>109</v>
      </c>
      <c r="I471" s="4"/>
      <c r="J471" s="4"/>
      <c r="K471" s="4">
        <v>217</v>
      </c>
      <c r="L471" s="4">
        <v>18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21415.46</v>
      </c>
      <c r="X471" s="4">
        <v>1</v>
      </c>
      <c r="Y471" s="4">
        <v>21415.46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230</v>
      </c>
      <c r="F472" s="4">
        <f>ROUND(Source!BA452,O472)</f>
        <v>0</v>
      </c>
      <c r="G472" s="4" t="s">
        <v>110</v>
      </c>
      <c r="H472" s="4" t="s">
        <v>111</v>
      </c>
      <c r="I472" s="4"/>
      <c r="J472" s="4"/>
      <c r="K472" s="4">
        <v>230</v>
      </c>
      <c r="L472" s="4">
        <v>19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206</v>
      </c>
      <c r="F473" s="4">
        <f>ROUND(Source!T452,O473)</f>
        <v>0</v>
      </c>
      <c r="G473" s="4" t="s">
        <v>112</v>
      </c>
      <c r="H473" s="4" t="s">
        <v>113</v>
      </c>
      <c r="I473" s="4"/>
      <c r="J473" s="4"/>
      <c r="K473" s="4">
        <v>206</v>
      </c>
      <c r="L473" s="4">
        <v>20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207</v>
      </c>
      <c r="F474" s="4">
        <f>Source!U452</f>
        <v>4.7559200000000006</v>
      </c>
      <c r="G474" s="4" t="s">
        <v>114</v>
      </c>
      <c r="H474" s="4" t="s">
        <v>115</v>
      </c>
      <c r="I474" s="4"/>
      <c r="J474" s="4"/>
      <c r="K474" s="4">
        <v>207</v>
      </c>
      <c r="L474" s="4">
        <v>21</v>
      </c>
      <c r="M474" s="4">
        <v>3</v>
      </c>
      <c r="N474" s="4" t="s">
        <v>3</v>
      </c>
      <c r="O474" s="4">
        <v>-1</v>
      </c>
      <c r="P474" s="4"/>
      <c r="Q474" s="4"/>
      <c r="R474" s="4"/>
      <c r="S474" s="4"/>
      <c r="T474" s="4"/>
      <c r="U474" s="4"/>
      <c r="V474" s="4"/>
      <c r="W474" s="4">
        <v>4.7559200000000006</v>
      </c>
      <c r="X474" s="4">
        <v>1</v>
      </c>
      <c r="Y474" s="4">
        <v>4.7559200000000006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208</v>
      </c>
      <c r="F475" s="4">
        <f>Source!V452</f>
        <v>0</v>
      </c>
      <c r="G475" s="4" t="s">
        <v>116</v>
      </c>
      <c r="H475" s="4" t="s">
        <v>117</v>
      </c>
      <c r="I475" s="4"/>
      <c r="J475" s="4"/>
      <c r="K475" s="4">
        <v>208</v>
      </c>
      <c r="L475" s="4">
        <v>22</v>
      </c>
      <c r="M475" s="4">
        <v>3</v>
      </c>
      <c r="N475" s="4" t="s">
        <v>3</v>
      </c>
      <c r="O475" s="4">
        <v>-1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209</v>
      </c>
      <c r="F476" s="4">
        <f>ROUND(Source!W452,O476)</f>
        <v>0</v>
      </c>
      <c r="G476" s="4" t="s">
        <v>118</v>
      </c>
      <c r="H476" s="4" t="s">
        <v>119</v>
      </c>
      <c r="I476" s="4"/>
      <c r="J476" s="4"/>
      <c r="K476" s="4">
        <v>209</v>
      </c>
      <c r="L476" s="4">
        <v>23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233</v>
      </c>
      <c r="F477" s="4">
        <f>ROUND(Source!BD452,O477)</f>
        <v>0</v>
      </c>
      <c r="G477" s="4" t="s">
        <v>120</v>
      </c>
      <c r="H477" s="4" t="s">
        <v>121</v>
      </c>
      <c r="I477" s="4"/>
      <c r="J477" s="4"/>
      <c r="K477" s="4">
        <v>233</v>
      </c>
      <c r="L477" s="4">
        <v>24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210</v>
      </c>
      <c r="F478" s="4">
        <f>ROUND(Source!X452,O478)</f>
        <v>1650.3</v>
      </c>
      <c r="G478" s="4" t="s">
        <v>122</v>
      </c>
      <c r="H478" s="4" t="s">
        <v>123</v>
      </c>
      <c r="I478" s="4"/>
      <c r="J478" s="4"/>
      <c r="K478" s="4">
        <v>210</v>
      </c>
      <c r="L478" s="4">
        <v>25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1650.3</v>
      </c>
      <c r="X478" s="4">
        <v>1</v>
      </c>
      <c r="Y478" s="4">
        <v>1650.3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211</v>
      </c>
      <c r="F479" s="4">
        <f>ROUND(Source!Y452,O479)</f>
        <v>235.77</v>
      </c>
      <c r="G479" s="4" t="s">
        <v>124</v>
      </c>
      <c r="H479" s="4" t="s">
        <v>125</v>
      </c>
      <c r="I479" s="4"/>
      <c r="J479" s="4"/>
      <c r="K479" s="4">
        <v>211</v>
      </c>
      <c r="L479" s="4">
        <v>26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235.77</v>
      </c>
      <c r="X479" s="4">
        <v>1</v>
      </c>
      <c r="Y479" s="4">
        <v>235.77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224</v>
      </c>
      <c r="F480" s="4">
        <f>ROUND(Source!AR452,O480)</f>
        <v>21415.46</v>
      </c>
      <c r="G480" s="4" t="s">
        <v>126</v>
      </c>
      <c r="H480" s="4" t="s">
        <v>127</v>
      </c>
      <c r="I480" s="4"/>
      <c r="J480" s="4"/>
      <c r="K480" s="4">
        <v>224</v>
      </c>
      <c r="L480" s="4">
        <v>27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21415.46</v>
      </c>
      <c r="X480" s="4">
        <v>1</v>
      </c>
      <c r="Y480" s="4">
        <v>21415.46</v>
      </c>
      <c r="Z480" s="4"/>
      <c r="AA480" s="4"/>
      <c r="AB480" s="4"/>
    </row>
    <row r="482" spans="1:245" x14ac:dyDescent="0.2">
      <c r="A482" s="1">
        <v>5</v>
      </c>
      <c r="B482" s="1">
        <v>1</v>
      </c>
      <c r="C482" s="1"/>
      <c r="D482" s="1">
        <f>ROW(A490)</f>
        <v>490</v>
      </c>
      <c r="E482" s="1"/>
      <c r="F482" s="1" t="s">
        <v>15</v>
      </c>
      <c r="G482" s="1" t="s">
        <v>204</v>
      </c>
      <c r="H482" s="1" t="s">
        <v>3</v>
      </c>
      <c r="I482" s="1">
        <v>0</v>
      </c>
      <c r="J482" s="1"/>
      <c r="K482" s="1">
        <v>0</v>
      </c>
      <c r="L482" s="1"/>
      <c r="M482" s="1" t="s">
        <v>3</v>
      </c>
      <c r="N482" s="1"/>
      <c r="O482" s="1"/>
      <c r="P482" s="1"/>
      <c r="Q482" s="1"/>
      <c r="R482" s="1"/>
      <c r="S482" s="1">
        <v>0</v>
      </c>
      <c r="T482" s="1"/>
      <c r="U482" s="1" t="s">
        <v>3</v>
      </c>
      <c r="V482" s="1">
        <v>0</v>
      </c>
      <c r="W482" s="1"/>
      <c r="X482" s="1"/>
      <c r="Y482" s="1"/>
      <c r="Z482" s="1"/>
      <c r="AA482" s="1"/>
      <c r="AB482" s="1" t="s">
        <v>3</v>
      </c>
      <c r="AC482" s="1" t="s">
        <v>3</v>
      </c>
      <c r="AD482" s="1" t="s">
        <v>3</v>
      </c>
      <c r="AE482" s="1" t="s">
        <v>3</v>
      </c>
      <c r="AF482" s="1" t="s">
        <v>3</v>
      </c>
      <c r="AG482" s="1" t="s">
        <v>3</v>
      </c>
      <c r="AH482" s="1"/>
      <c r="AI482" s="1"/>
      <c r="AJ482" s="1"/>
      <c r="AK482" s="1"/>
      <c r="AL482" s="1"/>
      <c r="AM482" s="1"/>
      <c r="AN482" s="1"/>
      <c r="AO482" s="1"/>
      <c r="AP482" s="1" t="s">
        <v>3</v>
      </c>
      <c r="AQ482" s="1" t="s">
        <v>3</v>
      </c>
      <c r="AR482" s="1" t="s">
        <v>3</v>
      </c>
      <c r="AS482" s="1"/>
      <c r="AT482" s="1"/>
      <c r="AU482" s="1"/>
      <c r="AV482" s="1"/>
      <c r="AW482" s="1"/>
      <c r="AX482" s="1"/>
      <c r="AY482" s="1"/>
      <c r="AZ482" s="1" t="s">
        <v>3</v>
      </c>
      <c r="BA482" s="1"/>
      <c r="BB482" s="1" t="s">
        <v>3</v>
      </c>
      <c r="BC482" s="1" t="s">
        <v>3</v>
      </c>
      <c r="BD482" s="1" t="s">
        <v>3</v>
      </c>
      <c r="BE482" s="1" t="s">
        <v>3</v>
      </c>
      <c r="BF482" s="1" t="s">
        <v>3</v>
      </c>
      <c r="BG482" s="1" t="s">
        <v>3</v>
      </c>
      <c r="BH482" s="1" t="s">
        <v>3</v>
      </c>
      <c r="BI482" s="1" t="s">
        <v>3</v>
      </c>
      <c r="BJ482" s="1" t="s">
        <v>3</v>
      </c>
      <c r="BK482" s="1" t="s">
        <v>3</v>
      </c>
      <c r="BL482" s="1" t="s">
        <v>3</v>
      </c>
      <c r="BM482" s="1" t="s">
        <v>3</v>
      </c>
      <c r="BN482" s="1" t="s">
        <v>3</v>
      </c>
      <c r="BO482" s="1" t="s">
        <v>3</v>
      </c>
      <c r="BP482" s="1" t="s">
        <v>3</v>
      </c>
      <c r="BQ482" s="1"/>
      <c r="BR482" s="1"/>
      <c r="BS482" s="1"/>
      <c r="BT482" s="1"/>
      <c r="BU482" s="1"/>
      <c r="BV482" s="1"/>
      <c r="BW482" s="1"/>
      <c r="BX482" s="1">
        <v>0</v>
      </c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>
        <v>0</v>
      </c>
    </row>
    <row r="484" spans="1:245" x14ac:dyDescent="0.2">
      <c r="A484" s="2">
        <v>52</v>
      </c>
      <c r="B484" s="2">
        <f t="shared" ref="B484:G484" si="325">B490</f>
        <v>1</v>
      </c>
      <c r="C484" s="2">
        <f t="shared" si="325"/>
        <v>5</v>
      </c>
      <c r="D484" s="2">
        <f t="shared" si="325"/>
        <v>482</v>
      </c>
      <c r="E484" s="2">
        <f t="shared" si="325"/>
        <v>0</v>
      </c>
      <c r="F484" s="2" t="str">
        <f t="shared" si="325"/>
        <v>Новый подраздел</v>
      </c>
      <c r="G484" s="2" t="str">
        <f t="shared" si="325"/>
        <v>Электрика</v>
      </c>
      <c r="H484" s="2"/>
      <c r="I484" s="2"/>
      <c r="J484" s="2"/>
      <c r="K484" s="2"/>
      <c r="L484" s="2"/>
      <c r="M484" s="2"/>
      <c r="N484" s="2"/>
      <c r="O484" s="2">
        <f t="shared" ref="O484:AT484" si="326">O490</f>
        <v>1007.85</v>
      </c>
      <c r="P484" s="2">
        <f t="shared" si="326"/>
        <v>660.55</v>
      </c>
      <c r="Q484" s="2">
        <f t="shared" si="326"/>
        <v>0</v>
      </c>
      <c r="R484" s="2">
        <f t="shared" si="326"/>
        <v>0</v>
      </c>
      <c r="S484" s="2">
        <f t="shared" si="326"/>
        <v>347.3</v>
      </c>
      <c r="T484" s="2">
        <f t="shared" si="326"/>
        <v>0</v>
      </c>
      <c r="U484" s="2">
        <f t="shared" si="326"/>
        <v>0.89219999999999988</v>
      </c>
      <c r="V484" s="2">
        <f t="shared" si="326"/>
        <v>0</v>
      </c>
      <c r="W484" s="2">
        <f t="shared" si="326"/>
        <v>0</v>
      </c>
      <c r="X484" s="2">
        <f t="shared" si="326"/>
        <v>243.11</v>
      </c>
      <c r="Y484" s="2">
        <f t="shared" si="326"/>
        <v>34.729999999999997</v>
      </c>
      <c r="Z484" s="2">
        <f t="shared" si="326"/>
        <v>0</v>
      </c>
      <c r="AA484" s="2">
        <f t="shared" si="326"/>
        <v>0</v>
      </c>
      <c r="AB484" s="2">
        <f t="shared" si="326"/>
        <v>1007.85</v>
      </c>
      <c r="AC484" s="2">
        <f t="shared" si="326"/>
        <v>660.55</v>
      </c>
      <c r="AD484" s="2">
        <f t="shared" si="326"/>
        <v>0</v>
      </c>
      <c r="AE484" s="2">
        <f t="shared" si="326"/>
        <v>0</v>
      </c>
      <c r="AF484" s="2">
        <f t="shared" si="326"/>
        <v>347.3</v>
      </c>
      <c r="AG484" s="2">
        <f t="shared" si="326"/>
        <v>0</v>
      </c>
      <c r="AH484" s="2">
        <f t="shared" si="326"/>
        <v>0.89219999999999988</v>
      </c>
      <c r="AI484" s="2">
        <f t="shared" si="326"/>
        <v>0</v>
      </c>
      <c r="AJ484" s="2">
        <f t="shared" si="326"/>
        <v>0</v>
      </c>
      <c r="AK484" s="2">
        <f t="shared" si="326"/>
        <v>243.11</v>
      </c>
      <c r="AL484" s="2">
        <f t="shared" si="326"/>
        <v>34.729999999999997</v>
      </c>
      <c r="AM484" s="2">
        <f t="shared" si="326"/>
        <v>0</v>
      </c>
      <c r="AN484" s="2">
        <f t="shared" si="326"/>
        <v>0</v>
      </c>
      <c r="AO484" s="2">
        <f t="shared" si="326"/>
        <v>0</v>
      </c>
      <c r="AP484" s="2">
        <f t="shared" si="326"/>
        <v>0</v>
      </c>
      <c r="AQ484" s="2">
        <f t="shared" si="326"/>
        <v>0</v>
      </c>
      <c r="AR484" s="2">
        <f t="shared" si="326"/>
        <v>1285.69</v>
      </c>
      <c r="AS484" s="2">
        <f t="shared" si="326"/>
        <v>0</v>
      </c>
      <c r="AT484" s="2">
        <f t="shared" si="326"/>
        <v>0</v>
      </c>
      <c r="AU484" s="2">
        <f t="shared" ref="AU484:BZ484" si="327">AU490</f>
        <v>1285.69</v>
      </c>
      <c r="AV484" s="2">
        <f t="shared" si="327"/>
        <v>660.55</v>
      </c>
      <c r="AW484" s="2">
        <f t="shared" si="327"/>
        <v>660.55</v>
      </c>
      <c r="AX484" s="2">
        <f t="shared" si="327"/>
        <v>0</v>
      </c>
      <c r="AY484" s="2">
        <f t="shared" si="327"/>
        <v>660.55</v>
      </c>
      <c r="AZ484" s="2">
        <f t="shared" si="327"/>
        <v>0</v>
      </c>
      <c r="BA484" s="2">
        <f t="shared" si="327"/>
        <v>0</v>
      </c>
      <c r="BB484" s="2">
        <f t="shared" si="327"/>
        <v>0</v>
      </c>
      <c r="BC484" s="2">
        <f t="shared" si="327"/>
        <v>0</v>
      </c>
      <c r="BD484" s="2">
        <f t="shared" si="327"/>
        <v>0</v>
      </c>
      <c r="BE484" s="2">
        <f t="shared" si="327"/>
        <v>0</v>
      </c>
      <c r="BF484" s="2">
        <f t="shared" si="327"/>
        <v>0</v>
      </c>
      <c r="BG484" s="2">
        <f t="shared" si="327"/>
        <v>0</v>
      </c>
      <c r="BH484" s="2">
        <f t="shared" si="327"/>
        <v>0</v>
      </c>
      <c r="BI484" s="2">
        <f t="shared" si="327"/>
        <v>0</v>
      </c>
      <c r="BJ484" s="2">
        <f t="shared" si="327"/>
        <v>0</v>
      </c>
      <c r="BK484" s="2">
        <f t="shared" si="327"/>
        <v>0</v>
      </c>
      <c r="BL484" s="2">
        <f t="shared" si="327"/>
        <v>0</v>
      </c>
      <c r="BM484" s="2">
        <f t="shared" si="327"/>
        <v>0</v>
      </c>
      <c r="BN484" s="2">
        <f t="shared" si="327"/>
        <v>0</v>
      </c>
      <c r="BO484" s="2">
        <f t="shared" si="327"/>
        <v>0</v>
      </c>
      <c r="BP484" s="2">
        <f t="shared" si="327"/>
        <v>0</v>
      </c>
      <c r="BQ484" s="2">
        <f t="shared" si="327"/>
        <v>0</v>
      </c>
      <c r="BR484" s="2">
        <f t="shared" si="327"/>
        <v>0</v>
      </c>
      <c r="BS484" s="2">
        <f t="shared" si="327"/>
        <v>0</v>
      </c>
      <c r="BT484" s="2">
        <f t="shared" si="327"/>
        <v>0</v>
      </c>
      <c r="BU484" s="2">
        <f t="shared" si="327"/>
        <v>0</v>
      </c>
      <c r="BV484" s="2">
        <f t="shared" si="327"/>
        <v>0</v>
      </c>
      <c r="BW484" s="2">
        <f t="shared" si="327"/>
        <v>0</v>
      </c>
      <c r="BX484" s="2">
        <f t="shared" si="327"/>
        <v>0</v>
      </c>
      <c r="BY484" s="2">
        <f t="shared" si="327"/>
        <v>0</v>
      </c>
      <c r="BZ484" s="2">
        <f t="shared" si="327"/>
        <v>0</v>
      </c>
      <c r="CA484" s="2">
        <f t="shared" ref="CA484:DF484" si="328">CA490</f>
        <v>1285.69</v>
      </c>
      <c r="CB484" s="2">
        <f t="shared" si="328"/>
        <v>0</v>
      </c>
      <c r="CC484" s="2">
        <f t="shared" si="328"/>
        <v>0</v>
      </c>
      <c r="CD484" s="2">
        <f t="shared" si="328"/>
        <v>1285.69</v>
      </c>
      <c r="CE484" s="2">
        <f t="shared" si="328"/>
        <v>660.55</v>
      </c>
      <c r="CF484" s="2">
        <f t="shared" si="328"/>
        <v>660.55</v>
      </c>
      <c r="CG484" s="2">
        <f t="shared" si="328"/>
        <v>0</v>
      </c>
      <c r="CH484" s="2">
        <f t="shared" si="328"/>
        <v>660.55</v>
      </c>
      <c r="CI484" s="2">
        <f t="shared" si="328"/>
        <v>0</v>
      </c>
      <c r="CJ484" s="2">
        <f t="shared" si="328"/>
        <v>0</v>
      </c>
      <c r="CK484" s="2">
        <f t="shared" si="328"/>
        <v>0</v>
      </c>
      <c r="CL484" s="2">
        <f t="shared" si="328"/>
        <v>0</v>
      </c>
      <c r="CM484" s="2">
        <f t="shared" si="328"/>
        <v>0</v>
      </c>
      <c r="CN484" s="2">
        <f t="shared" si="328"/>
        <v>0</v>
      </c>
      <c r="CO484" s="2">
        <f t="shared" si="328"/>
        <v>0</v>
      </c>
      <c r="CP484" s="2">
        <f t="shared" si="328"/>
        <v>0</v>
      </c>
      <c r="CQ484" s="2">
        <f t="shared" si="328"/>
        <v>0</v>
      </c>
      <c r="CR484" s="2">
        <f t="shared" si="328"/>
        <v>0</v>
      </c>
      <c r="CS484" s="2">
        <f t="shared" si="328"/>
        <v>0</v>
      </c>
      <c r="CT484" s="2">
        <f t="shared" si="328"/>
        <v>0</v>
      </c>
      <c r="CU484" s="2">
        <f t="shared" si="328"/>
        <v>0</v>
      </c>
      <c r="CV484" s="2">
        <f t="shared" si="328"/>
        <v>0</v>
      </c>
      <c r="CW484" s="2">
        <f t="shared" si="328"/>
        <v>0</v>
      </c>
      <c r="CX484" s="2">
        <f t="shared" si="328"/>
        <v>0</v>
      </c>
      <c r="CY484" s="2">
        <f t="shared" si="328"/>
        <v>0</v>
      </c>
      <c r="CZ484" s="2">
        <f t="shared" si="328"/>
        <v>0</v>
      </c>
      <c r="DA484" s="2">
        <f t="shared" si="328"/>
        <v>0</v>
      </c>
      <c r="DB484" s="2">
        <f t="shared" si="328"/>
        <v>0</v>
      </c>
      <c r="DC484" s="2">
        <f t="shared" si="328"/>
        <v>0</v>
      </c>
      <c r="DD484" s="2">
        <f t="shared" si="328"/>
        <v>0</v>
      </c>
      <c r="DE484" s="2">
        <f t="shared" si="328"/>
        <v>0</v>
      </c>
      <c r="DF484" s="2">
        <f t="shared" si="328"/>
        <v>0</v>
      </c>
      <c r="DG484" s="3">
        <f t="shared" ref="DG484:EL484" si="329">DG490</f>
        <v>0</v>
      </c>
      <c r="DH484" s="3">
        <f t="shared" si="329"/>
        <v>0</v>
      </c>
      <c r="DI484" s="3">
        <f t="shared" si="329"/>
        <v>0</v>
      </c>
      <c r="DJ484" s="3">
        <f t="shared" si="329"/>
        <v>0</v>
      </c>
      <c r="DK484" s="3">
        <f t="shared" si="329"/>
        <v>0</v>
      </c>
      <c r="DL484" s="3">
        <f t="shared" si="329"/>
        <v>0</v>
      </c>
      <c r="DM484" s="3">
        <f t="shared" si="329"/>
        <v>0</v>
      </c>
      <c r="DN484" s="3">
        <f t="shared" si="329"/>
        <v>0</v>
      </c>
      <c r="DO484" s="3">
        <f t="shared" si="329"/>
        <v>0</v>
      </c>
      <c r="DP484" s="3">
        <f t="shared" si="329"/>
        <v>0</v>
      </c>
      <c r="DQ484" s="3">
        <f t="shared" si="329"/>
        <v>0</v>
      </c>
      <c r="DR484" s="3">
        <f t="shared" si="329"/>
        <v>0</v>
      </c>
      <c r="DS484" s="3">
        <f t="shared" si="329"/>
        <v>0</v>
      </c>
      <c r="DT484" s="3">
        <f t="shared" si="329"/>
        <v>0</v>
      </c>
      <c r="DU484" s="3">
        <f t="shared" si="329"/>
        <v>0</v>
      </c>
      <c r="DV484" s="3">
        <f t="shared" si="329"/>
        <v>0</v>
      </c>
      <c r="DW484" s="3">
        <f t="shared" si="329"/>
        <v>0</v>
      </c>
      <c r="DX484" s="3">
        <f t="shared" si="329"/>
        <v>0</v>
      </c>
      <c r="DY484" s="3">
        <f t="shared" si="329"/>
        <v>0</v>
      </c>
      <c r="DZ484" s="3">
        <f t="shared" si="329"/>
        <v>0</v>
      </c>
      <c r="EA484" s="3">
        <f t="shared" si="329"/>
        <v>0</v>
      </c>
      <c r="EB484" s="3">
        <f t="shared" si="329"/>
        <v>0</v>
      </c>
      <c r="EC484" s="3">
        <f t="shared" si="329"/>
        <v>0</v>
      </c>
      <c r="ED484" s="3">
        <f t="shared" si="329"/>
        <v>0</v>
      </c>
      <c r="EE484" s="3">
        <f t="shared" si="329"/>
        <v>0</v>
      </c>
      <c r="EF484" s="3">
        <f t="shared" si="329"/>
        <v>0</v>
      </c>
      <c r="EG484" s="3">
        <f t="shared" si="329"/>
        <v>0</v>
      </c>
      <c r="EH484" s="3">
        <f t="shared" si="329"/>
        <v>0</v>
      </c>
      <c r="EI484" s="3">
        <f t="shared" si="329"/>
        <v>0</v>
      </c>
      <c r="EJ484" s="3">
        <f t="shared" si="329"/>
        <v>0</v>
      </c>
      <c r="EK484" s="3">
        <f t="shared" si="329"/>
        <v>0</v>
      </c>
      <c r="EL484" s="3">
        <f t="shared" si="329"/>
        <v>0</v>
      </c>
      <c r="EM484" s="3">
        <f t="shared" ref="EM484:FR484" si="330">EM490</f>
        <v>0</v>
      </c>
      <c r="EN484" s="3">
        <f t="shared" si="330"/>
        <v>0</v>
      </c>
      <c r="EO484" s="3">
        <f t="shared" si="330"/>
        <v>0</v>
      </c>
      <c r="EP484" s="3">
        <f t="shared" si="330"/>
        <v>0</v>
      </c>
      <c r="EQ484" s="3">
        <f t="shared" si="330"/>
        <v>0</v>
      </c>
      <c r="ER484" s="3">
        <f t="shared" si="330"/>
        <v>0</v>
      </c>
      <c r="ES484" s="3">
        <f t="shared" si="330"/>
        <v>0</v>
      </c>
      <c r="ET484" s="3">
        <f t="shared" si="330"/>
        <v>0</v>
      </c>
      <c r="EU484" s="3">
        <f t="shared" si="330"/>
        <v>0</v>
      </c>
      <c r="EV484" s="3">
        <f t="shared" si="330"/>
        <v>0</v>
      </c>
      <c r="EW484" s="3">
        <f t="shared" si="330"/>
        <v>0</v>
      </c>
      <c r="EX484" s="3">
        <f t="shared" si="330"/>
        <v>0</v>
      </c>
      <c r="EY484" s="3">
        <f t="shared" si="330"/>
        <v>0</v>
      </c>
      <c r="EZ484" s="3">
        <f t="shared" si="330"/>
        <v>0</v>
      </c>
      <c r="FA484" s="3">
        <f t="shared" si="330"/>
        <v>0</v>
      </c>
      <c r="FB484" s="3">
        <f t="shared" si="330"/>
        <v>0</v>
      </c>
      <c r="FC484" s="3">
        <f t="shared" si="330"/>
        <v>0</v>
      </c>
      <c r="FD484" s="3">
        <f t="shared" si="330"/>
        <v>0</v>
      </c>
      <c r="FE484" s="3">
        <f t="shared" si="330"/>
        <v>0</v>
      </c>
      <c r="FF484" s="3">
        <f t="shared" si="330"/>
        <v>0</v>
      </c>
      <c r="FG484" s="3">
        <f t="shared" si="330"/>
        <v>0</v>
      </c>
      <c r="FH484" s="3">
        <f t="shared" si="330"/>
        <v>0</v>
      </c>
      <c r="FI484" s="3">
        <f t="shared" si="330"/>
        <v>0</v>
      </c>
      <c r="FJ484" s="3">
        <f t="shared" si="330"/>
        <v>0</v>
      </c>
      <c r="FK484" s="3">
        <f t="shared" si="330"/>
        <v>0</v>
      </c>
      <c r="FL484" s="3">
        <f t="shared" si="330"/>
        <v>0</v>
      </c>
      <c r="FM484" s="3">
        <f t="shared" si="330"/>
        <v>0</v>
      </c>
      <c r="FN484" s="3">
        <f t="shared" si="330"/>
        <v>0</v>
      </c>
      <c r="FO484" s="3">
        <f t="shared" si="330"/>
        <v>0</v>
      </c>
      <c r="FP484" s="3">
        <f t="shared" si="330"/>
        <v>0</v>
      </c>
      <c r="FQ484" s="3">
        <f t="shared" si="330"/>
        <v>0</v>
      </c>
      <c r="FR484" s="3">
        <f t="shared" si="330"/>
        <v>0</v>
      </c>
      <c r="FS484" s="3">
        <f t="shared" ref="FS484:GX484" si="331">FS490</f>
        <v>0</v>
      </c>
      <c r="FT484" s="3">
        <f t="shared" si="331"/>
        <v>0</v>
      </c>
      <c r="FU484" s="3">
        <f t="shared" si="331"/>
        <v>0</v>
      </c>
      <c r="FV484" s="3">
        <f t="shared" si="331"/>
        <v>0</v>
      </c>
      <c r="FW484" s="3">
        <f t="shared" si="331"/>
        <v>0</v>
      </c>
      <c r="FX484" s="3">
        <f t="shared" si="331"/>
        <v>0</v>
      </c>
      <c r="FY484" s="3">
        <f t="shared" si="331"/>
        <v>0</v>
      </c>
      <c r="FZ484" s="3">
        <f t="shared" si="331"/>
        <v>0</v>
      </c>
      <c r="GA484" s="3">
        <f t="shared" si="331"/>
        <v>0</v>
      </c>
      <c r="GB484" s="3">
        <f t="shared" si="331"/>
        <v>0</v>
      </c>
      <c r="GC484" s="3">
        <f t="shared" si="331"/>
        <v>0</v>
      </c>
      <c r="GD484" s="3">
        <f t="shared" si="331"/>
        <v>0</v>
      </c>
      <c r="GE484" s="3">
        <f t="shared" si="331"/>
        <v>0</v>
      </c>
      <c r="GF484" s="3">
        <f t="shared" si="331"/>
        <v>0</v>
      </c>
      <c r="GG484" s="3">
        <f t="shared" si="331"/>
        <v>0</v>
      </c>
      <c r="GH484" s="3">
        <f t="shared" si="331"/>
        <v>0</v>
      </c>
      <c r="GI484" s="3">
        <f t="shared" si="331"/>
        <v>0</v>
      </c>
      <c r="GJ484" s="3">
        <f t="shared" si="331"/>
        <v>0</v>
      </c>
      <c r="GK484" s="3">
        <f t="shared" si="331"/>
        <v>0</v>
      </c>
      <c r="GL484" s="3">
        <f t="shared" si="331"/>
        <v>0</v>
      </c>
      <c r="GM484" s="3">
        <f t="shared" si="331"/>
        <v>0</v>
      </c>
      <c r="GN484" s="3">
        <f t="shared" si="331"/>
        <v>0</v>
      </c>
      <c r="GO484" s="3">
        <f t="shared" si="331"/>
        <v>0</v>
      </c>
      <c r="GP484" s="3">
        <f t="shared" si="331"/>
        <v>0</v>
      </c>
      <c r="GQ484" s="3">
        <f t="shared" si="331"/>
        <v>0</v>
      </c>
      <c r="GR484" s="3">
        <f t="shared" si="331"/>
        <v>0</v>
      </c>
      <c r="GS484" s="3">
        <f t="shared" si="331"/>
        <v>0</v>
      </c>
      <c r="GT484" s="3">
        <f t="shared" si="331"/>
        <v>0</v>
      </c>
      <c r="GU484" s="3">
        <f t="shared" si="331"/>
        <v>0</v>
      </c>
      <c r="GV484" s="3">
        <f t="shared" si="331"/>
        <v>0</v>
      </c>
      <c r="GW484" s="3">
        <f t="shared" si="331"/>
        <v>0</v>
      </c>
      <c r="GX484" s="3">
        <f t="shared" si="331"/>
        <v>0</v>
      </c>
    </row>
    <row r="486" spans="1:245" x14ac:dyDescent="0.2">
      <c r="A486">
        <v>17</v>
      </c>
      <c r="B486">
        <v>1</v>
      </c>
      <c r="C486">
        <f>ROW(SmtRes!A192)</f>
        <v>192</v>
      </c>
      <c r="D486">
        <f>ROW(EtalonRes!A175)</f>
        <v>175</v>
      </c>
      <c r="E486" t="s">
        <v>288</v>
      </c>
      <c r="F486" t="s">
        <v>206</v>
      </c>
      <c r="G486" t="s">
        <v>207</v>
      </c>
      <c r="H486" t="s">
        <v>158</v>
      </c>
      <c r="I486">
        <f>ROUND(3/100,9)</f>
        <v>0.03</v>
      </c>
      <c r="J486">
        <v>0</v>
      </c>
      <c r="K486">
        <f>ROUND(3/100,9)</f>
        <v>0.03</v>
      </c>
      <c r="O486">
        <f>ROUND(CP486,2)</f>
        <v>347.3</v>
      </c>
      <c r="P486">
        <f>ROUND(CQ486*I486,2)</f>
        <v>0</v>
      </c>
      <c r="Q486">
        <f>ROUND(CR486*I486,2)</f>
        <v>0</v>
      </c>
      <c r="R486">
        <f>ROUND(CS486*I486,2)</f>
        <v>0</v>
      </c>
      <c r="S486">
        <f>ROUND(CT486*I486,2)</f>
        <v>347.3</v>
      </c>
      <c r="T486">
        <f>ROUND(CU486*I486,2)</f>
        <v>0</v>
      </c>
      <c r="U486">
        <f>CV486*I486</f>
        <v>0.89219999999999988</v>
      </c>
      <c r="V486">
        <f>CW486*I486</f>
        <v>0</v>
      </c>
      <c r="W486">
        <f>ROUND(CX486*I486,2)</f>
        <v>0</v>
      </c>
      <c r="X486">
        <f t="shared" ref="X486:Y488" si="332">ROUND(CY486,2)</f>
        <v>243.11</v>
      </c>
      <c r="Y486">
        <f t="shared" si="332"/>
        <v>34.729999999999997</v>
      </c>
      <c r="AA486">
        <v>75700856</v>
      </c>
      <c r="AB486">
        <f>ROUND((AC486+AD486+AF486),6)</f>
        <v>11576.6</v>
      </c>
      <c r="AC486">
        <f>ROUND((ES486),6)</f>
        <v>0</v>
      </c>
      <c r="AD486">
        <f>ROUND((((ET486)-(EU486))+AE486),6)</f>
        <v>0</v>
      </c>
      <c r="AE486">
        <f t="shared" ref="AE486:AF488" si="333">ROUND((EU486),6)</f>
        <v>0</v>
      </c>
      <c r="AF486">
        <f t="shared" si="333"/>
        <v>11576.6</v>
      </c>
      <c r="AG486">
        <f>ROUND((AP486),6)</f>
        <v>0</v>
      </c>
      <c r="AH486">
        <f t="shared" ref="AH486:AI488" si="334">(EW486)</f>
        <v>29.74</v>
      </c>
      <c r="AI486">
        <f t="shared" si="334"/>
        <v>0</v>
      </c>
      <c r="AJ486">
        <f>(AS486)</f>
        <v>0</v>
      </c>
      <c r="AK486">
        <v>11576.6</v>
      </c>
      <c r="AL486">
        <v>0</v>
      </c>
      <c r="AM486">
        <v>0</v>
      </c>
      <c r="AN486">
        <v>0</v>
      </c>
      <c r="AO486">
        <v>11576.6</v>
      </c>
      <c r="AP486">
        <v>0</v>
      </c>
      <c r="AQ486">
        <v>29.74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208</v>
      </c>
      <c r="BM486">
        <v>0</v>
      </c>
      <c r="BN486">
        <v>75371441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>(P486+Q486+S486)</f>
        <v>347.3</v>
      </c>
      <c r="CQ486">
        <f>(AC486*BC486*AW486)</f>
        <v>0</v>
      </c>
      <c r="CR486">
        <f>((((ET486)*BB486-(EU486)*BS486)+AE486*BS486)*AV486)</f>
        <v>0</v>
      </c>
      <c r="CS486">
        <f>(AE486*BS486*AV486)</f>
        <v>0</v>
      </c>
      <c r="CT486">
        <f>(AF486*BA486*AV486)</f>
        <v>11576.6</v>
      </c>
      <c r="CU486">
        <f>AG486</f>
        <v>0</v>
      </c>
      <c r="CV486">
        <f>(AH486*AV486)</f>
        <v>29.74</v>
      </c>
      <c r="CW486">
        <f t="shared" ref="CW486:CX488" si="335">AI486</f>
        <v>0</v>
      </c>
      <c r="CX486">
        <f t="shared" si="335"/>
        <v>0</v>
      </c>
      <c r="CY486">
        <f>((S486*BZ486)/100)</f>
        <v>243.11</v>
      </c>
      <c r="CZ486">
        <f>((S486*CA486)/100)</f>
        <v>34.729999999999997</v>
      </c>
      <c r="DC486" t="s">
        <v>3</v>
      </c>
      <c r="DD486" t="s">
        <v>3</v>
      </c>
      <c r="DE486" t="s">
        <v>3</v>
      </c>
      <c r="DF486" t="s">
        <v>3</v>
      </c>
      <c r="DG486" t="s">
        <v>3</v>
      </c>
      <c r="DH486" t="s">
        <v>3</v>
      </c>
      <c r="DI486" t="s">
        <v>3</v>
      </c>
      <c r="DJ486" t="s">
        <v>3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1010</v>
      </c>
      <c r="DV486" t="s">
        <v>158</v>
      </c>
      <c r="DW486" t="s">
        <v>158</v>
      </c>
      <c r="DX486">
        <v>100</v>
      </c>
      <c r="DZ486" t="s">
        <v>3</v>
      </c>
      <c r="EA486" t="s">
        <v>3</v>
      </c>
      <c r="EB486" t="s">
        <v>3</v>
      </c>
      <c r="EC486" t="s">
        <v>3</v>
      </c>
      <c r="EE486">
        <v>75371444</v>
      </c>
      <c r="EF486">
        <v>1</v>
      </c>
      <c r="EG486" t="s">
        <v>22</v>
      </c>
      <c r="EH486">
        <v>0</v>
      </c>
      <c r="EI486" t="s">
        <v>3</v>
      </c>
      <c r="EJ486">
        <v>4</v>
      </c>
      <c r="EK486">
        <v>0</v>
      </c>
      <c r="EL486" t="s">
        <v>23</v>
      </c>
      <c r="EM486" t="s">
        <v>24</v>
      </c>
      <c r="EO486" t="s">
        <v>3</v>
      </c>
      <c r="EQ486">
        <v>0</v>
      </c>
      <c r="ER486">
        <v>11576.6</v>
      </c>
      <c r="ES486">
        <v>0</v>
      </c>
      <c r="ET486">
        <v>0</v>
      </c>
      <c r="EU486">
        <v>0</v>
      </c>
      <c r="EV486">
        <v>11576.6</v>
      </c>
      <c r="EW486">
        <v>29.74</v>
      </c>
      <c r="EX486">
        <v>0</v>
      </c>
      <c r="EY486">
        <v>0</v>
      </c>
      <c r="FQ486">
        <v>0</v>
      </c>
      <c r="FR486">
        <f>ROUND(IF(BI486=3,GM486,0),2)</f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9423198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>ROUND(IF(AND(BH486=3,BI486=3,FS486&lt;&gt;0),P486,0),2)</f>
        <v>0</v>
      </c>
      <c r="GM486">
        <f>ROUND(O486+X486+Y486+GK486,2)+GX486</f>
        <v>625.14</v>
      </c>
      <c r="GN486">
        <f>IF(OR(BI486=0,BI486=1),GM486-GX486,0)</f>
        <v>0</v>
      </c>
      <c r="GO486">
        <f>IF(BI486=2,GM486-GX486,0)</f>
        <v>0</v>
      </c>
      <c r="GP486">
        <f>IF(BI486=4,GM486-GX486,0)</f>
        <v>625.14</v>
      </c>
      <c r="GR486">
        <v>0</v>
      </c>
      <c r="GS486">
        <v>3</v>
      </c>
      <c r="GT486">
        <v>0</v>
      </c>
      <c r="GU486" t="s">
        <v>3</v>
      </c>
      <c r="GV486">
        <f>ROUND((GT486),6)</f>
        <v>0</v>
      </c>
      <c r="GW486">
        <v>1</v>
      </c>
      <c r="GX486">
        <f>ROUND(HC486*I486,2)</f>
        <v>0</v>
      </c>
      <c r="HA486">
        <v>0</v>
      </c>
      <c r="HB486">
        <v>0</v>
      </c>
      <c r="HC486">
        <f>GV486*GW486</f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18</v>
      </c>
      <c r="B487">
        <v>1</v>
      </c>
      <c r="C487">
        <v>192</v>
      </c>
      <c r="E487" t="s">
        <v>289</v>
      </c>
      <c r="F487" t="s">
        <v>174</v>
      </c>
      <c r="G487" t="s">
        <v>210</v>
      </c>
      <c r="H487" t="s">
        <v>171</v>
      </c>
      <c r="I487">
        <f>I486*J487</f>
        <v>2</v>
      </c>
      <c r="J487">
        <v>66.666666666666671</v>
      </c>
      <c r="K487">
        <v>66.666667000000004</v>
      </c>
      <c r="O487">
        <f>ROUND(CP487,2)</f>
        <v>570</v>
      </c>
      <c r="P487">
        <f>ROUND(CQ487*I487,2)</f>
        <v>570</v>
      </c>
      <c r="Q487">
        <f>ROUND(CR487*I487,2)</f>
        <v>0</v>
      </c>
      <c r="R487">
        <f>ROUND(CS487*I487,2)</f>
        <v>0</v>
      </c>
      <c r="S487">
        <f>ROUND(CT487*I487,2)</f>
        <v>0</v>
      </c>
      <c r="T487">
        <f>ROUND(CU487*I487,2)</f>
        <v>0</v>
      </c>
      <c r="U487">
        <f>CV487*I487</f>
        <v>0</v>
      </c>
      <c r="V487">
        <f>CW487*I487</f>
        <v>0</v>
      </c>
      <c r="W487">
        <f>ROUND(CX487*I487,2)</f>
        <v>0</v>
      </c>
      <c r="X487">
        <f t="shared" si="332"/>
        <v>0</v>
      </c>
      <c r="Y487">
        <f t="shared" si="332"/>
        <v>0</v>
      </c>
      <c r="AA487">
        <v>75700856</v>
      </c>
      <c r="AB487">
        <f>ROUND((AC487+AD487+AF487),6)</f>
        <v>285</v>
      </c>
      <c r="AC487">
        <f>ROUND((ES487),6)</f>
        <v>285</v>
      </c>
      <c r="AD487">
        <f>ROUND((((ET487)-(EU487))+AE487),6)</f>
        <v>0</v>
      </c>
      <c r="AE487">
        <f t="shared" si="333"/>
        <v>0</v>
      </c>
      <c r="AF487">
        <f t="shared" si="333"/>
        <v>0</v>
      </c>
      <c r="AG487">
        <f>ROUND((AP487),6)</f>
        <v>0</v>
      </c>
      <c r="AH487">
        <f t="shared" si="334"/>
        <v>0</v>
      </c>
      <c r="AI487">
        <f t="shared" si="334"/>
        <v>0</v>
      </c>
      <c r="AJ487">
        <f>(AS487)</f>
        <v>0</v>
      </c>
      <c r="AK487">
        <v>285</v>
      </c>
      <c r="AL487">
        <v>285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3</v>
      </c>
      <c r="BI487">
        <v>4</v>
      </c>
      <c r="BJ487" t="s">
        <v>3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>(P487+Q487+S487)</f>
        <v>570</v>
      </c>
      <c r="CQ487">
        <f>(AC487*BC487*AW487)</f>
        <v>285</v>
      </c>
      <c r="CR487">
        <f>((((ET487)*BB487-(EU487)*BS487)+AE487*BS487)*AV487)</f>
        <v>0</v>
      </c>
      <c r="CS487">
        <f>(AE487*BS487*AV487)</f>
        <v>0</v>
      </c>
      <c r="CT487">
        <f>(AF487*BA487*AV487)</f>
        <v>0</v>
      </c>
      <c r="CU487">
        <f>AG487</f>
        <v>0</v>
      </c>
      <c r="CV487">
        <f>(AH487*AV487)</f>
        <v>0</v>
      </c>
      <c r="CW487">
        <f t="shared" si="335"/>
        <v>0</v>
      </c>
      <c r="CX487">
        <f t="shared" si="335"/>
        <v>0</v>
      </c>
      <c r="CY487">
        <f>((S487*BZ487)/100)</f>
        <v>0</v>
      </c>
      <c r="CZ487">
        <f>((S487*CA487)/100)</f>
        <v>0</v>
      </c>
      <c r="DC487" t="s">
        <v>3</v>
      </c>
      <c r="DD487" t="s">
        <v>3</v>
      </c>
      <c r="DE487" t="s">
        <v>3</v>
      </c>
      <c r="DF487" t="s">
        <v>3</v>
      </c>
      <c r="DG487" t="s">
        <v>3</v>
      </c>
      <c r="DH487" t="s">
        <v>3</v>
      </c>
      <c r="DI487" t="s">
        <v>3</v>
      </c>
      <c r="DJ487" t="s">
        <v>3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1010</v>
      </c>
      <c r="DV487" t="s">
        <v>171</v>
      </c>
      <c r="DW487" t="s">
        <v>171</v>
      </c>
      <c r="DX487">
        <v>1</v>
      </c>
      <c r="DZ487" t="s">
        <v>3</v>
      </c>
      <c r="EA487" t="s">
        <v>3</v>
      </c>
      <c r="EB487" t="s">
        <v>3</v>
      </c>
      <c r="EC487" t="s">
        <v>3</v>
      </c>
      <c r="EE487">
        <v>75371444</v>
      </c>
      <c r="EF487">
        <v>1</v>
      </c>
      <c r="EG487" t="s">
        <v>22</v>
      </c>
      <c r="EH487">
        <v>0</v>
      </c>
      <c r="EI487" t="s">
        <v>3</v>
      </c>
      <c r="EJ487">
        <v>4</v>
      </c>
      <c r="EK487">
        <v>0</v>
      </c>
      <c r="EL487" t="s">
        <v>23</v>
      </c>
      <c r="EM487" t="s">
        <v>24</v>
      </c>
      <c r="EO487" t="s">
        <v>3</v>
      </c>
      <c r="EQ487">
        <v>0</v>
      </c>
      <c r="ER487">
        <v>285</v>
      </c>
      <c r="ES487">
        <v>285</v>
      </c>
      <c r="ET487">
        <v>0</v>
      </c>
      <c r="EU487">
        <v>0</v>
      </c>
      <c r="EV487">
        <v>0</v>
      </c>
      <c r="EW487">
        <v>0</v>
      </c>
      <c r="EX487">
        <v>0</v>
      </c>
      <c r="EZ487">
        <v>5</v>
      </c>
      <c r="FC487">
        <v>1</v>
      </c>
      <c r="FD487">
        <v>18</v>
      </c>
      <c r="FF487">
        <v>342</v>
      </c>
      <c r="FQ487">
        <v>0</v>
      </c>
      <c r="FR487">
        <f>ROUND(IF(BI487=3,GM487,0),2)</f>
        <v>0</v>
      </c>
      <c r="FS487">
        <v>0</v>
      </c>
      <c r="FX487">
        <v>70</v>
      </c>
      <c r="FY487">
        <v>10</v>
      </c>
      <c r="GA487" t="s">
        <v>211</v>
      </c>
      <c r="GD487">
        <v>0</v>
      </c>
      <c r="GF487">
        <v>-303536335</v>
      </c>
      <c r="GG487">
        <v>2</v>
      </c>
      <c r="GH487">
        <v>3</v>
      </c>
      <c r="GI487">
        <v>-2</v>
      </c>
      <c r="GJ487">
        <v>0</v>
      </c>
      <c r="GK487">
        <f>ROUND(R487*(R12)/100,2)</f>
        <v>0</v>
      </c>
      <c r="GL487">
        <f>ROUND(IF(AND(BH487=3,BI487=3,FS487&lt;&gt;0),P487,0),2)</f>
        <v>0</v>
      </c>
      <c r="GM487">
        <f>ROUND(O487+X487+Y487+GK487,2)+GX487</f>
        <v>570</v>
      </c>
      <c r="GN487">
        <f>IF(OR(BI487=0,BI487=1),GM487-GX487,0)</f>
        <v>0</v>
      </c>
      <c r="GO487">
        <f>IF(BI487=2,GM487-GX487,0)</f>
        <v>0</v>
      </c>
      <c r="GP487">
        <f>IF(BI487=4,GM487-GX487,0)</f>
        <v>570</v>
      </c>
      <c r="GR487">
        <v>1</v>
      </c>
      <c r="GS487">
        <v>1</v>
      </c>
      <c r="GT487">
        <v>0</v>
      </c>
      <c r="GU487" t="s">
        <v>3</v>
      </c>
      <c r="GV487">
        <f>ROUND((GT487),6)</f>
        <v>0</v>
      </c>
      <c r="GW487">
        <v>1</v>
      </c>
      <c r="GX487">
        <f>ROUND(HC487*I487,2)</f>
        <v>0</v>
      </c>
      <c r="HA487">
        <v>0</v>
      </c>
      <c r="HB487">
        <v>0</v>
      </c>
      <c r="HC487">
        <f>GV487*GW487</f>
        <v>0</v>
      </c>
      <c r="HE487" t="s">
        <v>51</v>
      </c>
      <c r="HF487" t="s">
        <v>51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18</v>
      </c>
      <c r="B488">
        <v>1</v>
      </c>
      <c r="C488">
        <v>191</v>
      </c>
      <c r="E488" t="s">
        <v>290</v>
      </c>
      <c r="F488" t="s">
        <v>213</v>
      </c>
      <c r="G488" t="s">
        <v>214</v>
      </c>
      <c r="H488" t="s">
        <v>171</v>
      </c>
      <c r="I488">
        <f>I486*J488</f>
        <v>1</v>
      </c>
      <c r="J488">
        <v>33.333333333333336</v>
      </c>
      <c r="K488">
        <v>33.333333000000003</v>
      </c>
      <c r="O488">
        <f>ROUND(CP488,2)</f>
        <v>90.55</v>
      </c>
      <c r="P488">
        <f>ROUND(CQ488*I488,2)</f>
        <v>90.55</v>
      </c>
      <c r="Q488">
        <f>ROUND(CR488*I488,2)</f>
        <v>0</v>
      </c>
      <c r="R488">
        <f>ROUND(CS488*I488,2)</f>
        <v>0</v>
      </c>
      <c r="S488">
        <f>ROUND(CT488*I488,2)</f>
        <v>0</v>
      </c>
      <c r="T488">
        <f>ROUND(CU488*I488,2)</f>
        <v>0</v>
      </c>
      <c r="U488">
        <f>CV488*I488</f>
        <v>0</v>
      </c>
      <c r="V488">
        <f>CW488*I488</f>
        <v>0</v>
      </c>
      <c r="W488">
        <f>ROUND(CX488*I488,2)</f>
        <v>0</v>
      </c>
      <c r="X488">
        <f t="shared" si="332"/>
        <v>0</v>
      </c>
      <c r="Y488">
        <f t="shared" si="332"/>
        <v>0</v>
      </c>
      <c r="AA488">
        <v>75700856</v>
      </c>
      <c r="AB488">
        <f>ROUND((AC488+AD488+AF488),6)</f>
        <v>90.55</v>
      </c>
      <c r="AC488">
        <f>ROUND((ES488),6)</f>
        <v>90.55</v>
      </c>
      <c r="AD488">
        <f>ROUND((((ET488)-(EU488))+AE488),6)</f>
        <v>0</v>
      </c>
      <c r="AE488">
        <f t="shared" si="333"/>
        <v>0</v>
      </c>
      <c r="AF488">
        <f t="shared" si="333"/>
        <v>0</v>
      </c>
      <c r="AG488">
        <f>ROUND((AP488),6)</f>
        <v>0</v>
      </c>
      <c r="AH488">
        <f t="shared" si="334"/>
        <v>0</v>
      </c>
      <c r="AI488">
        <f t="shared" si="334"/>
        <v>0</v>
      </c>
      <c r="AJ488">
        <f>(AS488)</f>
        <v>0</v>
      </c>
      <c r="AK488">
        <v>90.55</v>
      </c>
      <c r="AL488">
        <v>90.55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3</v>
      </c>
      <c r="BI488">
        <v>4</v>
      </c>
      <c r="BJ488" t="s">
        <v>215</v>
      </c>
      <c r="BM488">
        <v>0</v>
      </c>
      <c r="BN488">
        <v>75371441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>(P488+Q488+S488)</f>
        <v>90.55</v>
      </c>
      <c r="CQ488">
        <f>(AC488*BC488*AW488)</f>
        <v>90.55</v>
      </c>
      <c r="CR488">
        <f>((((ET488)*BB488-(EU488)*BS488)+AE488*BS488)*AV488)</f>
        <v>0</v>
      </c>
      <c r="CS488">
        <f>(AE488*BS488*AV488)</f>
        <v>0</v>
      </c>
      <c r="CT488">
        <f>(AF488*BA488*AV488)</f>
        <v>0</v>
      </c>
      <c r="CU488">
        <f>AG488</f>
        <v>0</v>
      </c>
      <c r="CV488">
        <f>(AH488*AV488)</f>
        <v>0</v>
      </c>
      <c r="CW488">
        <f t="shared" si="335"/>
        <v>0</v>
      </c>
      <c r="CX488">
        <f t="shared" si="335"/>
        <v>0</v>
      </c>
      <c r="CY488">
        <f>((S488*BZ488)/100)</f>
        <v>0</v>
      </c>
      <c r="CZ488">
        <f>((S488*CA488)/100)</f>
        <v>0</v>
      </c>
      <c r="DC488" t="s">
        <v>3</v>
      </c>
      <c r="DD488" t="s">
        <v>3</v>
      </c>
      <c r="DE488" t="s">
        <v>3</v>
      </c>
      <c r="DF488" t="s">
        <v>3</v>
      </c>
      <c r="DG488" t="s">
        <v>3</v>
      </c>
      <c r="DH488" t="s">
        <v>3</v>
      </c>
      <c r="DI488" t="s">
        <v>3</v>
      </c>
      <c r="DJ488" t="s">
        <v>3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1010</v>
      </c>
      <c r="DV488" t="s">
        <v>171</v>
      </c>
      <c r="DW488" t="s">
        <v>171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75371444</v>
      </c>
      <c r="EF488">
        <v>1</v>
      </c>
      <c r="EG488" t="s">
        <v>22</v>
      </c>
      <c r="EH488">
        <v>0</v>
      </c>
      <c r="EI488" t="s">
        <v>3</v>
      </c>
      <c r="EJ488">
        <v>4</v>
      </c>
      <c r="EK488">
        <v>0</v>
      </c>
      <c r="EL488" t="s">
        <v>23</v>
      </c>
      <c r="EM488" t="s">
        <v>24</v>
      </c>
      <c r="EO488" t="s">
        <v>3</v>
      </c>
      <c r="EQ488">
        <v>0</v>
      </c>
      <c r="ER488">
        <v>90.55</v>
      </c>
      <c r="ES488">
        <v>90.55</v>
      </c>
      <c r="ET488">
        <v>0</v>
      </c>
      <c r="EU488">
        <v>0</v>
      </c>
      <c r="EV488">
        <v>0</v>
      </c>
      <c r="EW488">
        <v>0</v>
      </c>
      <c r="EX488">
        <v>0</v>
      </c>
      <c r="FQ488">
        <v>0</v>
      </c>
      <c r="FR488">
        <f>ROUND(IF(BI488=3,GM488,0),2)</f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-314732257</v>
      </c>
      <c r="GG488">
        <v>2</v>
      </c>
      <c r="GH488">
        <v>1</v>
      </c>
      <c r="GI488">
        <v>-2</v>
      </c>
      <c r="GJ488">
        <v>0</v>
      </c>
      <c r="GK488">
        <f>ROUND(R488*(R12)/100,2)</f>
        <v>0</v>
      </c>
      <c r="GL488">
        <f>ROUND(IF(AND(BH488=3,BI488=3,FS488&lt;&gt;0),P488,0),2)</f>
        <v>0</v>
      </c>
      <c r="GM488">
        <f>ROUND(O488+X488+Y488+GK488,2)+GX488</f>
        <v>90.55</v>
      </c>
      <c r="GN488">
        <f>IF(OR(BI488=0,BI488=1),GM488-GX488,0)</f>
        <v>0</v>
      </c>
      <c r="GO488">
        <f>IF(BI488=2,GM488-GX488,0)</f>
        <v>0</v>
      </c>
      <c r="GP488">
        <f>IF(BI488=4,GM488-GX488,0)</f>
        <v>90.55</v>
      </c>
      <c r="GR488">
        <v>0</v>
      </c>
      <c r="GS488">
        <v>3</v>
      </c>
      <c r="GT488">
        <v>0</v>
      </c>
      <c r="GU488" t="s">
        <v>3</v>
      </c>
      <c r="GV488">
        <f>ROUND((GT488),6)</f>
        <v>0</v>
      </c>
      <c r="GW488">
        <v>1</v>
      </c>
      <c r="GX488">
        <f>ROUND(HC488*I488,2)</f>
        <v>0</v>
      </c>
      <c r="HA488">
        <v>0</v>
      </c>
      <c r="HB488">
        <v>0</v>
      </c>
      <c r="HC488">
        <f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90" spans="1:245" x14ac:dyDescent="0.2">
      <c r="A490" s="2">
        <v>51</v>
      </c>
      <c r="B490" s="2">
        <f>B482</f>
        <v>1</v>
      </c>
      <c r="C490" s="2">
        <f>A482</f>
        <v>5</v>
      </c>
      <c r="D490" s="2">
        <f>ROW(A482)</f>
        <v>482</v>
      </c>
      <c r="E490" s="2"/>
      <c r="F490" s="2" t="str">
        <f>IF(F482&lt;&gt;"",F482,"")</f>
        <v>Новый подраздел</v>
      </c>
      <c r="G490" s="2" t="str">
        <f>IF(G482&lt;&gt;"",G482,"")</f>
        <v>Электрика</v>
      </c>
      <c r="H490" s="2">
        <v>0</v>
      </c>
      <c r="I490" s="2"/>
      <c r="J490" s="2"/>
      <c r="K490" s="2"/>
      <c r="L490" s="2"/>
      <c r="M490" s="2"/>
      <c r="N490" s="2"/>
      <c r="O490" s="2">
        <f t="shared" ref="O490:T490" si="336">ROUND(AB490,2)</f>
        <v>1007.85</v>
      </c>
      <c r="P490" s="2">
        <f t="shared" si="336"/>
        <v>660.55</v>
      </c>
      <c r="Q490" s="2">
        <f t="shared" si="336"/>
        <v>0</v>
      </c>
      <c r="R490" s="2">
        <f t="shared" si="336"/>
        <v>0</v>
      </c>
      <c r="S490" s="2">
        <f t="shared" si="336"/>
        <v>347.3</v>
      </c>
      <c r="T490" s="2">
        <f t="shared" si="336"/>
        <v>0</v>
      </c>
      <c r="U490" s="2">
        <f>AH490</f>
        <v>0.89219999999999988</v>
      </c>
      <c r="V490" s="2">
        <f>AI490</f>
        <v>0</v>
      </c>
      <c r="W490" s="2">
        <f>ROUND(AJ490,2)</f>
        <v>0</v>
      </c>
      <c r="X490" s="2">
        <f>ROUND(AK490,2)</f>
        <v>243.11</v>
      </c>
      <c r="Y490" s="2">
        <f>ROUND(AL490,2)</f>
        <v>34.729999999999997</v>
      </c>
      <c r="Z490" s="2"/>
      <c r="AA490" s="2"/>
      <c r="AB490" s="2">
        <f>ROUND(SUMIF(AA486:AA488,"=75700856",O486:O488),2)</f>
        <v>1007.85</v>
      </c>
      <c r="AC490" s="2">
        <f>ROUND(SUMIF(AA486:AA488,"=75700856",P486:P488),2)</f>
        <v>660.55</v>
      </c>
      <c r="AD490" s="2">
        <f>ROUND(SUMIF(AA486:AA488,"=75700856",Q486:Q488),2)</f>
        <v>0</v>
      </c>
      <c r="AE490" s="2">
        <f>ROUND(SUMIF(AA486:AA488,"=75700856",R486:R488),2)</f>
        <v>0</v>
      </c>
      <c r="AF490" s="2">
        <f>ROUND(SUMIF(AA486:AA488,"=75700856",S486:S488),2)</f>
        <v>347.3</v>
      </c>
      <c r="AG490" s="2">
        <f>ROUND(SUMIF(AA486:AA488,"=75700856",T486:T488),2)</f>
        <v>0</v>
      </c>
      <c r="AH490" s="2">
        <f>SUMIF(AA486:AA488,"=75700856",U486:U488)</f>
        <v>0.89219999999999988</v>
      </c>
      <c r="AI490" s="2">
        <f>SUMIF(AA486:AA488,"=75700856",V486:V488)</f>
        <v>0</v>
      </c>
      <c r="AJ490" s="2">
        <f>ROUND(SUMIF(AA486:AA488,"=75700856",W486:W488),2)</f>
        <v>0</v>
      </c>
      <c r="AK490" s="2">
        <f>ROUND(SUMIF(AA486:AA488,"=75700856",X486:X488),2)</f>
        <v>243.11</v>
      </c>
      <c r="AL490" s="2">
        <f>ROUND(SUMIF(AA486:AA488,"=75700856",Y486:Y488),2)</f>
        <v>34.729999999999997</v>
      </c>
      <c r="AM490" s="2"/>
      <c r="AN490" s="2"/>
      <c r="AO490" s="2">
        <f t="shared" ref="AO490:BD490" si="337">ROUND(BX490,2)</f>
        <v>0</v>
      </c>
      <c r="AP490" s="2">
        <f t="shared" si="337"/>
        <v>0</v>
      </c>
      <c r="AQ490" s="2">
        <f t="shared" si="337"/>
        <v>0</v>
      </c>
      <c r="AR490" s="2">
        <f t="shared" si="337"/>
        <v>1285.69</v>
      </c>
      <c r="AS490" s="2">
        <f t="shared" si="337"/>
        <v>0</v>
      </c>
      <c r="AT490" s="2">
        <f t="shared" si="337"/>
        <v>0</v>
      </c>
      <c r="AU490" s="2">
        <f t="shared" si="337"/>
        <v>1285.69</v>
      </c>
      <c r="AV490" s="2">
        <f t="shared" si="337"/>
        <v>660.55</v>
      </c>
      <c r="AW490" s="2">
        <f t="shared" si="337"/>
        <v>660.55</v>
      </c>
      <c r="AX490" s="2">
        <f t="shared" si="337"/>
        <v>0</v>
      </c>
      <c r="AY490" s="2">
        <f t="shared" si="337"/>
        <v>660.55</v>
      </c>
      <c r="AZ490" s="2">
        <f t="shared" si="337"/>
        <v>0</v>
      </c>
      <c r="BA490" s="2">
        <f t="shared" si="337"/>
        <v>0</v>
      </c>
      <c r="BB490" s="2">
        <f t="shared" si="337"/>
        <v>0</v>
      </c>
      <c r="BC490" s="2">
        <f t="shared" si="337"/>
        <v>0</v>
      </c>
      <c r="BD490" s="2">
        <f t="shared" si="337"/>
        <v>0</v>
      </c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>
        <f>ROUND(SUMIF(AA486:AA488,"=75700856",FQ486:FQ488),2)</f>
        <v>0</v>
      </c>
      <c r="BY490" s="2">
        <f>ROUND(SUMIF(AA486:AA488,"=75700856",FR486:FR488),2)</f>
        <v>0</v>
      </c>
      <c r="BZ490" s="2">
        <f>ROUND(SUMIF(AA486:AA488,"=75700856",GL486:GL488),2)</f>
        <v>0</v>
      </c>
      <c r="CA490" s="2">
        <f>ROUND(SUMIF(AA486:AA488,"=75700856",GM486:GM488),2)</f>
        <v>1285.69</v>
      </c>
      <c r="CB490" s="2">
        <f>ROUND(SUMIF(AA486:AA488,"=75700856",GN486:GN488),2)</f>
        <v>0</v>
      </c>
      <c r="CC490" s="2">
        <f>ROUND(SUMIF(AA486:AA488,"=75700856",GO486:GO488),2)</f>
        <v>0</v>
      </c>
      <c r="CD490" s="2">
        <f>ROUND(SUMIF(AA486:AA488,"=75700856",GP486:GP488),2)</f>
        <v>1285.69</v>
      </c>
      <c r="CE490" s="2">
        <f>AC490-BX490</f>
        <v>660.55</v>
      </c>
      <c r="CF490" s="2">
        <f>AC490-BY490</f>
        <v>660.55</v>
      </c>
      <c r="CG490" s="2">
        <f>BX490-BZ490</f>
        <v>0</v>
      </c>
      <c r="CH490" s="2">
        <f>AC490-BX490-BY490+BZ490</f>
        <v>660.55</v>
      </c>
      <c r="CI490" s="2">
        <f>BY490-BZ490</f>
        <v>0</v>
      </c>
      <c r="CJ490" s="2">
        <f>ROUND(SUMIF(AA486:AA488,"=75700856",GX486:GX488),2)</f>
        <v>0</v>
      </c>
      <c r="CK490" s="2">
        <f>ROUND(SUMIF(AA486:AA488,"=75700856",GY486:GY488),2)</f>
        <v>0</v>
      </c>
      <c r="CL490" s="2">
        <f>ROUND(SUMIF(AA486:AA488,"=75700856",GZ486:GZ488),2)</f>
        <v>0</v>
      </c>
      <c r="CM490" s="2">
        <f>ROUND(SUMIF(AA486:AA488,"=75700856",HD486:HD488),2)</f>
        <v>0</v>
      </c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3"/>
      <c r="DH490" s="3"/>
      <c r="DI490" s="3"/>
      <c r="DJ490" s="3"/>
      <c r="DK490" s="3"/>
      <c r="DL490" s="3"/>
      <c r="DM490" s="3"/>
      <c r="DN490" s="3"/>
      <c r="DO490" s="3"/>
      <c r="DP490" s="3"/>
      <c r="DQ490" s="3"/>
      <c r="DR490" s="3"/>
      <c r="DS490" s="3"/>
      <c r="DT490" s="3"/>
      <c r="DU490" s="3"/>
      <c r="DV490" s="3"/>
      <c r="DW490" s="3"/>
      <c r="DX490" s="3"/>
      <c r="DY490" s="3"/>
      <c r="DZ490" s="3"/>
      <c r="EA490" s="3"/>
      <c r="EB490" s="3"/>
      <c r="EC490" s="3"/>
      <c r="ED490" s="3"/>
      <c r="EE490" s="3"/>
      <c r="EF490" s="3"/>
      <c r="EG490" s="3"/>
      <c r="EH490" s="3"/>
      <c r="EI490" s="3"/>
      <c r="EJ490" s="3"/>
      <c r="EK490" s="3"/>
      <c r="EL490" s="3"/>
      <c r="EM490" s="3"/>
      <c r="EN490" s="3"/>
      <c r="EO490" s="3"/>
      <c r="EP490" s="3"/>
      <c r="EQ490" s="3"/>
      <c r="ER490" s="3"/>
      <c r="ES490" s="3"/>
      <c r="ET490" s="3"/>
      <c r="EU490" s="3"/>
      <c r="EV490" s="3"/>
      <c r="EW490" s="3"/>
      <c r="EX490" s="3"/>
      <c r="EY490" s="3"/>
      <c r="EZ490" s="3"/>
      <c r="FA490" s="3"/>
      <c r="FB490" s="3"/>
      <c r="FC490" s="3"/>
      <c r="FD490" s="3"/>
      <c r="FE490" s="3"/>
      <c r="FF490" s="3"/>
      <c r="FG490" s="3"/>
      <c r="FH490" s="3"/>
      <c r="FI490" s="3"/>
      <c r="FJ490" s="3"/>
      <c r="FK490" s="3"/>
      <c r="FL490" s="3"/>
      <c r="FM490" s="3"/>
      <c r="FN490" s="3"/>
      <c r="FO490" s="3"/>
      <c r="FP490" s="3"/>
      <c r="FQ490" s="3"/>
      <c r="FR490" s="3"/>
      <c r="FS490" s="3"/>
      <c r="FT490" s="3"/>
      <c r="FU490" s="3"/>
      <c r="FV490" s="3"/>
      <c r="FW490" s="3"/>
      <c r="FX490" s="3"/>
      <c r="FY490" s="3"/>
      <c r="FZ490" s="3"/>
      <c r="GA490" s="3"/>
      <c r="GB490" s="3"/>
      <c r="GC490" s="3"/>
      <c r="GD490" s="3"/>
      <c r="GE490" s="3"/>
      <c r="GF490" s="3"/>
      <c r="GG490" s="3"/>
      <c r="GH490" s="3"/>
      <c r="GI490" s="3"/>
      <c r="GJ490" s="3"/>
      <c r="GK490" s="3"/>
      <c r="GL490" s="3"/>
      <c r="GM490" s="3"/>
      <c r="GN490" s="3"/>
      <c r="GO490" s="3"/>
      <c r="GP490" s="3"/>
      <c r="GQ490" s="3"/>
      <c r="GR490" s="3"/>
      <c r="GS490" s="3"/>
      <c r="GT490" s="3"/>
      <c r="GU490" s="3"/>
      <c r="GV490" s="3"/>
      <c r="GW490" s="3"/>
      <c r="GX490" s="3">
        <v>0</v>
      </c>
    </row>
    <row r="492" spans="1:245" x14ac:dyDescent="0.2">
      <c r="A492" s="4">
        <v>50</v>
      </c>
      <c r="B492" s="4">
        <v>0</v>
      </c>
      <c r="C492" s="4">
        <v>0</v>
      </c>
      <c r="D492" s="4">
        <v>1</v>
      </c>
      <c r="E492" s="4">
        <v>201</v>
      </c>
      <c r="F492" s="4">
        <f>ROUND(Source!O490,O492)</f>
        <v>1007.85</v>
      </c>
      <c r="G492" s="4" t="s">
        <v>74</v>
      </c>
      <c r="H492" s="4" t="s">
        <v>75</v>
      </c>
      <c r="I492" s="4"/>
      <c r="J492" s="4"/>
      <c r="K492" s="4">
        <v>201</v>
      </c>
      <c r="L492" s="4">
        <v>1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1007.85</v>
      </c>
      <c r="X492" s="4">
        <v>1</v>
      </c>
      <c r="Y492" s="4">
        <v>1007.85</v>
      </c>
      <c r="Z492" s="4"/>
      <c r="AA492" s="4"/>
      <c r="AB492" s="4"/>
    </row>
    <row r="493" spans="1:245" x14ac:dyDescent="0.2">
      <c r="A493" s="4">
        <v>50</v>
      </c>
      <c r="B493" s="4">
        <v>0</v>
      </c>
      <c r="C493" s="4">
        <v>0</v>
      </c>
      <c r="D493" s="4">
        <v>1</v>
      </c>
      <c r="E493" s="4">
        <v>202</v>
      </c>
      <c r="F493" s="4">
        <f>ROUND(Source!P490,O493)</f>
        <v>660.55</v>
      </c>
      <c r="G493" s="4" t="s">
        <v>76</v>
      </c>
      <c r="H493" s="4" t="s">
        <v>77</v>
      </c>
      <c r="I493" s="4"/>
      <c r="J493" s="4"/>
      <c r="K493" s="4">
        <v>202</v>
      </c>
      <c r="L493" s="4">
        <v>2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660.55</v>
      </c>
      <c r="X493" s="4">
        <v>1</v>
      </c>
      <c r="Y493" s="4">
        <v>660.55</v>
      </c>
      <c r="Z493" s="4"/>
      <c r="AA493" s="4"/>
      <c r="AB493" s="4"/>
    </row>
    <row r="494" spans="1:245" x14ac:dyDescent="0.2">
      <c r="A494" s="4">
        <v>50</v>
      </c>
      <c r="B494" s="4">
        <v>0</v>
      </c>
      <c r="C494" s="4">
        <v>0</v>
      </c>
      <c r="D494" s="4">
        <v>1</v>
      </c>
      <c r="E494" s="4">
        <v>222</v>
      </c>
      <c r="F494" s="4">
        <f>ROUND(Source!AO490,O494)</f>
        <v>0</v>
      </c>
      <c r="G494" s="4" t="s">
        <v>78</v>
      </c>
      <c r="H494" s="4" t="s">
        <v>79</v>
      </c>
      <c r="I494" s="4"/>
      <c r="J494" s="4"/>
      <c r="K494" s="4">
        <v>222</v>
      </c>
      <c r="L494" s="4">
        <v>3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45" x14ac:dyDescent="0.2">
      <c r="A495" s="4">
        <v>50</v>
      </c>
      <c r="B495" s="4">
        <v>0</v>
      </c>
      <c r="C495" s="4">
        <v>0</v>
      </c>
      <c r="D495" s="4">
        <v>1</v>
      </c>
      <c r="E495" s="4">
        <v>225</v>
      </c>
      <c r="F495" s="4">
        <f>ROUND(Source!AV490,O495)</f>
        <v>660.55</v>
      </c>
      <c r="G495" s="4" t="s">
        <v>80</v>
      </c>
      <c r="H495" s="4" t="s">
        <v>81</v>
      </c>
      <c r="I495" s="4"/>
      <c r="J495" s="4"/>
      <c r="K495" s="4">
        <v>225</v>
      </c>
      <c r="L495" s="4">
        <v>4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660.55</v>
      </c>
      <c r="X495" s="4">
        <v>1</v>
      </c>
      <c r="Y495" s="4">
        <v>660.55</v>
      </c>
      <c r="Z495" s="4"/>
      <c r="AA495" s="4"/>
      <c r="AB495" s="4"/>
    </row>
    <row r="496" spans="1:245" x14ac:dyDescent="0.2">
      <c r="A496" s="4">
        <v>50</v>
      </c>
      <c r="B496" s="4">
        <v>0</v>
      </c>
      <c r="C496" s="4">
        <v>0</v>
      </c>
      <c r="D496" s="4">
        <v>1</v>
      </c>
      <c r="E496" s="4">
        <v>226</v>
      </c>
      <c r="F496" s="4">
        <f>ROUND(Source!AW490,O496)</f>
        <v>660.55</v>
      </c>
      <c r="G496" s="4" t="s">
        <v>82</v>
      </c>
      <c r="H496" s="4" t="s">
        <v>83</v>
      </c>
      <c r="I496" s="4"/>
      <c r="J496" s="4"/>
      <c r="K496" s="4">
        <v>226</v>
      </c>
      <c r="L496" s="4">
        <v>5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660.55</v>
      </c>
      <c r="X496" s="4">
        <v>1</v>
      </c>
      <c r="Y496" s="4">
        <v>660.55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227</v>
      </c>
      <c r="F497" s="4">
        <f>ROUND(Source!AX490,O497)</f>
        <v>0</v>
      </c>
      <c r="G497" s="4" t="s">
        <v>84</v>
      </c>
      <c r="H497" s="4" t="s">
        <v>85</v>
      </c>
      <c r="I497" s="4"/>
      <c r="J497" s="4"/>
      <c r="K497" s="4">
        <v>227</v>
      </c>
      <c r="L497" s="4">
        <v>6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228</v>
      </c>
      <c r="F498" s="4">
        <f>ROUND(Source!AY490,O498)</f>
        <v>660.55</v>
      </c>
      <c r="G498" s="4" t="s">
        <v>86</v>
      </c>
      <c r="H498" s="4" t="s">
        <v>87</v>
      </c>
      <c r="I498" s="4"/>
      <c r="J498" s="4"/>
      <c r="K498" s="4">
        <v>228</v>
      </c>
      <c r="L498" s="4">
        <v>7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660.55</v>
      </c>
      <c r="X498" s="4">
        <v>1</v>
      </c>
      <c r="Y498" s="4">
        <v>660.55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216</v>
      </c>
      <c r="F499" s="4">
        <f>ROUND(Source!AP490,O499)</f>
        <v>0</v>
      </c>
      <c r="G499" s="4" t="s">
        <v>88</v>
      </c>
      <c r="H499" s="4" t="s">
        <v>89</v>
      </c>
      <c r="I499" s="4"/>
      <c r="J499" s="4"/>
      <c r="K499" s="4">
        <v>216</v>
      </c>
      <c r="L499" s="4">
        <v>8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0</v>
      </c>
      <c r="X499" s="4">
        <v>1</v>
      </c>
      <c r="Y499" s="4">
        <v>0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223</v>
      </c>
      <c r="F500" s="4">
        <f>ROUND(Source!AQ490,O500)</f>
        <v>0</v>
      </c>
      <c r="G500" s="4" t="s">
        <v>90</v>
      </c>
      <c r="H500" s="4" t="s">
        <v>91</v>
      </c>
      <c r="I500" s="4"/>
      <c r="J500" s="4"/>
      <c r="K500" s="4">
        <v>223</v>
      </c>
      <c r="L500" s="4">
        <v>9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229</v>
      </c>
      <c r="F501" s="4">
        <f>ROUND(Source!AZ490,O501)</f>
        <v>0</v>
      </c>
      <c r="G501" s="4" t="s">
        <v>92</v>
      </c>
      <c r="H501" s="4" t="s">
        <v>93</v>
      </c>
      <c r="I501" s="4"/>
      <c r="J501" s="4"/>
      <c r="K501" s="4">
        <v>229</v>
      </c>
      <c r="L501" s="4">
        <v>10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203</v>
      </c>
      <c r="F502" s="4">
        <f>ROUND(Source!Q490,O502)</f>
        <v>0</v>
      </c>
      <c r="G502" s="4" t="s">
        <v>94</v>
      </c>
      <c r="H502" s="4" t="s">
        <v>95</v>
      </c>
      <c r="I502" s="4"/>
      <c r="J502" s="4"/>
      <c r="K502" s="4">
        <v>203</v>
      </c>
      <c r="L502" s="4">
        <v>11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231</v>
      </c>
      <c r="F503" s="4">
        <f>ROUND(Source!BB490,O503)</f>
        <v>0</v>
      </c>
      <c r="G503" s="4" t="s">
        <v>96</v>
      </c>
      <c r="H503" s="4" t="s">
        <v>97</v>
      </c>
      <c r="I503" s="4"/>
      <c r="J503" s="4"/>
      <c r="K503" s="4">
        <v>231</v>
      </c>
      <c r="L503" s="4">
        <v>12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204</v>
      </c>
      <c r="F504" s="4">
        <f>ROUND(Source!R490,O504)</f>
        <v>0</v>
      </c>
      <c r="G504" s="4" t="s">
        <v>98</v>
      </c>
      <c r="H504" s="4" t="s">
        <v>99</v>
      </c>
      <c r="I504" s="4"/>
      <c r="J504" s="4"/>
      <c r="K504" s="4">
        <v>204</v>
      </c>
      <c r="L504" s="4">
        <v>13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205</v>
      </c>
      <c r="F505" s="4">
        <f>ROUND(Source!S490,O505)</f>
        <v>347.3</v>
      </c>
      <c r="G505" s="4" t="s">
        <v>100</v>
      </c>
      <c r="H505" s="4" t="s">
        <v>101</v>
      </c>
      <c r="I505" s="4"/>
      <c r="J505" s="4"/>
      <c r="K505" s="4">
        <v>205</v>
      </c>
      <c r="L505" s="4">
        <v>14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347.3</v>
      </c>
      <c r="X505" s="4">
        <v>1</v>
      </c>
      <c r="Y505" s="4">
        <v>347.3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232</v>
      </c>
      <c r="F506" s="4">
        <f>ROUND(Source!BC490,O506)</f>
        <v>0</v>
      </c>
      <c r="G506" s="4" t="s">
        <v>102</v>
      </c>
      <c r="H506" s="4" t="s">
        <v>103</v>
      </c>
      <c r="I506" s="4"/>
      <c r="J506" s="4"/>
      <c r="K506" s="4">
        <v>232</v>
      </c>
      <c r="L506" s="4">
        <v>15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214</v>
      </c>
      <c r="F507" s="4">
        <f>ROUND(Source!AS490,O507)</f>
        <v>0</v>
      </c>
      <c r="G507" s="4" t="s">
        <v>104</v>
      </c>
      <c r="H507" s="4" t="s">
        <v>105</v>
      </c>
      <c r="I507" s="4"/>
      <c r="J507" s="4"/>
      <c r="K507" s="4">
        <v>214</v>
      </c>
      <c r="L507" s="4">
        <v>16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215</v>
      </c>
      <c r="F508" s="4">
        <f>ROUND(Source!AT490,O508)</f>
        <v>0</v>
      </c>
      <c r="G508" s="4" t="s">
        <v>106</v>
      </c>
      <c r="H508" s="4" t="s">
        <v>107</v>
      </c>
      <c r="I508" s="4"/>
      <c r="J508" s="4"/>
      <c r="K508" s="4">
        <v>215</v>
      </c>
      <c r="L508" s="4">
        <v>17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217</v>
      </c>
      <c r="F509" s="4">
        <f>ROUND(Source!AU490,O509)</f>
        <v>1285.69</v>
      </c>
      <c r="G509" s="4" t="s">
        <v>108</v>
      </c>
      <c r="H509" s="4" t="s">
        <v>109</v>
      </c>
      <c r="I509" s="4"/>
      <c r="J509" s="4"/>
      <c r="K509" s="4">
        <v>217</v>
      </c>
      <c r="L509" s="4">
        <v>18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1285.69</v>
      </c>
      <c r="X509" s="4">
        <v>1</v>
      </c>
      <c r="Y509" s="4">
        <v>1285.69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230</v>
      </c>
      <c r="F510" s="4">
        <f>ROUND(Source!BA490,O510)</f>
        <v>0</v>
      </c>
      <c r="G510" s="4" t="s">
        <v>110</v>
      </c>
      <c r="H510" s="4" t="s">
        <v>111</v>
      </c>
      <c r="I510" s="4"/>
      <c r="J510" s="4"/>
      <c r="K510" s="4">
        <v>230</v>
      </c>
      <c r="L510" s="4">
        <v>19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206</v>
      </c>
      <c r="F511" s="4">
        <f>ROUND(Source!T490,O511)</f>
        <v>0</v>
      </c>
      <c r="G511" s="4" t="s">
        <v>112</v>
      </c>
      <c r="H511" s="4" t="s">
        <v>113</v>
      </c>
      <c r="I511" s="4"/>
      <c r="J511" s="4"/>
      <c r="K511" s="4">
        <v>206</v>
      </c>
      <c r="L511" s="4">
        <v>20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207</v>
      </c>
      <c r="F512" s="4">
        <f>Source!U490</f>
        <v>0.89219999999999988</v>
      </c>
      <c r="G512" s="4" t="s">
        <v>114</v>
      </c>
      <c r="H512" s="4" t="s">
        <v>115</v>
      </c>
      <c r="I512" s="4"/>
      <c r="J512" s="4"/>
      <c r="K512" s="4">
        <v>207</v>
      </c>
      <c r="L512" s="4">
        <v>21</v>
      </c>
      <c r="M512" s="4">
        <v>3</v>
      </c>
      <c r="N512" s="4" t="s">
        <v>3</v>
      </c>
      <c r="O512" s="4">
        <v>-1</v>
      </c>
      <c r="P512" s="4"/>
      <c r="Q512" s="4"/>
      <c r="R512" s="4"/>
      <c r="S512" s="4"/>
      <c r="T512" s="4"/>
      <c r="U512" s="4"/>
      <c r="V512" s="4"/>
      <c r="W512" s="4">
        <v>0.89219999999999999</v>
      </c>
      <c r="X512" s="4">
        <v>1</v>
      </c>
      <c r="Y512" s="4">
        <v>0.89219999999999999</v>
      </c>
      <c r="Z512" s="4"/>
      <c r="AA512" s="4"/>
      <c r="AB512" s="4"/>
    </row>
    <row r="513" spans="1:245" x14ac:dyDescent="0.2">
      <c r="A513" s="4">
        <v>50</v>
      </c>
      <c r="B513" s="4">
        <v>0</v>
      </c>
      <c r="C513" s="4">
        <v>0</v>
      </c>
      <c r="D513" s="4">
        <v>1</v>
      </c>
      <c r="E513" s="4">
        <v>208</v>
      </c>
      <c r="F513" s="4">
        <f>Source!V490</f>
        <v>0</v>
      </c>
      <c r="G513" s="4" t="s">
        <v>116</v>
      </c>
      <c r="H513" s="4" t="s">
        <v>117</v>
      </c>
      <c r="I513" s="4"/>
      <c r="J513" s="4"/>
      <c r="K513" s="4">
        <v>208</v>
      </c>
      <c r="L513" s="4">
        <v>22</v>
      </c>
      <c r="M513" s="4">
        <v>3</v>
      </c>
      <c r="N513" s="4" t="s">
        <v>3</v>
      </c>
      <c r="O513" s="4">
        <v>-1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45" x14ac:dyDescent="0.2">
      <c r="A514" s="4">
        <v>50</v>
      </c>
      <c r="B514" s="4">
        <v>0</v>
      </c>
      <c r="C514" s="4">
        <v>0</v>
      </c>
      <c r="D514" s="4">
        <v>1</v>
      </c>
      <c r="E514" s="4">
        <v>209</v>
      </c>
      <c r="F514" s="4">
        <f>ROUND(Source!W490,O514)</f>
        <v>0</v>
      </c>
      <c r="G514" s="4" t="s">
        <v>118</v>
      </c>
      <c r="H514" s="4" t="s">
        <v>119</v>
      </c>
      <c r="I514" s="4"/>
      <c r="J514" s="4"/>
      <c r="K514" s="4">
        <v>209</v>
      </c>
      <c r="L514" s="4">
        <v>23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45" x14ac:dyDescent="0.2">
      <c r="A515" s="4">
        <v>50</v>
      </c>
      <c r="B515" s="4">
        <v>0</v>
      </c>
      <c r="C515" s="4">
        <v>0</v>
      </c>
      <c r="D515" s="4">
        <v>1</v>
      </c>
      <c r="E515" s="4">
        <v>233</v>
      </c>
      <c r="F515" s="4">
        <f>ROUND(Source!BD490,O515)</f>
        <v>0</v>
      </c>
      <c r="G515" s="4" t="s">
        <v>120</v>
      </c>
      <c r="H515" s="4" t="s">
        <v>121</v>
      </c>
      <c r="I515" s="4"/>
      <c r="J515" s="4"/>
      <c r="K515" s="4">
        <v>233</v>
      </c>
      <c r="L515" s="4">
        <v>24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45" x14ac:dyDescent="0.2">
      <c r="A516" s="4">
        <v>50</v>
      </c>
      <c r="B516" s="4">
        <v>0</v>
      </c>
      <c r="C516" s="4">
        <v>0</v>
      </c>
      <c r="D516" s="4">
        <v>1</v>
      </c>
      <c r="E516" s="4">
        <v>210</v>
      </c>
      <c r="F516" s="4">
        <f>ROUND(Source!X490,O516)</f>
        <v>243.11</v>
      </c>
      <c r="G516" s="4" t="s">
        <v>122</v>
      </c>
      <c r="H516" s="4" t="s">
        <v>123</v>
      </c>
      <c r="I516" s="4"/>
      <c r="J516" s="4"/>
      <c r="K516" s="4">
        <v>210</v>
      </c>
      <c r="L516" s="4">
        <v>25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243.11</v>
      </c>
      <c r="X516" s="4">
        <v>1</v>
      </c>
      <c r="Y516" s="4">
        <v>243.11</v>
      </c>
      <c r="Z516" s="4"/>
      <c r="AA516" s="4"/>
      <c r="AB516" s="4"/>
    </row>
    <row r="517" spans="1:245" x14ac:dyDescent="0.2">
      <c r="A517" s="4">
        <v>50</v>
      </c>
      <c r="B517" s="4">
        <v>0</v>
      </c>
      <c r="C517" s="4">
        <v>0</v>
      </c>
      <c r="D517" s="4">
        <v>1</v>
      </c>
      <c r="E517" s="4">
        <v>211</v>
      </c>
      <c r="F517" s="4">
        <f>ROUND(Source!Y490,O517)</f>
        <v>34.729999999999997</v>
      </c>
      <c r="G517" s="4" t="s">
        <v>124</v>
      </c>
      <c r="H517" s="4" t="s">
        <v>125</v>
      </c>
      <c r="I517" s="4"/>
      <c r="J517" s="4"/>
      <c r="K517" s="4">
        <v>211</v>
      </c>
      <c r="L517" s="4">
        <v>26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34.729999999999997</v>
      </c>
      <c r="X517" s="4">
        <v>1</v>
      </c>
      <c r="Y517" s="4">
        <v>34.729999999999997</v>
      </c>
      <c r="Z517" s="4"/>
      <c r="AA517" s="4"/>
      <c r="AB517" s="4"/>
    </row>
    <row r="518" spans="1:245" x14ac:dyDescent="0.2">
      <c r="A518" s="4">
        <v>50</v>
      </c>
      <c r="B518" s="4">
        <v>0</v>
      </c>
      <c r="C518" s="4">
        <v>0</v>
      </c>
      <c r="D518" s="4">
        <v>1</v>
      </c>
      <c r="E518" s="4">
        <v>224</v>
      </c>
      <c r="F518" s="4">
        <f>ROUND(Source!AR490,O518)</f>
        <v>1285.69</v>
      </c>
      <c r="G518" s="4" t="s">
        <v>126</v>
      </c>
      <c r="H518" s="4" t="s">
        <v>127</v>
      </c>
      <c r="I518" s="4"/>
      <c r="J518" s="4"/>
      <c r="K518" s="4">
        <v>224</v>
      </c>
      <c r="L518" s="4">
        <v>27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1285.69</v>
      </c>
      <c r="X518" s="4">
        <v>1</v>
      </c>
      <c r="Y518" s="4">
        <v>1285.69</v>
      </c>
      <c r="Z518" s="4"/>
      <c r="AA518" s="4"/>
      <c r="AB518" s="4"/>
    </row>
    <row r="520" spans="1:245" x14ac:dyDescent="0.2">
      <c r="A520" s="1">
        <v>5</v>
      </c>
      <c r="B520" s="1">
        <v>1</v>
      </c>
      <c r="C520" s="1"/>
      <c r="D520" s="1">
        <f>ROW(A528)</f>
        <v>528</v>
      </c>
      <c r="E520" s="1"/>
      <c r="F520" s="1" t="s">
        <v>15</v>
      </c>
      <c r="G520" s="1" t="s">
        <v>216</v>
      </c>
      <c r="H520" s="1" t="s">
        <v>3</v>
      </c>
      <c r="I520" s="1">
        <v>0</v>
      </c>
      <c r="J520" s="1"/>
      <c r="K520" s="1">
        <v>0</v>
      </c>
      <c r="L520" s="1"/>
      <c r="M520" s="1" t="s">
        <v>3</v>
      </c>
      <c r="N520" s="1"/>
      <c r="O520" s="1"/>
      <c r="P520" s="1"/>
      <c r="Q520" s="1"/>
      <c r="R520" s="1"/>
      <c r="S520" s="1">
        <v>0</v>
      </c>
      <c r="T520" s="1"/>
      <c r="U520" s="1" t="s">
        <v>3</v>
      </c>
      <c r="V520" s="1">
        <v>0</v>
      </c>
      <c r="W520" s="1"/>
      <c r="X520" s="1"/>
      <c r="Y520" s="1"/>
      <c r="Z520" s="1"/>
      <c r="AA520" s="1"/>
      <c r="AB520" s="1" t="s">
        <v>3</v>
      </c>
      <c r="AC520" s="1" t="s">
        <v>3</v>
      </c>
      <c r="AD520" s="1" t="s">
        <v>3</v>
      </c>
      <c r="AE520" s="1" t="s">
        <v>3</v>
      </c>
      <c r="AF520" s="1" t="s">
        <v>3</v>
      </c>
      <c r="AG520" s="1" t="s">
        <v>3</v>
      </c>
      <c r="AH520" s="1"/>
      <c r="AI520" s="1"/>
      <c r="AJ520" s="1"/>
      <c r="AK520" s="1"/>
      <c r="AL520" s="1"/>
      <c r="AM520" s="1"/>
      <c r="AN520" s="1"/>
      <c r="AO520" s="1"/>
      <c r="AP520" s="1" t="s">
        <v>3</v>
      </c>
      <c r="AQ520" s="1" t="s">
        <v>3</v>
      </c>
      <c r="AR520" s="1" t="s">
        <v>3</v>
      </c>
      <c r="AS520" s="1"/>
      <c r="AT520" s="1"/>
      <c r="AU520" s="1"/>
      <c r="AV520" s="1"/>
      <c r="AW520" s="1"/>
      <c r="AX520" s="1"/>
      <c r="AY520" s="1"/>
      <c r="AZ520" s="1" t="s">
        <v>3</v>
      </c>
      <c r="BA520" s="1"/>
      <c r="BB520" s="1" t="s">
        <v>3</v>
      </c>
      <c r="BC520" s="1" t="s">
        <v>3</v>
      </c>
      <c r="BD520" s="1" t="s">
        <v>3</v>
      </c>
      <c r="BE520" s="1" t="s">
        <v>3</v>
      </c>
      <c r="BF520" s="1" t="s">
        <v>3</v>
      </c>
      <c r="BG520" s="1" t="s">
        <v>3</v>
      </c>
      <c r="BH520" s="1" t="s">
        <v>3</v>
      </c>
      <c r="BI520" s="1" t="s">
        <v>3</v>
      </c>
      <c r="BJ520" s="1" t="s">
        <v>3</v>
      </c>
      <c r="BK520" s="1" t="s">
        <v>3</v>
      </c>
      <c r="BL520" s="1" t="s">
        <v>3</v>
      </c>
      <c r="BM520" s="1" t="s">
        <v>3</v>
      </c>
      <c r="BN520" s="1" t="s">
        <v>3</v>
      </c>
      <c r="BO520" s="1" t="s">
        <v>3</v>
      </c>
      <c r="BP520" s="1" t="s">
        <v>3</v>
      </c>
      <c r="BQ520" s="1"/>
      <c r="BR520" s="1"/>
      <c r="BS520" s="1"/>
      <c r="BT520" s="1"/>
      <c r="BU520" s="1"/>
      <c r="BV520" s="1"/>
      <c r="BW520" s="1"/>
      <c r="BX520" s="1">
        <v>0</v>
      </c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>
        <v>0</v>
      </c>
    </row>
    <row r="522" spans="1:245" x14ac:dyDescent="0.2">
      <c r="A522" s="2">
        <v>52</v>
      </c>
      <c r="B522" s="2">
        <f t="shared" ref="B522:G522" si="338">B528</f>
        <v>1</v>
      </c>
      <c r="C522" s="2">
        <f t="shared" si="338"/>
        <v>5</v>
      </c>
      <c r="D522" s="2">
        <f t="shared" si="338"/>
        <v>520</v>
      </c>
      <c r="E522" s="2">
        <f t="shared" si="338"/>
        <v>0</v>
      </c>
      <c r="F522" s="2" t="str">
        <f t="shared" si="338"/>
        <v>Новый подраздел</v>
      </c>
      <c r="G522" s="2" t="str">
        <f t="shared" si="338"/>
        <v>Прочее</v>
      </c>
      <c r="H522" s="2"/>
      <c r="I522" s="2"/>
      <c r="J522" s="2"/>
      <c r="K522" s="2"/>
      <c r="L522" s="2"/>
      <c r="M522" s="2"/>
      <c r="N522" s="2"/>
      <c r="O522" s="2">
        <f t="shared" ref="O522:AT522" si="339">O528</f>
        <v>2373.0500000000002</v>
      </c>
      <c r="P522" s="2">
        <f t="shared" si="339"/>
        <v>1970.84</v>
      </c>
      <c r="Q522" s="2">
        <f t="shared" si="339"/>
        <v>0</v>
      </c>
      <c r="R522" s="2">
        <f t="shared" si="339"/>
        <v>0</v>
      </c>
      <c r="S522" s="2">
        <f t="shared" si="339"/>
        <v>402.21</v>
      </c>
      <c r="T522" s="2">
        <f t="shared" si="339"/>
        <v>0</v>
      </c>
      <c r="U522" s="2">
        <f t="shared" si="339"/>
        <v>0.92379999999999995</v>
      </c>
      <c r="V522" s="2">
        <f t="shared" si="339"/>
        <v>0</v>
      </c>
      <c r="W522" s="2">
        <f t="shared" si="339"/>
        <v>0</v>
      </c>
      <c r="X522" s="2">
        <f t="shared" si="339"/>
        <v>281.55</v>
      </c>
      <c r="Y522" s="2">
        <f t="shared" si="339"/>
        <v>40.22</v>
      </c>
      <c r="Z522" s="2">
        <f t="shared" si="339"/>
        <v>0</v>
      </c>
      <c r="AA522" s="2">
        <f t="shared" si="339"/>
        <v>0</v>
      </c>
      <c r="AB522" s="2">
        <f t="shared" si="339"/>
        <v>2373.0500000000002</v>
      </c>
      <c r="AC522" s="2">
        <f t="shared" si="339"/>
        <v>1970.84</v>
      </c>
      <c r="AD522" s="2">
        <f t="shared" si="339"/>
        <v>0</v>
      </c>
      <c r="AE522" s="2">
        <f t="shared" si="339"/>
        <v>0</v>
      </c>
      <c r="AF522" s="2">
        <f t="shared" si="339"/>
        <v>402.21</v>
      </c>
      <c r="AG522" s="2">
        <f t="shared" si="339"/>
        <v>0</v>
      </c>
      <c r="AH522" s="2">
        <f t="shared" si="339"/>
        <v>0.92379999999999995</v>
      </c>
      <c r="AI522" s="2">
        <f t="shared" si="339"/>
        <v>0</v>
      </c>
      <c r="AJ522" s="2">
        <f t="shared" si="339"/>
        <v>0</v>
      </c>
      <c r="AK522" s="2">
        <f t="shared" si="339"/>
        <v>281.55</v>
      </c>
      <c r="AL522" s="2">
        <f t="shared" si="339"/>
        <v>40.22</v>
      </c>
      <c r="AM522" s="2">
        <f t="shared" si="339"/>
        <v>0</v>
      </c>
      <c r="AN522" s="2">
        <f t="shared" si="339"/>
        <v>0</v>
      </c>
      <c r="AO522" s="2">
        <f t="shared" si="339"/>
        <v>0</v>
      </c>
      <c r="AP522" s="2">
        <f t="shared" si="339"/>
        <v>0</v>
      </c>
      <c r="AQ522" s="2">
        <f t="shared" si="339"/>
        <v>0</v>
      </c>
      <c r="AR522" s="2">
        <f t="shared" si="339"/>
        <v>2694.82</v>
      </c>
      <c r="AS522" s="2">
        <f t="shared" si="339"/>
        <v>0</v>
      </c>
      <c r="AT522" s="2">
        <f t="shared" si="339"/>
        <v>0</v>
      </c>
      <c r="AU522" s="2">
        <f t="shared" ref="AU522:BZ522" si="340">AU528</f>
        <v>2694.82</v>
      </c>
      <c r="AV522" s="2">
        <f t="shared" si="340"/>
        <v>1970.84</v>
      </c>
      <c r="AW522" s="2">
        <f t="shared" si="340"/>
        <v>1970.84</v>
      </c>
      <c r="AX522" s="2">
        <f t="shared" si="340"/>
        <v>0</v>
      </c>
      <c r="AY522" s="2">
        <f t="shared" si="340"/>
        <v>1970.84</v>
      </c>
      <c r="AZ522" s="2">
        <f t="shared" si="340"/>
        <v>0</v>
      </c>
      <c r="BA522" s="2">
        <f t="shared" si="340"/>
        <v>0</v>
      </c>
      <c r="BB522" s="2">
        <f t="shared" si="340"/>
        <v>0</v>
      </c>
      <c r="BC522" s="2">
        <f t="shared" si="340"/>
        <v>0</v>
      </c>
      <c r="BD522" s="2">
        <f t="shared" si="340"/>
        <v>0</v>
      </c>
      <c r="BE522" s="2">
        <f t="shared" si="340"/>
        <v>0</v>
      </c>
      <c r="BF522" s="2">
        <f t="shared" si="340"/>
        <v>0</v>
      </c>
      <c r="BG522" s="2">
        <f t="shared" si="340"/>
        <v>0</v>
      </c>
      <c r="BH522" s="2">
        <f t="shared" si="340"/>
        <v>0</v>
      </c>
      <c r="BI522" s="2">
        <f t="shared" si="340"/>
        <v>0</v>
      </c>
      <c r="BJ522" s="2">
        <f t="shared" si="340"/>
        <v>0</v>
      </c>
      <c r="BK522" s="2">
        <f t="shared" si="340"/>
        <v>0</v>
      </c>
      <c r="BL522" s="2">
        <f t="shared" si="340"/>
        <v>0</v>
      </c>
      <c r="BM522" s="2">
        <f t="shared" si="340"/>
        <v>0</v>
      </c>
      <c r="BN522" s="2">
        <f t="shared" si="340"/>
        <v>0</v>
      </c>
      <c r="BO522" s="2">
        <f t="shared" si="340"/>
        <v>0</v>
      </c>
      <c r="BP522" s="2">
        <f t="shared" si="340"/>
        <v>0</v>
      </c>
      <c r="BQ522" s="2">
        <f t="shared" si="340"/>
        <v>0</v>
      </c>
      <c r="BR522" s="2">
        <f t="shared" si="340"/>
        <v>0</v>
      </c>
      <c r="BS522" s="2">
        <f t="shared" si="340"/>
        <v>0</v>
      </c>
      <c r="BT522" s="2">
        <f t="shared" si="340"/>
        <v>0</v>
      </c>
      <c r="BU522" s="2">
        <f t="shared" si="340"/>
        <v>0</v>
      </c>
      <c r="BV522" s="2">
        <f t="shared" si="340"/>
        <v>0</v>
      </c>
      <c r="BW522" s="2">
        <f t="shared" si="340"/>
        <v>0</v>
      </c>
      <c r="BX522" s="2">
        <f t="shared" si="340"/>
        <v>0</v>
      </c>
      <c r="BY522" s="2">
        <f t="shared" si="340"/>
        <v>0</v>
      </c>
      <c r="BZ522" s="2">
        <f t="shared" si="340"/>
        <v>0</v>
      </c>
      <c r="CA522" s="2">
        <f t="shared" ref="CA522:DF522" si="341">CA528</f>
        <v>2694.82</v>
      </c>
      <c r="CB522" s="2">
        <f t="shared" si="341"/>
        <v>0</v>
      </c>
      <c r="CC522" s="2">
        <f t="shared" si="341"/>
        <v>0</v>
      </c>
      <c r="CD522" s="2">
        <f t="shared" si="341"/>
        <v>2694.82</v>
      </c>
      <c r="CE522" s="2">
        <f t="shared" si="341"/>
        <v>1970.84</v>
      </c>
      <c r="CF522" s="2">
        <f t="shared" si="341"/>
        <v>1970.84</v>
      </c>
      <c r="CG522" s="2">
        <f t="shared" si="341"/>
        <v>0</v>
      </c>
      <c r="CH522" s="2">
        <f t="shared" si="341"/>
        <v>1970.84</v>
      </c>
      <c r="CI522" s="2">
        <f t="shared" si="341"/>
        <v>0</v>
      </c>
      <c r="CJ522" s="2">
        <f t="shared" si="341"/>
        <v>0</v>
      </c>
      <c r="CK522" s="2">
        <f t="shared" si="341"/>
        <v>0</v>
      </c>
      <c r="CL522" s="2">
        <f t="shared" si="341"/>
        <v>0</v>
      </c>
      <c r="CM522" s="2">
        <f t="shared" si="341"/>
        <v>0</v>
      </c>
      <c r="CN522" s="2">
        <f t="shared" si="341"/>
        <v>0</v>
      </c>
      <c r="CO522" s="2">
        <f t="shared" si="341"/>
        <v>0</v>
      </c>
      <c r="CP522" s="2">
        <f t="shared" si="341"/>
        <v>0</v>
      </c>
      <c r="CQ522" s="2">
        <f t="shared" si="341"/>
        <v>0</v>
      </c>
      <c r="CR522" s="2">
        <f t="shared" si="341"/>
        <v>0</v>
      </c>
      <c r="CS522" s="2">
        <f t="shared" si="341"/>
        <v>0</v>
      </c>
      <c r="CT522" s="2">
        <f t="shared" si="341"/>
        <v>0</v>
      </c>
      <c r="CU522" s="2">
        <f t="shared" si="341"/>
        <v>0</v>
      </c>
      <c r="CV522" s="2">
        <f t="shared" si="341"/>
        <v>0</v>
      </c>
      <c r="CW522" s="2">
        <f t="shared" si="341"/>
        <v>0</v>
      </c>
      <c r="CX522" s="2">
        <f t="shared" si="341"/>
        <v>0</v>
      </c>
      <c r="CY522" s="2">
        <f t="shared" si="341"/>
        <v>0</v>
      </c>
      <c r="CZ522" s="2">
        <f t="shared" si="341"/>
        <v>0</v>
      </c>
      <c r="DA522" s="2">
        <f t="shared" si="341"/>
        <v>0</v>
      </c>
      <c r="DB522" s="2">
        <f t="shared" si="341"/>
        <v>0</v>
      </c>
      <c r="DC522" s="2">
        <f t="shared" si="341"/>
        <v>0</v>
      </c>
      <c r="DD522" s="2">
        <f t="shared" si="341"/>
        <v>0</v>
      </c>
      <c r="DE522" s="2">
        <f t="shared" si="341"/>
        <v>0</v>
      </c>
      <c r="DF522" s="2">
        <f t="shared" si="341"/>
        <v>0</v>
      </c>
      <c r="DG522" s="3">
        <f t="shared" ref="DG522:EL522" si="342">DG528</f>
        <v>0</v>
      </c>
      <c r="DH522" s="3">
        <f t="shared" si="342"/>
        <v>0</v>
      </c>
      <c r="DI522" s="3">
        <f t="shared" si="342"/>
        <v>0</v>
      </c>
      <c r="DJ522" s="3">
        <f t="shared" si="342"/>
        <v>0</v>
      </c>
      <c r="DK522" s="3">
        <f t="shared" si="342"/>
        <v>0</v>
      </c>
      <c r="DL522" s="3">
        <f t="shared" si="342"/>
        <v>0</v>
      </c>
      <c r="DM522" s="3">
        <f t="shared" si="342"/>
        <v>0</v>
      </c>
      <c r="DN522" s="3">
        <f t="shared" si="342"/>
        <v>0</v>
      </c>
      <c r="DO522" s="3">
        <f t="shared" si="342"/>
        <v>0</v>
      </c>
      <c r="DP522" s="3">
        <f t="shared" si="342"/>
        <v>0</v>
      </c>
      <c r="DQ522" s="3">
        <f t="shared" si="342"/>
        <v>0</v>
      </c>
      <c r="DR522" s="3">
        <f t="shared" si="342"/>
        <v>0</v>
      </c>
      <c r="DS522" s="3">
        <f t="shared" si="342"/>
        <v>0</v>
      </c>
      <c r="DT522" s="3">
        <f t="shared" si="342"/>
        <v>0</v>
      </c>
      <c r="DU522" s="3">
        <f t="shared" si="342"/>
        <v>0</v>
      </c>
      <c r="DV522" s="3">
        <f t="shared" si="342"/>
        <v>0</v>
      </c>
      <c r="DW522" s="3">
        <f t="shared" si="342"/>
        <v>0</v>
      </c>
      <c r="DX522" s="3">
        <f t="shared" si="342"/>
        <v>0</v>
      </c>
      <c r="DY522" s="3">
        <f t="shared" si="342"/>
        <v>0</v>
      </c>
      <c r="DZ522" s="3">
        <f t="shared" si="342"/>
        <v>0</v>
      </c>
      <c r="EA522" s="3">
        <f t="shared" si="342"/>
        <v>0</v>
      </c>
      <c r="EB522" s="3">
        <f t="shared" si="342"/>
        <v>0</v>
      </c>
      <c r="EC522" s="3">
        <f t="shared" si="342"/>
        <v>0</v>
      </c>
      <c r="ED522" s="3">
        <f t="shared" si="342"/>
        <v>0</v>
      </c>
      <c r="EE522" s="3">
        <f t="shared" si="342"/>
        <v>0</v>
      </c>
      <c r="EF522" s="3">
        <f t="shared" si="342"/>
        <v>0</v>
      </c>
      <c r="EG522" s="3">
        <f t="shared" si="342"/>
        <v>0</v>
      </c>
      <c r="EH522" s="3">
        <f t="shared" si="342"/>
        <v>0</v>
      </c>
      <c r="EI522" s="3">
        <f t="shared" si="342"/>
        <v>0</v>
      </c>
      <c r="EJ522" s="3">
        <f t="shared" si="342"/>
        <v>0</v>
      </c>
      <c r="EK522" s="3">
        <f t="shared" si="342"/>
        <v>0</v>
      </c>
      <c r="EL522" s="3">
        <f t="shared" si="342"/>
        <v>0</v>
      </c>
      <c r="EM522" s="3">
        <f t="shared" ref="EM522:FR522" si="343">EM528</f>
        <v>0</v>
      </c>
      <c r="EN522" s="3">
        <f t="shared" si="343"/>
        <v>0</v>
      </c>
      <c r="EO522" s="3">
        <f t="shared" si="343"/>
        <v>0</v>
      </c>
      <c r="EP522" s="3">
        <f t="shared" si="343"/>
        <v>0</v>
      </c>
      <c r="EQ522" s="3">
        <f t="shared" si="343"/>
        <v>0</v>
      </c>
      <c r="ER522" s="3">
        <f t="shared" si="343"/>
        <v>0</v>
      </c>
      <c r="ES522" s="3">
        <f t="shared" si="343"/>
        <v>0</v>
      </c>
      <c r="ET522" s="3">
        <f t="shared" si="343"/>
        <v>0</v>
      </c>
      <c r="EU522" s="3">
        <f t="shared" si="343"/>
        <v>0</v>
      </c>
      <c r="EV522" s="3">
        <f t="shared" si="343"/>
        <v>0</v>
      </c>
      <c r="EW522" s="3">
        <f t="shared" si="343"/>
        <v>0</v>
      </c>
      <c r="EX522" s="3">
        <f t="shared" si="343"/>
        <v>0</v>
      </c>
      <c r="EY522" s="3">
        <f t="shared" si="343"/>
        <v>0</v>
      </c>
      <c r="EZ522" s="3">
        <f t="shared" si="343"/>
        <v>0</v>
      </c>
      <c r="FA522" s="3">
        <f t="shared" si="343"/>
        <v>0</v>
      </c>
      <c r="FB522" s="3">
        <f t="shared" si="343"/>
        <v>0</v>
      </c>
      <c r="FC522" s="3">
        <f t="shared" si="343"/>
        <v>0</v>
      </c>
      <c r="FD522" s="3">
        <f t="shared" si="343"/>
        <v>0</v>
      </c>
      <c r="FE522" s="3">
        <f t="shared" si="343"/>
        <v>0</v>
      </c>
      <c r="FF522" s="3">
        <f t="shared" si="343"/>
        <v>0</v>
      </c>
      <c r="FG522" s="3">
        <f t="shared" si="343"/>
        <v>0</v>
      </c>
      <c r="FH522" s="3">
        <f t="shared" si="343"/>
        <v>0</v>
      </c>
      <c r="FI522" s="3">
        <f t="shared" si="343"/>
        <v>0</v>
      </c>
      <c r="FJ522" s="3">
        <f t="shared" si="343"/>
        <v>0</v>
      </c>
      <c r="FK522" s="3">
        <f t="shared" si="343"/>
        <v>0</v>
      </c>
      <c r="FL522" s="3">
        <f t="shared" si="343"/>
        <v>0</v>
      </c>
      <c r="FM522" s="3">
        <f t="shared" si="343"/>
        <v>0</v>
      </c>
      <c r="FN522" s="3">
        <f t="shared" si="343"/>
        <v>0</v>
      </c>
      <c r="FO522" s="3">
        <f t="shared" si="343"/>
        <v>0</v>
      </c>
      <c r="FP522" s="3">
        <f t="shared" si="343"/>
        <v>0</v>
      </c>
      <c r="FQ522" s="3">
        <f t="shared" si="343"/>
        <v>0</v>
      </c>
      <c r="FR522" s="3">
        <f t="shared" si="343"/>
        <v>0</v>
      </c>
      <c r="FS522" s="3">
        <f t="shared" ref="FS522:GX522" si="344">FS528</f>
        <v>0</v>
      </c>
      <c r="FT522" s="3">
        <f t="shared" si="344"/>
        <v>0</v>
      </c>
      <c r="FU522" s="3">
        <f t="shared" si="344"/>
        <v>0</v>
      </c>
      <c r="FV522" s="3">
        <f t="shared" si="344"/>
        <v>0</v>
      </c>
      <c r="FW522" s="3">
        <f t="shared" si="344"/>
        <v>0</v>
      </c>
      <c r="FX522" s="3">
        <f t="shared" si="344"/>
        <v>0</v>
      </c>
      <c r="FY522" s="3">
        <f t="shared" si="344"/>
        <v>0</v>
      </c>
      <c r="FZ522" s="3">
        <f t="shared" si="344"/>
        <v>0</v>
      </c>
      <c r="GA522" s="3">
        <f t="shared" si="344"/>
        <v>0</v>
      </c>
      <c r="GB522" s="3">
        <f t="shared" si="344"/>
        <v>0</v>
      </c>
      <c r="GC522" s="3">
        <f t="shared" si="344"/>
        <v>0</v>
      </c>
      <c r="GD522" s="3">
        <f t="shared" si="344"/>
        <v>0</v>
      </c>
      <c r="GE522" s="3">
        <f t="shared" si="344"/>
        <v>0</v>
      </c>
      <c r="GF522" s="3">
        <f t="shared" si="344"/>
        <v>0</v>
      </c>
      <c r="GG522" s="3">
        <f t="shared" si="344"/>
        <v>0</v>
      </c>
      <c r="GH522" s="3">
        <f t="shared" si="344"/>
        <v>0</v>
      </c>
      <c r="GI522" s="3">
        <f t="shared" si="344"/>
        <v>0</v>
      </c>
      <c r="GJ522" s="3">
        <f t="shared" si="344"/>
        <v>0</v>
      </c>
      <c r="GK522" s="3">
        <f t="shared" si="344"/>
        <v>0</v>
      </c>
      <c r="GL522" s="3">
        <f t="shared" si="344"/>
        <v>0</v>
      </c>
      <c r="GM522" s="3">
        <f t="shared" si="344"/>
        <v>0</v>
      </c>
      <c r="GN522" s="3">
        <f t="shared" si="344"/>
        <v>0</v>
      </c>
      <c r="GO522" s="3">
        <f t="shared" si="344"/>
        <v>0</v>
      </c>
      <c r="GP522" s="3">
        <f t="shared" si="344"/>
        <v>0</v>
      </c>
      <c r="GQ522" s="3">
        <f t="shared" si="344"/>
        <v>0</v>
      </c>
      <c r="GR522" s="3">
        <f t="shared" si="344"/>
        <v>0</v>
      </c>
      <c r="GS522" s="3">
        <f t="shared" si="344"/>
        <v>0</v>
      </c>
      <c r="GT522" s="3">
        <f t="shared" si="344"/>
        <v>0</v>
      </c>
      <c r="GU522" s="3">
        <f t="shared" si="344"/>
        <v>0</v>
      </c>
      <c r="GV522" s="3">
        <f t="shared" si="344"/>
        <v>0</v>
      </c>
      <c r="GW522" s="3">
        <f t="shared" si="344"/>
        <v>0</v>
      </c>
      <c r="GX522" s="3">
        <f t="shared" si="344"/>
        <v>0</v>
      </c>
    </row>
    <row r="524" spans="1:245" x14ac:dyDescent="0.2">
      <c r="A524">
        <v>17</v>
      </c>
      <c r="B524">
        <v>1</v>
      </c>
      <c r="C524">
        <f>ROW(SmtRes!A196)</f>
        <v>196</v>
      </c>
      <c r="D524">
        <f>ROW(EtalonRes!A178)</f>
        <v>178</v>
      </c>
      <c r="E524" t="s">
        <v>291</v>
      </c>
      <c r="F524" t="s">
        <v>218</v>
      </c>
      <c r="G524" t="s">
        <v>219</v>
      </c>
      <c r="H524" t="s">
        <v>158</v>
      </c>
      <c r="I524">
        <f>ROUND(2/100,9)</f>
        <v>0.02</v>
      </c>
      <c r="J524">
        <v>0</v>
      </c>
      <c r="K524">
        <f>ROUND(2/100,9)</f>
        <v>0.02</v>
      </c>
      <c r="O524">
        <f>ROUND(CP524,2)</f>
        <v>984.71</v>
      </c>
      <c r="P524">
        <f>ROUND(CQ524*I524,2)</f>
        <v>582.5</v>
      </c>
      <c r="Q524">
        <f>ROUND(CR524*I524,2)</f>
        <v>0</v>
      </c>
      <c r="R524">
        <f>ROUND(CS524*I524,2)</f>
        <v>0</v>
      </c>
      <c r="S524">
        <f>ROUND(CT524*I524,2)</f>
        <v>402.21</v>
      </c>
      <c r="T524">
        <f>ROUND(CU524*I524,2)</f>
        <v>0</v>
      </c>
      <c r="U524">
        <f>CV524*I524</f>
        <v>0.92379999999999995</v>
      </c>
      <c r="V524">
        <f>CW524*I524</f>
        <v>0</v>
      </c>
      <c r="W524">
        <f>ROUND(CX524*I524,2)</f>
        <v>0</v>
      </c>
      <c r="X524">
        <f t="shared" ref="X524:Y526" si="345">ROUND(CY524,2)</f>
        <v>281.55</v>
      </c>
      <c r="Y524">
        <f t="shared" si="345"/>
        <v>40.22</v>
      </c>
      <c r="AA524">
        <v>75700856</v>
      </c>
      <c r="AB524">
        <f>ROUND((AC524+AD524+AF524),6)</f>
        <v>49235.54</v>
      </c>
      <c r="AC524">
        <f>ROUND((ES524),6)</f>
        <v>29124.880000000001</v>
      </c>
      <c r="AD524">
        <f>ROUND((((ET524)-(EU524))+AE524),6)</f>
        <v>0</v>
      </c>
      <c r="AE524">
        <f t="shared" ref="AE524:AF526" si="346">ROUND((EU524),6)</f>
        <v>0</v>
      </c>
      <c r="AF524">
        <f t="shared" si="346"/>
        <v>20110.66</v>
      </c>
      <c r="AG524">
        <f>ROUND((AP524),6)</f>
        <v>0</v>
      </c>
      <c r="AH524">
        <f t="shared" ref="AH524:AI526" si="347">(EW524)</f>
        <v>46.19</v>
      </c>
      <c r="AI524">
        <f t="shared" si="347"/>
        <v>0</v>
      </c>
      <c r="AJ524">
        <f>(AS524)</f>
        <v>0</v>
      </c>
      <c r="AK524">
        <v>49235.54</v>
      </c>
      <c r="AL524">
        <v>29124.880000000001</v>
      </c>
      <c r="AM524">
        <v>0</v>
      </c>
      <c r="AN524">
        <v>0</v>
      </c>
      <c r="AO524">
        <v>20110.66</v>
      </c>
      <c r="AP524">
        <v>0</v>
      </c>
      <c r="AQ524">
        <v>46.19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220</v>
      </c>
      <c r="BM524">
        <v>0</v>
      </c>
      <c r="BN524">
        <v>75371441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>(P524+Q524+S524)</f>
        <v>984.71</v>
      </c>
      <c r="CQ524">
        <f>(AC524*BC524*AW524)</f>
        <v>29124.880000000001</v>
      </c>
      <c r="CR524">
        <f>((((ET524)*BB524-(EU524)*BS524)+AE524*BS524)*AV524)</f>
        <v>0</v>
      </c>
      <c r="CS524">
        <f>(AE524*BS524*AV524)</f>
        <v>0</v>
      </c>
      <c r="CT524">
        <f>(AF524*BA524*AV524)</f>
        <v>20110.66</v>
      </c>
      <c r="CU524">
        <f>AG524</f>
        <v>0</v>
      </c>
      <c r="CV524">
        <f>(AH524*AV524)</f>
        <v>46.19</v>
      </c>
      <c r="CW524">
        <f t="shared" ref="CW524:CX526" si="348">AI524</f>
        <v>0</v>
      </c>
      <c r="CX524">
        <f t="shared" si="348"/>
        <v>0</v>
      </c>
      <c r="CY524">
        <f>((S524*BZ524)/100)</f>
        <v>281.54699999999997</v>
      </c>
      <c r="CZ524">
        <f>((S524*CA524)/100)</f>
        <v>40.220999999999997</v>
      </c>
      <c r="DC524" t="s">
        <v>3</v>
      </c>
      <c r="DD524" t="s">
        <v>3</v>
      </c>
      <c r="DE524" t="s">
        <v>3</v>
      </c>
      <c r="DF524" t="s">
        <v>3</v>
      </c>
      <c r="DG524" t="s">
        <v>3</v>
      </c>
      <c r="DH524" t="s">
        <v>3</v>
      </c>
      <c r="DI524" t="s">
        <v>3</v>
      </c>
      <c r="DJ524" t="s">
        <v>3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1010</v>
      </c>
      <c r="DV524" t="s">
        <v>158</v>
      </c>
      <c r="DW524" t="s">
        <v>158</v>
      </c>
      <c r="DX524">
        <v>100</v>
      </c>
      <c r="DZ524" t="s">
        <v>3</v>
      </c>
      <c r="EA524" t="s">
        <v>3</v>
      </c>
      <c r="EB524" t="s">
        <v>3</v>
      </c>
      <c r="EC524" t="s">
        <v>3</v>
      </c>
      <c r="EE524">
        <v>75371444</v>
      </c>
      <c r="EF524">
        <v>1</v>
      </c>
      <c r="EG524" t="s">
        <v>22</v>
      </c>
      <c r="EH524">
        <v>0</v>
      </c>
      <c r="EI524" t="s">
        <v>3</v>
      </c>
      <c r="EJ524">
        <v>4</v>
      </c>
      <c r="EK524">
        <v>0</v>
      </c>
      <c r="EL524" t="s">
        <v>23</v>
      </c>
      <c r="EM524" t="s">
        <v>24</v>
      </c>
      <c r="EO524" t="s">
        <v>3</v>
      </c>
      <c r="EQ524">
        <v>0</v>
      </c>
      <c r="ER524">
        <v>49235.54</v>
      </c>
      <c r="ES524">
        <v>29124.880000000001</v>
      </c>
      <c r="ET524">
        <v>0</v>
      </c>
      <c r="EU524">
        <v>0</v>
      </c>
      <c r="EV524">
        <v>20110.66</v>
      </c>
      <c r="EW524">
        <v>46.19</v>
      </c>
      <c r="EX524">
        <v>0</v>
      </c>
      <c r="EY524">
        <v>0</v>
      </c>
      <c r="FQ524">
        <v>0</v>
      </c>
      <c r="FR524">
        <f>ROUND(IF(BI524=3,GM524,0),2)</f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-707059149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>ROUND(IF(AND(BH524=3,BI524=3,FS524&lt;&gt;0),P524,0),2)</f>
        <v>0</v>
      </c>
      <c r="GM524">
        <f>ROUND(O524+X524+Y524+GK524,2)+GX524</f>
        <v>1306.48</v>
      </c>
      <c r="GN524">
        <f>IF(OR(BI524=0,BI524=1),GM524-GX524,0)</f>
        <v>0</v>
      </c>
      <c r="GO524">
        <f>IF(BI524=2,GM524-GX524,0)</f>
        <v>0</v>
      </c>
      <c r="GP524">
        <f>IF(BI524=4,GM524-GX524,0)</f>
        <v>1306.48</v>
      </c>
      <c r="GR524">
        <v>0</v>
      </c>
      <c r="GS524">
        <v>3</v>
      </c>
      <c r="GT524">
        <v>0</v>
      </c>
      <c r="GU524" t="s">
        <v>3</v>
      </c>
      <c r="GV524">
        <f>ROUND((GT524),6)</f>
        <v>0</v>
      </c>
      <c r="GW524">
        <v>1</v>
      </c>
      <c r="GX524">
        <f>ROUND(HC524*I524,2)</f>
        <v>0</v>
      </c>
      <c r="HA524">
        <v>0</v>
      </c>
      <c r="HB524">
        <v>0</v>
      </c>
      <c r="HC524">
        <f>GV524*GW524</f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18</v>
      </c>
      <c r="B525">
        <v>1</v>
      </c>
      <c r="C525">
        <v>196</v>
      </c>
      <c r="E525" t="s">
        <v>292</v>
      </c>
      <c r="F525" t="s">
        <v>293</v>
      </c>
      <c r="G525" t="s">
        <v>294</v>
      </c>
      <c r="H525" t="s">
        <v>171</v>
      </c>
      <c r="I525">
        <f>I524*J525</f>
        <v>2</v>
      </c>
      <c r="J525">
        <v>100</v>
      </c>
      <c r="K525">
        <v>100</v>
      </c>
      <c r="O525">
        <f>ROUND(CP525,2)</f>
        <v>1962.82</v>
      </c>
      <c r="P525">
        <f>ROUND(CQ525*I525,2)</f>
        <v>1962.82</v>
      </c>
      <c r="Q525">
        <f>ROUND(CR525*I525,2)</f>
        <v>0</v>
      </c>
      <c r="R525">
        <f>ROUND(CS525*I525,2)</f>
        <v>0</v>
      </c>
      <c r="S525">
        <f>ROUND(CT525*I525,2)</f>
        <v>0</v>
      </c>
      <c r="T525">
        <f>ROUND(CU525*I525,2)</f>
        <v>0</v>
      </c>
      <c r="U525">
        <f>CV525*I525</f>
        <v>0</v>
      </c>
      <c r="V525">
        <f>CW525*I525</f>
        <v>0</v>
      </c>
      <c r="W525">
        <f>ROUND(CX525*I525,2)</f>
        <v>0</v>
      </c>
      <c r="X525">
        <f t="shared" si="345"/>
        <v>0</v>
      </c>
      <c r="Y525">
        <f t="shared" si="345"/>
        <v>0</v>
      </c>
      <c r="AA525">
        <v>75700856</v>
      </c>
      <c r="AB525">
        <f>ROUND((AC525+AD525+AF525),6)</f>
        <v>981.41</v>
      </c>
      <c r="AC525">
        <f>ROUND((ES525),6)</f>
        <v>981.41</v>
      </c>
      <c r="AD525">
        <f>ROUND((((ET525)-(EU525))+AE525),6)</f>
        <v>0</v>
      </c>
      <c r="AE525">
        <f t="shared" si="346"/>
        <v>0</v>
      </c>
      <c r="AF525">
        <f t="shared" si="346"/>
        <v>0</v>
      </c>
      <c r="AG525">
        <f>ROUND((AP525),6)</f>
        <v>0</v>
      </c>
      <c r="AH525">
        <f t="shared" si="347"/>
        <v>0</v>
      </c>
      <c r="AI525">
        <f t="shared" si="347"/>
        <v>0</v>
      </c>
      <c r="AJ525">
        <f>(AS525)</f>
        <v>0</v>
      </c>
      <c r="AK525">
        <v>981.41</v>
      </c>
      <c r="AL525">
        <v>981.41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3</v>
      </c>
      <c r="BI525">
        <v>4</v>
      </c>
      <c r="BJ525" t="s">
        <v>295</v>
      </c>
      <c r="BM525">
        <v>0</v>
      </c>
      <c r="BN525">
        <v>75371441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>(P525+Q525+S525)</f>
        <v>1962.82</v>
      </c>
      <c r="CQ525">
        <f>(AC525*BC525*AW525)</f>
        <v>981.41</v>
      </c>
      <c r="CR525">
        <f>((((ET525)*BB525-(EU525)*BS525)+AE525*BS525)*AV525)</f>
        <v>0</v>
      </c>
      <c r="CS525">
        <f>(AE525*BS525*AV525)</f>
        <v>0</v>
      </c>
      <c r="CT525">
        <f>(AF525*BA525*AV525)</f>
        <v>0</v>
      </c>
      <c r="CU525">
        <f>AG525</f>
        <v>0</v>
      </c>
      <c r="CV525">
        <f>(AH525*AV525)</f>
        <v>0</v>
      </c>
      <c r="CW525">
        <f t="shared" si="348"/>
        <v>0</v>
      </c>
      <c r="CX525">
        <f t="shared" si="348"/>
        <v>0</v>
      </c>
      <c r="CY525">
        <f>((S525*BZ525)/100)</f>
        <v>0</v>
      </c>
      <c r="CZ525">
        <f>((S525*CA525)/100)</f>
        <v>0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1010</v>
      </c>
      <c r="DV525" t="s">
        <v>171</v>
      </c>
      <c r="DW525" t="s">
        <v>171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75371444</v>
      </c>
      <c r="EF525">
        <v>1</v>
      </c>
      <c r="EG525" t="s">
        <v>22</v>
      </c>
      <c r="EH525">
        <v>0</v>
      </c>
      <c r="EI525" t="s">
        <v>3</v>
      </c>
      <c r="EJ525">
        <v>4</v>
      </c>
      <c r="EK525">
        <v>0</v>
      </c>
      <c r="EL525" t="s">
        <v>23</v>
      </c>
      <c r="EM525" t="s">
        <v>24</v>
      </c>
      <c r="EO525" t="s">
        <v>3</v>
      </c>
      <c r="EQ525">
        <v>0</v>
      </c>
      <c r="ER525">
        <v>981.41</v>
      </c>
      <c r="ES525">
        <v>981.41</v>
      </c>
      <c r="ET525">
        <v>0</v>
      </c>
      <c r="EU525">
        <v>0</v>
      </c>
      <c r="EV525">
        <v>0</v>
      </c>
      <c r="EW525">
        <v>0</v>
      </c>
      <c r="EX525">
        <v>0</v>
      </c>
      <c r="FQ525">
        <v>0</v>
      </c>
      <c r="FR525">
        <f>ROUND(IF(BI525=3,GM525,0),2)</f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-2129737567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>ROUND(IF(AND(BH525=3,BI525=3,FS525&lt;&gt;0),P525,0),2)</f>
        <v>0</v>
      </c>
      <c r="GM525">
        <f>ROUND(O525+X525+Y525+GK525,2)+GX525</f>
        <v>1962.82</v>
      </c>
      <c r="GN525">
        <f>IF(OR(BI525=0,BI525=1),GM525-GX525,0)</f>
        <v>0</v>
      </c>
      <c r="GO525">
        <f>IF(BI525=2,GM525-GX525,0)</f>
        <v>0</v>
      </c>
      <c r="GP525">
        <f>IF(BI525=4,GM525-GX525,0)</f>
        <v>1962.82</v>
      </c>
      <c r="GR525">
        <v>0</v>
      </c>
      <c r="GS525">
        <v>3</v>
      </c>
      <c r="GT525">
        <v>0</v>
      </c>
      <c r="GU525" t="s">
        <v>3</v>
      </c>
      <c r="GV525">
        <f>ROUND((GT525),6)</f>
        <v>0</v>
      </c>
      <c r="GW525">
        <v>1</v>
      </c>
      <c r="GX525">
        <f>ROUND(HC525*I525,2)</f>
        <v>0</v>
      </c>
      <c r="HA525">
        <v>0</v>
      </c>
      <c r="HB525">
        <v>0</v>
      </c>
      <c r="HC525">
        <f>GV525*GW525</f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18</v>
      </c>
      <c r="B526">
        <v>1</v>
      </c>
      <c r="C526">
        <v>195</v>
      </c>
      <c r="E526" t="s">
        <v>296</v>
      </c>
      <c r="F526" t="s">
        <v>226</v>
      </c>
      <c r="G526" t="s">
        <v>227</v>
      </c>
      <c r="H526" t="s">
        <v>171</v>
      </c>
      <c r="I526">
        <f>I524*J526</f>
        <v>-2</v>
      </c>
      <c r="J526">
        <v>-100</v>
      </c>
      <c r="K526">
        <v>-100</v>
      </c>
      <c r="O526">
        <f>ROUND(CP526,2)</f>
        <v>-574.48</v>
      </c>
      <c r="P526">
        <f>ROUND(CQ526*I526,2)</f>
        <v>-574.48</v>
      </c>
      <c r="Q526">
        <f>ROUND(CR526*I526,2)</f>
        <v>0</v>
      </c>
      <c r="R526">
        <f>ROUND(CS526*I526,2)</f>
        <v>0</v>
      </c>
      <c r="S526">
        <f>ROUND(CT526*I526,2)</f>
        <v>0</v>
      </c>
      <c r="T526">
        <f>ROUND(CU526*I526,2)</f>
        <v>0</v>
      </c>
      <c r="U526">
        <f>CV526*I526</f>
        <v>0</v>
      </c>
      <c r="V526">
        <f>CW526*I526</f>
        <v>0</v>
      </c>
      <c r="W526">
        <f>ROUND(CX526*I526,2)</f>
        <v>0</v>
      </c>
      <c r="X526">
        <f t="shared" si="345"/>
        <v>0</v>
      </c>
      <c r="Y526">
        <f t="shared" si="345"/>
        <v>0</v>
      </c>
      <c r="AA526">
        <v>75700856</v>
      </c>
      <c r="AB526">
        <f>ROUND((AC526+AD526+AF526),6)</f>
        <v>287.24</v>
      </c>
      <c r="AC526">
        <f>ROUND((ES526),6)</f>
        <v>287.24</v>
      </c>
      <c r="AD526">
        <f>ROUND((((ET526)-(EU526))+AE526),6)</f>
        <v>0</v>
      </c>
      <c r="AE526">
        <f t="shared" si="346"/>
        <v>0</v>
      </c>
      <c r="AF526">
        <f t="shared" si="346"/>
        <v>0</v>
      </c>
      <c r="AG526">
        <f>ROUND((AP526),6)</f>
        <v>0</v>
      </c>
      <c r="AH526">
        <f t="shared" si="347"/>
        <v>0</v>
      </c>
      <c r="AI526">
        <f t="shared" si="347"/>
        <v>0</v>
      </c>
      <c r="AJ526">
        <f>(AS526)</f>
        <v>0</v>
      </c>
      <c r="AK526">
        <v>287.24</v>
      </c>
      <c r="AL526">
        <v>287.24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3</v>
      </c>
      <c r="BI526">
        <v>4</v>
      </c>
      <c r="BJ526" t="s">
        <v>228</v>
      </c>
      <c r="BM526">
        <v>0</v>
      </c>
      <c r="BN526">
        <v>75371441</v>
      </c>
      <c r="BO526" t="s">
        <v>3</v>
      </c>
      <c r="BP526">
        <v>0</v>
      </c>
      <c r="BQ526">
        <v>1</v>
      </c>
      <c r="BR526">
        <v>1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>(P526+Q526+S526)</f>
        <v>-574.48</v>
      </c>
      <c r="CQ526">
        <f>(AC526*BC526*AW526)</f>
        <v>287.24</v>
      </c>
      <c r="CR526">
        <f>((((ET526)*BB526-(EU526)*BS526)+AE526*BS526)*AV526)</f>
        <v>0</v>
      </c>
      <c r="CS526">
        <f>(AE526*BS526*AV526)</f>
        <v>0</v>
      </c>
      <c r="CT526">
        <f>(AF526*BA526*AV526)</f>
        <v>0</v>
      </c>
      <c r="CU526">
        <f>AG526</f>
        <v>0</v>
      </c>
      <c r="CV526">
        <f>(AH526*AV526)</f>
        <v>0</v>
      </c>
      <c r="CW526">
        <f t="shared" si="348"/>
        <v>0</v>
      </c>
      <c r="CX526">
        <f t="shared" si="348"/>
        <v>0</v>
      </c>
      <c r="CY526">
        <f>((S526*BZ526)/100)</f>
        <v>0</v>
      </c>
      <c r="CZ526">
        <f>((S526*CA526)/100)</f>
        <v>0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1010</v>
      </c>
      <c r="DV526" t="s">
        <v>171</v>
      </c>
      <c r="DW526" t="s">
        <v>171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75371444</v>
      </c>
      <c r="EF526">
        <v>1</v>
      </c>
      <c r="EG526" t="s">
        <v>22</v>
      </c>
      <c r="EH526">
        <v>0</v>
      </c>
      <c r="EI526" t="s">
        <v>3</v>
      </c>
      <c r="EJ526">
        <v>4</v>
      </c>
      <c r="EK526">
        <v>0</v>
      </c>
      <c r="EL526" t="s">
        <v>23</v>
      </c>
      <c r="EM526" t="s">
        <v>24</v>
      </c>
      <c r="EO526" t="s">
        <v>3</v>
      </c>
      <c r="EQ526">
        <v>32768</v>
      </c>
      <c r="ER526">
        <v>287.24</v>
      </c>
      <c r="ES526">
        <v>287.24</v>
      </c>
      <c r="ET526">
        <v>0</v>
      </c>
      <c r="EU526">
        <v>0</v>
      </c>
      <c r="EV526">
        <v>0</v>
      </c>
      <c r="EW526">
        <v>0</v>
      </c>
      <c r="EX526">
        <v>0</v>
      </c>
      <c r="FQ526">
        <v>0</v>
      </c>
      <c r="FR526">
        <f>ROUND(IF(BI526=3,GM526,0),2)</f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118609747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>ROUND(IF(AND(BH526=3,BI526=3,FS526&lt;&gt;0),P526,0),2)</f>
        <v>0</v>
      </c>
      <c r="GM526">
        <f>ROUND(O526+X526+Y526+GK526,2)+GX526</f>
        <v>-574.48</v>
      </c>
      <c r="GN526">
        <f>IF(OR(BI526=0,BI526=1),GM526-GX526,0)</f>
        <v>0</v>
      </c>
      <c r="GO526">
        <f>IF(BI526=2,GM526-GX526,0)</f>
        <v>0</v>
      </c>
      <c r="GP526">
        <f>IF(BI526=4,GM526-GX526,0)</f>
        <v>-574.48</v>
      </c>
      <c r="GR526">
        <v>0</v>
      </c>
      <c r="GS526">
        <v>3</v>
      </c>
      <c r="GT526">
        <v>0</v>
      </c>
      <c r="GU526" t="s">
        <v>3</v>
      </c>
      <c r="GV526">
        <f>ROUND((GT526),6)</f>
        <v>0</v>
      </c>
      <c r="GW526">
        <v>1</v>
      </c>
      <c r="GX526">
        <f>ROUND(HC526*I526,2)</f>
        <v>0</v>
      </c>
      <c r="HA526">
        <v>0</v>
      </c>
      <c r="HB526">
        <v>0</v>
      </c>
      <c r="HC526">
        <f>GV526*GW526</f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8" spans="1:245" x14ac:dyDescent="0.2">
      <c r="A528" s="2">
        <v>51</v>
      </c>
      <c r="B528" s="2">
        <f>B520</f>
        <v>1</v>
      </c>
      <c r="C528" s="2">
        <f>A520</f>
        <v>5</v>
      </c>
      <c r="D528" s="2">
        <f>ROW(A520)</f>
        <v>520</v>
      </c>
      <c r="E528" s="2"/>
      <c r="F528" s="2" t="str">
        <f>IF(F520&lt;&gt;"",F520,"")</f>
        <v>Новый подраздел</v>
      </c>
      <c r="G528" s="2" t="str">
        <f>IF(G520&lt;&gt;"",G520,"")</f>
        <v>Прочее</v>
      </c>
      <c r="H528" s="2">
        <v>0</v>
      </c>
      <c r="I528" s="2"/>
      <c r="J528" s="2"/>
      <c r="K528" s="2"/>
      <c r="L528" s="2"/>
      <c r="M528" s="2"/>
      <c r="N528" s="2"/>
      <c r="O528" s="2">
        <f t="shared" ref="O528:T528" si="349">ROUND(AB528,2)</f>
        <v>2373.0500000000002</v>
      </c>
      <c r="P528" s="2">
        <f t="shared" si="349"/>
        <v>1970.84</v>
      </c>
      <c r="Q528" s="2">
        <f t="shared" si="349"/>
        <v>0</v>
      </c>
      <c r="R528" s="2">
        <f t="shared" si="349"/>
        <v>0</v>
      </c>
      <c r="S528" s="2">
        <f t="shared" si="349"/>
        <v>402.21</v>
      </c>
      <c r="T528" s="2">
        <f t="shared" si="349"/>
        <v>0</v>
      </c>
      <c r="U528" s="2">
        <f>AH528</f>
        <v>0.92379999999999995</v>
      </c>
      <c r="V528" s="2">
        <f>AI528</f>
        <v>0</v>
      </c>
      <c r="W528" s="2">
        <f>ROUND(AJ528,2)</f>
        <v>0</v>
      </c>
      <c r="X528" s="2">
        <f>ROUND(AK528,2)</f>
        <v>281.55</v>
      </c>
      <c r="Y528" s="2">
        <f>ROUND(AL528,2)</f>
        <v>40.22</v>
      </c>
      <c r="Z528" s="2"/>
      <c r="AA528" s="2"/>
      <c r="AB528" s="2">
        <f>ROUND(SUMIF(AA524:AA526,"=75700856",O524:O526),2)</f>
        <v>2373.0500000000002</v>
      </c>
      <c r="AC528" s="2">
        <f>ROUND(SUMIF(AA524:AA526,"=75700856",P524:P526),2)</f>
        <v>1970.84</v>
      </c>
      <c r="AD528" s="2">
        <f>ROUND(SUMIF(AA524:AA526,"=75700856",Q524:Q526),2)</f>
        <v>0</v>
      </c>
      <c r="AE528" s="2">
        <f>ROUND(SUMIF(AA524:AA526,"=75700856",R524:R526),2)</f>
        <v>0</v>
      </c>
      <c r="AF528" s="2">
        <f>ROUND(SUMIF(AA524:AA526,"=75700856",S524:S526),2)</f>
        <v>402.21</v>
      </c>
      <c r="AG528" s="2">
        <f>ROUND(SUMIF(AA524:AA526,"=75700856",T524:T526),2)</f>
        <v>0</v>
      </c>
      <c r="AH528" s="2">
        <f>SUMIF(AA524:AA526,"=75700856",U524:U526)</f>
        <v>0.92379999999999995</v>
      </c>
      <c r="AI528" s="2">
        <f>SUMIF(AA524:AA526,"=75700856",V524:V526)</f>
        <v>0</v>
      </c>
      <c r="AJ528" s="2">
        <f>ROUND(SUMIF(AA524:AA526,"=75700856",W524:W526),2)</f>
        <v>0</v>
      </c>
      <c r="AK528" s="2">
        <f>ROUND(SUMIF(AA524:AA526,"=75700856",X524:X526),2)</f>
        <v>281.55</v>
      </c>
      <c r="AL528" s="2">
        <f>ROUND(SUMIF(AA524:AA526,"=75700856",Y524:Y526),2)</f>
        <v>40.22</v>
      </c>
      <c r="AM528" s="2"/>
      <c r="AN528" s="2"/>
      <c r="AO528" s="2">
        <f t="shared" ref="AO528:BD528" si="350">ROUND(BX528,2)</f>
        <v>0</v>
      </c>
      <c r="AP528" s="2">
        <f t="shared" si="350"/>
        <v>0</v>
      </c>
      <c r="AQ528" s="2">
        <f t="shared" si="350"/>
        <v>0</v>
      </c>
      <c r="AR528" s="2">
        <f t="shared" si="350"/>
        <v>2694.82</v>
      </c>
      <c r="AS528" s="2">
        <f t="shared" si="350"/>
        <v>0</v>
      </c>
      <c r="AT528" s="2">
        <f t="shared" si="350"/>
        <v>0</v>
      </c>
      <c r="AU528" s="2">
        <f t="shared" si="350"/>
        <v>2694.82</v>
      </c>
      <c r="AV528" s="2">
        <f t="shared" si="350"/>
        <v>1970.84</v>
      </c>
      <c r="AW528" s="2">
        <f t="shared" si="350"/>
        <v>1970.84</v>
      </c>
      <c r="AX528" s="2">
        <f t="shared" si="350"/>
        <v>0</v>
      </c>
      <c r="AY528" s="2">
        <f t="shared" si="350"/>
        <v>1970.84</v>
      </c>
      <c r="AZ528" s="2">
        <f t="shared" si="350"/>
        <v>0</v>
      </c>
      <c r="BA528" s="2">
        <f t="shared" si="350"/>
        <v>0</v>
      </c>
      <c r="BB528" s="2">
        <f t="shared" si="350"/>
        <v>0</v>
      </c>
      <c r="BC528" s="2">
        <f t="shared" si="350"/>
        <v>0</v>
      </c>
      <c r="BD528" s="2">
        <f t="shared" si="350"/>
        <v>0</v>
      </c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>
        <f>ROUND(SUMIF(AA524:AA526,"=75700856",FQ524:FQ526),2)</f>
        <v>0</v>
      </c>
      <c r="BY528" s="2">
        <f>ROUND(SUMIF(AA524:AA526,"=75700856",FR524:FR526),2)</f>
        <v>0</v>
      </c>
      <c r="BZ528" s="2">
        <f>ROUND(SUMIF(AA524:AA526,"=75700856",GL524:GL526),2)</f>
        <v>0</v>
      </c>
      <c r="CA528" s="2">
        <f>ROUND(SUMIF(AA524:AA526,"=75700856",GM524:GM526),2)</f>
        <v>2694.82</v>
      </c>
      <c r="CB528" s="2">
        <f>ROUND(SUMIF(AA524:AA526,"=75700856",GN524:GN526),2)</f>
        <v>0</v>
      </c>
      <c r="CC528" s="2">
        <f>ROUND(SUMIF(AA524:AA526,"=75700856",GO524:GO526),2)</f>
        <v>0</v>
      </c>
      <c r="CD528" s="2">
        <f>ROUND(SUMIF(AA524:AA526,"=75700856",GP524:GP526),2)</f>
        <v>2694.82</v>
      </c>
      <c r="CE528" s="2">
        <f>AC528-BX528</f>
        <v>1970.84</v>
      </c>
      <c r="CF528" s="2">
        <f>AC528-BY528</f>
        <v>1970.84</v>
      </c>
      <c r="CG528" s="2">
        <f>BX528-BZ528</f>
        <v>0</v>
      </c>
      <c r="CH528" s="2">
        <f>AC528-BX528-BY528+BZ528</f>
        <v>1970.84</v>
      </c>
      <c r="CI528" s="2">
        <f>BY528-BZ528</f>
        <v>0</v>
      </c>
      <c r="CJ528" s="2">
        <f>ROUND(SUMIF(AA524:AA526,"=75700856",GX524:GX526),2)</f>
        <v>0</v>
      </c>
      <c r="CK528" s="2">
        <f>ROUND(SUMIF(AA524:AA526,"=75700856",GY524:GY526),2)</f>
        <v>0</v>
      </c>
      <c r="CL528" s="2">
        <f>ROUND(SUMIF(AA524:AA526,"=75700856",GZ524:GZ526),2)</f>
        <v>0</v>
      </c>
      <c r="CM528" s="2">
        <f>ROUND(SUMIF(AA524:AA526,"=75700856",HD524:HD526),2)</f>
        <v>0</v>
      </c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3"/>
      <c r="DH528" s="3"/>
      <c r="DI528" s="3"/>
      <c r="DJ528" s="3"/>
      <c r="DK528" s="3"/>
      <c r="DL528" s="3"/>
      <c r="DM528" s="3"/>
      <c r="DN528" s="3"/>
      <c r="DO528" s="3"/>
      <c r="DP528" s="3"/>
      <c r="DQ528" s="3"/>
      <c r="DR528" s="3"/>
      <c r="DS528" s="3"/>
      <c r="DT528" s="3"/>
      <c r="DU528" s="3"/>
      <c r="DV528" s="3"/>
      <c r="DW528" s="3"/>
      <c r="DX528" s="3"/>
      <c r="DY528" s="3"/>
      <c r="DZ528" s="3"/>
      <c r="EA528" s="3"/>
      <c r="EB528" s="3"/>
      <c r="EC528" s="3"/>
      <c r="ED528" s="3"/>
      <c r="EE528" s="3"/>
      <c r="EF528" s="3"/>
      <c r="EG528" s="3"/>
      <c r="EH528" s="3"/>
      <c r="EI528" s="3"/>
      <c r="EJ528" s="3"/>
      <c r="EK528" s="3"/>
      <c r="EL528" s="3"/>
      <c r="EM528" s="3"/>
      <c r="EN528" s="3"/>
      <c r="EO528" s="3"/>
      <c r="EP528" s="3"/>
      <c r="EQ528" s="3"/>
      <c r="ER528" s="3"/>
      <c r="ES528" s="3"/>
      <c r="ET528" s="3"/>
      <c r="EU528" s="3"/>
      <c r="EV528" s="3"/>
      <c r="EW528" s="3"/>
      <c r="EX528" s="3"/>
      <c r="EY528" s="3"/>
      <c r="EZ528" s="3"/>
      <c r="FA528" s="3"/>
      <c r="FB528" s="3"/>
      <c r="FC528" s="3"/>
      <c r="FD528" s="3"/>
      <c r="FE528" s="3"/>
      <c r="FF528" s="3"/>
      <c r="FG528" s="3"/>
      <c r="FH528" s="3"/>
      <c r="FI528" s="3"/>
      <c r="FJ528" s="3"/>
      <c r="FK528" s="3"/>
      <c r="FL528" s="3"/>
      <c r="FM528" s="3"/>
      <c r="FN528" s="3"/>
      <c r="FO528" s="3"/>
      <c r="FP528" s="3"/>
      <c r="FQ528" s="3"/>
      <c r="FR528" s="3"/>
      <c r="FS528" s="3"/>
      <c r="FT528" s="3"/>
      <c r="FU528" s="3"/>
      <c r="FV528" s="3"/>
      <c r="FW528" s="3"/>
      <c r="FX528" s="3"/>
      <c r="FY528" s="3"/>
      <c r="FZ528" s="3"/>
      <c r="GA528" s="3"/>
      <c r="GB528" s="3"/>
      <c r="GC528" s="3"/>
      <c r="GD528" s="3"/>
      <c r="GE528" s="3"/>
      <c r="GF528" s="3"/>
      <c r="GG528" s="3"/>
      <c r="GH528" s="3"/>
      <c r="GI528" s="3"/>
      <c r="GJ528" s="3"/>
      <c r="GK528" s="3"/>
      <c r="GL528" s="3"/>
      <c r="GM528" s="3"/>
      <c r="GN528" s="3"/>
      <c r="GO528" s="3"/>
      <c r="GP528" s="3"/>
      <c r="GQ528" s="3"/>
      <c r="GR528" s="3"/>
      <c r="GS528" s="3"/>
      <c r="GT528" s="3"/>
      <c r="GU528" s="3"/>
      <c r="GV528" s="3"/>
      <c r="GW528" s="3"/>
      <c r="GX528" s="3">
        <v>0</v>
      </c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201</v>
      </c>
      <c r="F530" s="4">
        <f>ROUND(Source!O528,O530)</f>
        <v>2373.0500000000002</v>
      </c>
      <c r="G530" s="4" t="s">
        <v>74</v>
      </c>
      <c r="H530" s="4" t="s">
        <v>75</v>
      </c>
      <c r="I530" s="4"/>
      <c r="J530" s="4"/>
      <c r="K530" s="4">
        <v>201</v>
      </c>
      <c r="L530" s="4">
        <v>1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2373.0500000000002</v>
      </c>
      <c r="X530" s="4">
        <v>1</v>
      </c>
      <c r="Y530" s="4">
        <v>2373.0500000000002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202</v>
      </c>
      <c r="F531" s="4">
        <f>ROUND(Source!P528,O531)</f>
        <v>1970.84</v>
      </c>
      <c r="G531" s="4" t="s">
        <v>76</v>
      </c>
      <c r="H531" s="4" t="s">
        <v>77</v>
      </c>
      <c r="I531" s="4"/>
      <c r="J531" s="4"/>
      <c r="K531" s="4">
        <v>202</v>
      </c>
      <c r="L531" s="4">
        <v>2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1970.84</v>
      </c>
      <c r="X531" s="4">
        <v>1</v>
      </c>
      <c r="Y531" s="4">
        <v>1970.84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222</v>
      </c>
      <c r="F532" s="4">
        <f>ROUND(Source!AO528,O532)</f>
        <v>0</v>
      </c>
      <c r="G532" s="4" t="s">
        <v>78</v>
      </c>
      <c r="H532" s="4" t="s">
        <v>79</v>
      </c>
      <c r="I532" s="4"/>
      <c r="J532" s="4"/>
      <c r="K532" s="4">
        <v>222</v>
      </c>
      <c r="L532" s="4">
        <v>3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</v>
      </c>
      <c r="X532" s="4">
        <v>1</v>
      </c>
      <c r="Y532" s="4">
        <v>0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225</v>
      </c>
      <c r="F533" s="4">
        <f>ROUND(Source!AV528,O533)</f>
        <v>1970.84</v>
      </c>
      <c r="G533" s="4" t="s">
        <v>80</v>
      </c>
      <c r="H533" s="4" t="s">
        <v>81</v>
      </c>
      <c r="I533" s="4"/>
      <c r="J533" s="4"/>
      <c r="K533" s="4">
        <v>225</v>
      </c>
      <c r="L533" s="4">
        <v>4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1970.84</v>
      </c>
      <c r="X533" s="4">
        <v>1</v>
      </c>
      <c r="Y533" s="4">
        <v>1970.84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226</v>
      </c>
      <c r="F534" s="4">
        <f>ROUND(Source!AW528,O534)</f>
        <v>1970.84</v>
      </c>
      <c r="G534" s="4" t="s">
        <v>82</v>
      </c>
      <c r="H534" s="4" t="s">
        <v>83</v>
      </c>
      <c r="I534" s="4"/>
      <c r="J534" s="4"/>
      <c r="K534" s="4">
        <v>226</v>
      </c>
      <c r="L534" s="4">
        <v>5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1970.84</v>
      </c>
      <c r="X534" s="4">
        <v>1</v>
      </c>
      <c r="Y534" s="4">
        <v>1970.84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227</v>
      </c>
      <c r="F535" s="4">
        <f>ROUND(Source!AX528,O535)</f>
        <v>0</v>
      </c>
      <c r="G535" s="4" t="s">
        <v>84</v>
      </c>
      <c r="H535" s="4" t="s">
        <v>85</v>
      </c>
      <c r="I535" s="4"/>
      <c r="J535" s="4"/>
      <c r="K535" s="4">
        <v>227</v>
      </c>
      <c r="L535" s="4">
        <v>6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228</v>
      </c>
      <c r="F536" s="4">
        <f>ROUND(Source!AY528,O536)</f>
        <v>1970.84</v>
      </c>
      <c r="G536" s="4" t="s">
        <v>86</v>
      </c>
      <c r="H536" s="4" t="s">
        <v>87</v>
      </c>
      <c r="I536" s="4"/>
      <c r="J536" s="4"/>
      <c r="K536" s="4">
        <v>228</v>
      </c>
      <c r="L536" s="4">
        <v>7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1970.84</v>
      </c>
      <c r="X536" s="4">
        <v>1</v>
      </c>
      <c r="Y536" s="4">
        <v>1970.84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216</v>
      </c>
      <c r="F537" s="4">
        <f>ROUND(Source!AP528,O537)</f>
        <v>0</v>
      </c>
      <c r="G537" s="4" t="s">
        <v>88</v>
      </c>
      <c r="H537" s="4" t="s">
        <v>89</v>
      </c>
      <c r="I537" s="4"/>
      <c r="J537" s="4"/>
      <c r="K537" s="4">
        <v>216</v>
      </c>
      <c r="L537" s="4">
        <v>8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223</v>
      </c>
      <c r="F538" s="4">
        <f>ROUND(Source!AQ528,O538)</f>
        <v>0</v>
      </c>
      <c r="G538" s="4" t="s">
        <v>90</v>
      </c>
      <c r="H538" s="4" t="s">
        <v>91</v>
      </c>
      <c r="I538" s="4"/>
      <c r="J538" s="4"/>
      <c r="K538" s="4">
        <v>223</v>
      </c>
      <c r="L538" s="4">
        <v>9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229</v>
      </c>
      <c r="F539" s="4">
        <f>ROUND(Source!AZ528,O539)</f>
        <v>0</v>
      </c>
      <c r="G539" s="4" t="s">
        <v>92</v>
      </c>
      <c r="H539" s="4" t="s">
        <v>93</v>
      </c>
      <c r="I539" s="4"/>
      <c r="J539" s="4"/>
      <c r="K539" s="4">
        <v>229</v>
      </c>
      <c r="L539" s="4">
        <v>10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203</v>
      </c>
      <c r="F540" s="4">
        <f>ROUND(Source!Q528,O540)</f>
        <v>0</v>
      </c>
      <c r="G540" s="4" t="s">
        <v>94</v>
      </c>
      <c r="H540" s="4" t="s">
        <v>95</v>
      </c>
      <c r="I540" s="4"/>
      <c r="J540" s="4"/>
      <c r="K540" s="4">
        <v>203</v>
      </c>
      <c r="L540" s="4">
        <v>11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231</v>
      </c>
      <c r="F541" s="4">
        <f>ROUND(Source!BB528,O541)</f>
        <v>0</v>
      </c>
      <c r="G541" s="4" t="s">
        <v>96</v>
      </c>
      <c r="H541" s="4" t="s">
        <v>97</v>
      </c>
      <c r="I541" s="4"/>
      <c r="J541" s="4"/>
      <c r="K541" s="4">
        <v>231</v>
      </c>
      <c r="L541" s="4">
        <v>12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204</v>
      </c>
      <c r="F542" s="4">
        <f>ROUND(Source!R528,O542)</f>
        <v>0</v>
      </c>
      <c r="G542" s="4" t="s">
        <v>98</v>
      </c>
      <c r="H542" s="4" t="s">
        <v>99</v>
      </c>
      <c r="I542" s="4"/>
      <c r="J542" s="4"/>
      <c r="K542" s="4">
        <v>204</v>
      </c>
      <c r="L542" s="4">
        <v>13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205</v>
      </c>
      <c r="F543" s="4">
        <f>ROUND(Source!S528,O543)</f>
        <v>402.21</v>
      </c>
      <c r="G543" s="4" t="s">
        <v>100</v>
      </c>
      <c r="H543" s="4" t="s">
        <v>101</v>
      </c>
      <c r="I543" s="4"/>
      <c r="J543" s="4"/>
      <c r="K543" s="4">
        <v>205</v>
      </c>
      <c r="L543" s="4">
        <v>14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402.21</v>
      </c>
      <c r="X543" s="4">
        <v>1</v>
      </c>
      <c r="Y543" s="4">
        <v>402.21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232</v>
      </c>
      <c r="F544" s="4">
        <f>ROUND(Source!BC528,O544)</f>
        <v>0</v>
      </c>
      <c r="G544" s="4" t="s">
        <v>102</v>
      </c>
      <c r="H544" s="4" t="s">
        <v>103</v>
      </c>
      <c r="I544" s="4"/>
      <c r="J544" s="4"/>
      <c r="K544" s="4">
        <v>232</v>
      </c>
      <c r="L544" s="4">
        <v>15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06" x14ac:dyDescent="0.2">
      <c r="A545" s="4">
        <v>50</v>
      </c>
      <c r="B545" s="4">
        <v>0</v>
      </c>
      <c r="C545" s="4">
        <v>0</v>
      </c>
      <c r="D545" s="4">
        <v>1</v>
      </c>
      <c r="E545" s="4">
        <v>214</v>
      </c>
      <c r="F545" s="4">
        <f>ROUND(Source!AS528,O545)</f>
        <v>0</v>
      </c>
      <c r="G545" s="4" t="s">
        <v>104</v>
      </c>
      <c r="H545" s="4" t="s">
        <v>105</v>
      </c>
      <c r="I545" s="4"/>
      <c r="J545" s="4"/>
      <c r="K545" s="4">
        <v>214</v>
      </c>
      <c r="L545" s="4">
        <v>16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06" x14ac:dyDescent="0.2">
      <c r="A546" s="4">
        <v>50</v>
      </c>
      <c r="B546" s="4">
        <v>0</v>
      </c>
      <c r="C546" s="4">
        <v>0</v>
      </c>
      <c r="D546" s="4">
        <v>1</v>
      </c>
      <c r="E546" s="4">
        <v>215</v>
      </c>
      <c r="F546" s="4">
        <f>ROUND(Source!AT528,O546)</f>
        <v>0</v>
      </c>
      <c r="G546" s="4" t="s">
        <v>106</v>
      </c>
      <c r="H546" s="4" t="s">
        <v>107</v>
      </c>
      <c r="I546" s="4"/>
      <c r="J546" s="4"/>
      <c r="K546" s="4">
        <v>215</v>
      </c>
      <c r="L546" s="4">
        <v>17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06" x14ac:dyDescent="0.2">
      <c r="A547" s="4">
        <v>50</v>
      </c>
      <c r="B547" s="4">
        <v>0</v>
      </c>
      <c r="C547" s="4">
        <v>0</v>
      </c>
      <c r="D547" s="4">
        <v>1</v>
      </c>
      <c r="E547" s="4">
        <v>217</v>
      </c>
      <c r="F547" s="4">
        <f>ROUND(Source!AU528,O547)</f>
        <v>2694.82</v>
      </c>
      <c r="G547" s="4" t="s">
        <v>108</v>
      </c>
      <c r="H547" s="4" t="s">
        <v>109</v>
      </c>
      <c r="I547" s="4"/>
      <c r="J547" s="4"/>
      <c r="K547" s="4">
        <v>217</v>
      </c>
      <c r="L547" s="4">
        <v>18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2694.82</v>
      </c>
      <c r="X547" s="4">
        <v>1</v>
      </c>
      <c r="Y547" s="4">
        <v>2694.82</v>
      </c>
      <c r="Z547" s="4"/>
      <c r="AA547" s="4"/>
      <c r="AB547" s="4"/>
    </row>
    <row r="548" spans="1:206" x14ac:dyDescent="0.2">
      <c r="A548" s="4">
        <v>50</v>
      </c>
      <c r="B548" s="4">
        <v>0</v>
      </c>
      <c r="C548" s="4">
        <v>0</v>
      </c>
      <c r="D548" s="4">
        <v>1</v>
      </c>
      <c r="E548" s="4">
        <v>230</v>
      </c>
      <c r="F548" s="4">
        <f>ROUND(Source!BA528,O548)</f>
        <v>0</v>
      </c>
      <c r="G548" s="4" t="s">
        <v>110</v>
      </c>
      <c r="H548" s="4" t="s">
        <v>111</v>
      </c>
      <c r="I548" s="4"/>
      <c r="J548" s="4"/>
      <c r="K548" s="4">
        <v>230</v>
      </c>
      <c r="L548" s="4">
        <v>19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06" x14ac:dyDescent="0.2">
      <c r="A549" s="4">
        <v>50</v>
      </c>
      <c r="B549" s="4">
        <v>0</v>
      </c>
      <c r="C549" s="4">
        <v>0</v>
      </c>
      <c r="D549" s="4">
        <v>1</v>
      </c>
      <c r="E549" s="4">
        <v>206</v>
      </c>
      <c r="F549" s="4">
        <f>ROUND(Source!T528,O549)</f>
        <v>0</v>
      </c>
      <c r="G549" s="4" t="s">
        <v>112</v>
      </c>
      <c r="H549" s="4" t="s">
        <v>113</v>
      </c>
      <c r="I549" s="4"/>
      <c r="J549" s="4"/>
      <c r="K549" s="4">
        <v>206</v>
      </c>
      <c r="L549" s="4">
        <v>20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06" x14ac:dyDescent="0.2">
      <c r="A550" s="4">
        <v>50</v>
      </c>
      <c r="B550" s="4">
        <v>0</v>
      </c>
      <c r="C550" s="4">
        <v>0</v>
      </c>
      <c r="D550" s="4">
        <v>1</v>
      </c>
      <c r="E550" s="4">
        <v>207</v>
      </c>
      <c r="F550" s="4">
        <f>Source!U528</f>
        <v>0.92379999999999995</v>
      </c>
      <c r="G550" s="4" t="s">
        <v>114</v>
      </c>
      <c r="H550" s="4" t="s">
        <v>115</v>
      </c>
      <c r="I550" s="4"/>
      <c r="J550" s="4"/>
      <c r="K550" s="4">
        <v>207</v>
      </c>
      <c r="L550" s="4">
        <v>21</v>
      </c>
      <c r="M550" s="4">
        <v>3</v>
      </c>
      <c r="N550" s="4" t="s">
        <v>3</v>
      </c>
      <c r="O550" s="4">
        <v>-1</v>
      </c>
      <c r="P550" s="4"/>
      <c r="Q550" s="4"/>
      <c r="R550" s="4"/>
      <c r="S550" s="4"/>
      <c r="T550" s="4"/>
      <c r="U550" s="4"/>
      <c r="V550" s="4"/>
      <c r="W550" s="4">
        <v>0.92379999999999995</v>
      </c>
      <c r="X550" s="4">
        <v>1</v>
      </c>
      <c r="Y550" s="4">
        <v>0.92379999999999995</v>
      </c>
      <c r="Z550" s="4"/>
      <c r="AA550" s="4"/>
      <c r="AB550" s="4"/>
    </row>
    <row r="551" spans="1:206" x14ac:dyDescent="0.2">
      <c r="A551" s="4">
        <v>50</v>
      </c>
      <c r="B551" s="4">
        <v>0</v>
      </c>
      <c r="C551" s="4">
        <v>0</v>
      </c>
      <c r="D551" s="4">
        <v>1</v>
      </c>
      <c r="E551" s="4">
        <v>208</v>
      </c>
      <c r="F551" s="4">
        <f>Source!V528</f>
        <v>0</v>
      </c>
      <c r="G551" s="4" t="s">
        <v>116</v>
      </c>
      <c r="H551" s="4" t="s">
        <v>117</v>
      </c>
      <c r="I551" s="4"/>
      <c r="J551" s="4"/>
      <c r="K551" s="4">
        <v>208</v>
      </c>
      <c r="L551" s="4">
        <v>22</v>
      </c>
      <c r="M551" s="4">
        <v>3</v>
      </c>
      <c r="N551" s="4" t="s">
        <v>3</v>
      </c>
      <c r="O551" s="4">
        <v>-1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06" x14ac:dyDescent="0.2">
      <c r="A552" s="4">
        <v>50</v>
      </c>
      <c r="B552" s="4">
        <v>0</v>
      </c>
      <c r="C552" s="4">
        <v>0</v>
      </c>
      <c r="D552" s="4">
        <v>1</v>
      </c>
      <c r="E552" s="4">
        <v>209</v>
      </c>
      <c r="F552" s="4">
        <f>ROUND(Source!W528,O552)</f>
        <v>0</v>
      </c>
      <c r="G552" s="4" t="s">
        <v>118</v>
      </c>
      <c r="H552" s="4" t="s">
        <v>119</v>
      </c>
      <c r="I552" s="4"/>
      <c r="J552" s="4"/>
      <c r="K552" s="4">
        <v>209</v>
      </c>
      <c r="L552" s="4">
        <v>23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06" x14ac:dyDescent="0.2">
      <c r="A553" s="4">
        <v>50</v>
      </c>
      <c r="B553" s="4">
        <v>0</v>
      </c>
      <c r="C553" s="4">
        <v>0</v>
      </c>
      <c r="D553" s="4">
        <v>1</v>
      </c>
      <c r="E553" s="4">
        <v>233</v>
      </c>
      <c r="F553" s="4">
        <f>ROUND(Source!BD528,O553)</f>
        <v>0</v>
      </c>
      <c r="G553" s="4" t="s">
        <v>120</v>
      </c>
      <c r="H553" s="4" t="s">
        <v>121</v>
      </c>
      <c r="I553" s="4"/>
      <c r="J553" s="4"/>
      <c r="K553" s="4">
        <v>233</v>
      </c>
      <c r="L553" s="4">
        <v>24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06" x14ac:dyDescent="0.2">
      <c r="A554" s="4">
        <v>50</v>
      </c>
      <c r="B554" s="4">
        <v>0</v>
      </c>
      <c r="C554" s="4">
        <v>0</v>
      </c>
      <c r="D554" s="4">
        <v>1</v>
      </c>
      <c r="E554" s="4">
        <v>210</v>
      </c>
      <c r="F554" s="4">
        <f>ROUND(Source!X528,O554)</f>
        <v>281.55</v>
      </c>
      <c r="G554" s="4" t="s">
        <v>122</v>
      </c>
      <c r="H554" s="4" t="s">
        <v>123</v>
      </c>
      <c r="I554" s="4"/>
      <c r="J554" s="4"/>
      <c r="K554" s="4">
        <v>210</v>
      </c>
      <c r="L554" s="4">
        <v>25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281.55</v>
      </c>
      <c r="X554" s="4">
        <v>1</v>
      </c>
      <c r="Y554" s="4">
        <v>281.55</v>
      </c>
      <c r="Z554" s="4"/>
      <c r="AA554" s="4"/>
      <c r="AB554" s="4"/>
    </row>
    <row r="555" spans="1:206" x14ac:dyDescent="0.2">
      <c r="A555" s="4">
        <v>50</v>
      </c>
      <c r="B555" s="4">
        <v>0</v>
      </c>
      <c r="C555" s="4">
        <v>0</v>
      </c>
      <c r="D555" s="4">
        <v>1</v>
      </c>
      <c r="E555" s="4">
        <v>211</v>
      </c>
      <c r="F555" s="4">
        <f>ROUND(Source!Y528,O555)</f>
        <v>40.22</v>
      </c>
      <c r="G555" s="4" t="s">
        <v>124</v>
      </c>
      <c r="H555" s="4" t="s">
        <v>125</v>
      </c>
      <c r="I555" s="4"/>
      <c r="J555" s="4"/>
      <c r="K555" s="4">
        <v>211</v>
      </c>
      <c r="L555" s="4">
        <v>26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40.22</v>
      </c>
      <c r="X555" s="4">
        <v>1</v>
      </c>
      <c r="Y555" s="4">
        <v>40.22</v>
      </c>
      <c r="Z555" s="4"/>
      <c r="AA555" s="4"/>
      <c r="AB555" s="4"/>
    </row>
    <row r="556" spans="1:206" x14ac:dyDescent="0.2">
      <c r="A556" s="4">
        <v>50</v>
      </c>
      <c r="B556" s="4">
        <v>0</v>
      </c>
      <c r="C556" s="4">
        <v>0</v>
      </c>
      <c r="D556" s="4">
        <v>1</v>
      </c>
      <c r="E556" s="4">
        <v>224</v>
      </c>
      <c r="F556" s="4">
        <f>ROUND(Source!AR528,O556)</f>
        <v>2694.82</v>
      </c>
      <c r="G556" s="4" t="s">
        <v>126</v>
      </c>
      <c r="H556" s="4" t="s">
        <v>127</v>
      </c>
      <c r="I556" s="4"/>
      <c r="J556" s="4"/>
      <c r="K556" s="4">
        <v>224</v>
      </c>
      <c r="L556" s="4">
        <v>27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2694.82</v>
      </c>
      <c r="X556" s="4">
        <v>1</v>
      </c>
      <c r="Y556" s="4">
        <v>2694.82</v>
      </c>
      <c r="Z556" s="4"/>
      <c r="AA556" s="4"/>
      <c r="AB556" s="4"/>
    </row>
    <row r="558" spans="1:206" x14ac:dyDescent="0.2">
      <c r="A558" s="2">
        <v>51</v>
      </c>
      <c r="B558" s="2">
        <f>B269</f>
        <v>1</v>
      </c>
      <c r="C558" s="2">
        <f>A269</f>
        <v>4</v>
      </c>
      <c r="D558" s="2">
        <f>ROW(A269)</f>
        <v>269</v>
      </c>
      <c r="E558" s="2"/>
      <c r="F558" s="2" t="str">
        <f>IF(F269&lt;&gt;"",F269,"")</f>
        <v>Новый раздел</v>
      </c>
      <c r="G558" s="2" t="str">
        <f>IF(G269&lt;&gt;"",G269,"")</f>
        <v>Второй этаж, кабинет № 311</v>
      </c>
      <c r="H558" s="2">
        <v>0</v>
      </c>
      <c r="I558" s="2"/>
      <c r="J558" s="2"/>
      <c r="K558" s="2"/>
      <c r="L558" s="2"/>
      <c r="M558" s="2"/>
      <c r="N558" s="2"/>
      <c r="O558" s="2">
        <f t="shared" ref="O558:T558" si="351">ROUND(O290+O327+O363+O404+O452+O490+O528+AB558,2)</f>
        <v>181816.93</v>
      </c>
      <c r="P558" s="2">
        <f t="shared" si="351"/>
        <v>131774.67000000001</v>
      </c>
      <c r="Q558" s="2">
        <f t="shared" si="351"/>
        <v>362.37</v>
      </c>
      <c r="R558" s="2">
        <f t="shared" si="351"/>
        <v>15.71</v>
      </c>
      <c r="S558" s="2">
        <f t="shared" si="351"/>
        <v>49679.89</v>
      </c>
      <c r="T558" s="2">
        <f t="shared" si="351"/>
        <v>0</v>
      </c>
      <c r="U558" s="2">
        <f>U290+U327+U363+U404+U452+U490+U528+AH558</f>
        <v>107.774849</v>
      </c>
      <c r="V558" s="2">
        <f>V290+V327+V363+V404+V452+V490+V528+AI558</f>
        <v>0</v>
      </c>
      <c r="W558" s="2">
        <f>ROUND(W290+W327+W363+W404+W452+W490+W528+AJ558,2)</f>
        <v>0</v>
      </c>
      <c r="X558" s="2">
        <f>ROUND(X290+X327+X363+X404+X452+X490+X528+AK558,2)</f>
        <v>34775.94</v>
      </c>
      <c r="Y558" s="2">
        <f>ROUND(Y290+Y327+Y363+Y404+Y452+Y490+Y528+AL558,2)</f>
        <v>4968</v>
      </c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>
        <f t="shared" ref="AO558:BD558" si="352">ROUND(AO290+AO327+AO363+AO404+AO452+AO490+AO528+BX558,2)</f>
        <v>0</v>
      </c>
      <c r="AP558" s="2">
        <f t="shared" si="352"/>
        <v>0</v>
      </c>
      <c r="AQ558" s="2">
        <f t="shared" si="352"/>
        <v>0</v>
      </c>
      <c r="AR558" s="2">
        <f t="shared" si="352"/>
        <v>221577.84</v>
      </c>
      <c r="AS558" s="2">
        <f t="shared" si="352"/>
        <v>0</v>
      </c>
      <c r="AT558" s="2">
        <f t="shared" si="352"/>
        <v>0</v>
      </c>
      <c r="AU558" s="2">
        <f t="shared" si="352"/>
        <v>221577.84</v>
      </c>
      <c r="AV558" s="2">
        <f t="shared" si="352"/>
        <v>131774.67000000001</v>
      </c>
      <c r="AW558" s="2">
        <f t="shared" si="352"/>
        <v>131774.67000000001</v>
      </c>
      <c r="AX558" s="2">
        <f t="shared" si="352"/>
        <v>0</v>
      </c>
      <c r="AY558" s="2">
        <f t="shared" si="352"/>
        <v>131774.67000000001</v>
      </c>
      <c r="AZ558" s="2">
        <f t="shared" si="352"/>
        <v>0</v>
      </c>
      <c r="BA558" s="2">
        <f t="shared" si="352"/>
        <v>0</v>
      </c>
      <c r="BB558" s="2">
        <f t="shared" si="352"/>
        <v>0</v>
      </c>
      <c r="BC558" s="2">
        <f t="shared" si="352"/>
        <v>0</v>
      </c>
      <c r="BD558" s="2">
        <f t="shared" si="352"/>
        <v>0</v>
      </c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3"/>
      <c r="DH558" s="3"/>
      <c r="DI558" s="3"/>
      <c r="DJ558" s="3"/>
      <c r="DK558" s="3"/>
      <c r="DL558" s="3"/>
      <c r="DM558" s="3"/>
      <c r="DN558" s="3"/>
      <c r="DO558" s="3"/>
      <c r="DP558" s="3"/>
      <c r="DQ558" s="3"/>
      <c r="DR558" s="3"/>
      <c r="DS558" s="3"/>
      <c r="DT558" s="3"/>
      <c r="DU558" s="3"/>
      <c r="DV558" s="3"/>
      <c r="DW558" s="3"/>
      <c r="DX558" s="3"/>
      <c r="DY558" s="3"/>
      <c r="DZ558" s="3"/>
      <c r="EA558" s="3"/>
      <c r="EB558" s="3"/>
      <c r="EC558" s="3"/>
      <c r="ED558" s="3"/>
      <c r="EE558" s="3"/>
      <c r="EF558" s="3"/>
      <c r="EG558" s="3"/>
      <c r="EH558" s="3"/>
      <c r="EI558" s="3"/>
      <c r="EJ558" s="3"/>
      <c r="EK558" s="3"/>
      <c r="EL558" s="3"/>
      <c r="EM558" s="3"/>
      <c r="EN558" s="3"/>
      <c r="EO558" s="3"/>
      <c r="EP558" s="3"/>
      <c r="EQ558" s="3"/>
      <c r="ER558" s="3"/>
      <c r="ES558" s="3"/>
      <c r="ET558" s="3"/>
      <c r="EU558" s="3"/>
      <c r="EV558" s="3"/>
      <c r="EW558" s="3"/>
      <c r="EX558" s="3"/>
      <c r="EY558" s="3"/>
      <c r="EZ558" s="3"/>
      <c r="FA558" s="3"/>
      <c r="FB558" s="3"/>
      <c r="FC558" s="3"/>
      <c r="FD558" s="3"/>
      <c r="FE558" s="3"/>
      <c r="FF558" s="3"/>
      <c r="FG558" s="3"/>
      <c r="FH558" s="3"/>
      <c r="FI558" s="3"/>
      <c r="FJ558" s="3"/>
      <c r="FK558" s="3"/>
      <c r="FL558" s="3"/>
      <c r="FM558" s="3"/>
      <c r="FN558" s="3"/>
      <c r="FO558" s="3"/>
      <c r="FP558" s="3"/>
      <c r="FQ558" s="3"/>
      <c r="FR558" s="3"/>
      <c r="FS558" s="3"/>
      <c r="FT558" s="3"/>
      <c r="FU558" s="3"/>
      <c r="FV558" s="3"/>
      <c r="FW558" s="3"/>
      <c r="FX558" s="3"/>
      <c r="FY558" s="3"/>
      <c r="FZ558" s="3"/>
      <c r="GA558" s="3"/>
      <c r="GB558" s="3"/>
      <c r="GC558" s="3"/>
      <c r="GD558" s="3"/>
      <c r="GE558" s="3"/>
      <c r="GF558" s="3"/>
      <c r="GG558" s="3"/>
      <c r="GH558" s="3"/>
      <c r="GI558" s="3"/>
      <c r="GJ558" s="3"/>
      <c r="GK558" s="3"/>
      <c r="GL558" s="3"/>
      <c r="GM558" s="3"/>
      <c r="GN558" s="3"/>
      <c r="GO558" s="3"/>
      <c r="GP558" s="3"/>
      <c r="GQ558" s="3"/>
      <c r="GR558" s="3"/>
      <c r="GS558" s="3"/>
      <c r="GT558" s="3"/>
      <c r="GU558" s="3"/>
      <c r="GV558" s="3"/>
      <c r="GW558" s="3"/>
      <c r="GX558" s="3">
        <v>0</v>
      </c>
    </row>
    <row r="560" spans="1:206" x14ac:dyDescent="0.2">
      <c r="A560" s="4">
        <v>50</v>
      </c>
      <c r="B560" s="4">
        <v>0</v>
      </c>
      <c r="C560" s="4">
        <v>0</v>
      </c>
      <c r="D560" s="4">
        <v>1</v>
      </c>
      <c r="E560" s="4">
        <v>201</v>
      </c>
      <c r="F560" s="4">
        <f>ROUND(Source!O558,O560)</f>
        <v>181816.93</v>
      </c>
      <c r="G560" s="4" t="s">
        <v>74</v>
      </c>
      <c r="H560" s="4" t="s">
        <v>75</v>
      </c>
      <c r="I560" s="4"/>
      <c r="J560" s="4"/>
      <c r="K560" s="4">
        <v>201</v>
      </c>
      <c r="L560" s="4">
        <v>1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181816.93</v>
      </c>
      <c r="X560" s="4">
        <v>1</v>
      </c>
      <c r="Y560" s="4">
        <v>181816.93</v>
      </c>
      <c r="Z560" s="4"/>
      <c r="AA560" s="4"/>
      <c r="AB560" s="4"/>
    </row>
    <row r="561" spans="1:28" x14ac:dyDescent="0.2">
      <c r="A561" s="4">
        <v>50</v>
      </c>
      <c r="B561" s="4">
        <v>0</v>
      </c>
      <c r="C561" s="4">
        <v>0</v>
      </c>
      <c r="D561" s="4">
        <v>1</v>
      </c>
      <c r="E561" s="4">
        <v>202</v>
      </c>
      <c r="F561" s="4">
        <f>ROUND(Source!P558,O561)</f>
        <v>131774.67000000001</v>
      </c>
      <c r="G561" s="4" t="s">
        <v>76</v>
      </c>
      <c r="H561" s="4" t="s">
        <v>77</v>
      </c>
      <c r="I561" s="4"/>
      <c r="J561" s="4"/>
      <c r="K561" s="4">
        <v>202</v>
      </c>
      <c r="L561" s="4">
        <v>2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131774.67000000001</v>
      </c>
      <c r="X561" s="4">
        <v>1</v>
      </c>
      <c r="Y561" s="4">
        <v>131774.67000000001</v>
      </c>
      <c r="Z561" s="4"/>
      <c r="AA561" s="4"/>
      <c r="AB561" s="4"/>
    </row>
    <row r="562" spans="1:28" x14ac:dyDescent="0.2">
      <c r="A562" s="4">
        <v>50</v>
      </c>
      <c r="B562" s="4">
        <v>0</v>
      </c>
      <c r="C562" s="4">
        <v>0</v>
      </c>
      <c r="D562" s="4">
        <v>1</v>
      </c>
      <c r="E562" s="4">
        <v>222</v>
      </c>
      <c r="F562" s="4">
        <f>ROUND(Source!AO558,O562)</f>
        <v>0</v>
      </c>
      <c r="G562" s="4" t="s">
        <v>78</v>
      </c>
      <c r="H562" s="4" t="s">
        <v>79</v>
      </c>
      <c r="I562" s="4"/>
      <c r="J562" s="4"/>
      <c r="K562" s="4">
        <v>222</v>
      </c>
      <c r="L562" s="4">
        <v>3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0</v>
      </c>
      <c r="X562" s="4">
        <v>1</v>
      </c>
      <c r="Y562" s="4">
        <v>0</v>
      </c>
      <c r="Z562" s="4"/>
      <c r="AA562" s="4"/>
      <c r="AB562" s="4"/>
    </row>
    <row r="563" spans="1:28" x14ac:dyDescent="0.2">
      <c r="A563" s="4">
        <v>50</v>
      </c>
      <c r="B563" s="4">
        <v>0</v>
      </c>
      <c r="C563" s="4">
        <v>0</v>
      </c>
      <c r="D563" s="4">
        <v>1</v>
      </c>
      <c r="E563" s="4">
        <v>225</v>
      </c>
      <c r="F563" s="4">
        <f>ROUND(Source!AV558,O563)</f>
        <v>131774.67000000001</v>
      </c>
      <c r="G563" s="4" t="s">
        <v>80</v>
      </c>
      <c r="H563" s="4" t="s">
        <v>81</v>
      </c>
      <c r="I563" s="4"/>
      <c r="J563" s="4"/>
      <c r="K563" s="4">
        <v>225</v>
      </c>
      <c r="L563" s="4">
        <v>4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131774.67000000001</v>
      </c>
      <c r="X563" s="4">
        <v>1</v>
      </c>
      <c r="Y563" s="4">
        <v>131774.67000000001</v>
      </c>
      <c r="Z563" s="4"/>
      <c r="AA563" s="4"/>
      <c r="AB563" s="4"/>
    </row>
    <row r="564" spans="1:28" x14ac:dyDescent="0.2">
      <c r="A564" s="4">
        <v>50</v>
      </c>
      <c r="B564" s="4">
        <v>0</v>
      </c>
      <c r="C564" s="4">
        <v>0</v>
      </c>
      <c r="D564" s="4">
        <v>1</v>
      </c>
      <c r="E564" s="4">
        <v>226</v>
      </c>
      <c r="F564" s="4">
        <f>ROUND(Source!AW558,O564)</f>
        <v>131774.67000000001</v>
      </c>
      <c r="G564" s="4" t="s">
        <v>82</v>
      </c>
      <c r="H564" s="4" t="s">
        <v>83</v>
      </c>
      <c r="I564" s="4"/>
      <c r="J564" s="4"/>
      <c r="K564" s="4">
        <v>226</v>
      </c>
      <c r="L564" s="4">
        <v>5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131774.67000000001</v>
      </c>
      <c r="X564" s="4">
        <v>1</v>
      </c>
      <c r="Y564" s="4">
        <v>131774.67000000001</v>
      </c>
      <c r="Z564" s="4"/>
      <c r="AA564" s="4"/>
      <c r="AB564" s="4"/>
    </row>
    <row r="565" spans="1:28" x14ac:dyDescent="0.2">
      <c r="A565" s="4">
        <v>50</v>
      </c>
      <c r="B565" s="4">
        <v>0</v>
      </c>
      <c r="C565" s="4">
        <v>0</v>
      </c>
      <c r="D565" s="4">
        <v>1</v>
      </c>
      <c r="E565" s="4">
        <v>227</v>
      </c>
      <c r="F565" s="4">
        <f>ROUND(Source!AX558,O565)</f>
        <v>0</v>
      </c>
      <c r="G565" s="4" t="s">
        <v>84</v>
      </c>
      <c r="H565" s="4" t="s">
        <v>85</v>
      </c>
      <c r="I565" s="4"/>
      <c r="J565" s="4"/>
      <c r="K565" s="4">
        <v>227</v>
      </c>
      <c r="L565" s="4">
        <v>6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0</v>
      </c>
      <c r="X565" s="4">
        <v>1</v>
      </c>
      <c r="Y565" s="4">
        <v>0</v>
      </c>
      <c r="Z565" s="4"/>
      <c r="AA565" s="4"/>
      <c r="AB565" s="4"/>
    </row>
    <row r="566" spans="1:28" x14ac:dyDescent="0.2">
      <c r="A566" s="4">
        <v>50</v>
      </c>
      <c r="B566" s="4">
        <v>0</v>
      </c>
      <c r="C566" s="4">
        <v>0</v>
      </c>
      <c r="D566" s="4">
        <v>1</v>
      </c>
      <c r="E566" s="4">
        <v>228</v>
      </c>
      <c r="F566" s="4">
        <f>ROUND(Source!AY558,O566)</f>
        <v>131774.67000000001</v>
      </c>
      <c r="G566" s="4" t="s">
        <v>86</v>
      </c>
      <c r="H566" s="4" t="s">
        <v>87</v>
      </c>
      <c r="I566" s="4"/>
      <c r="J566" s="4"/>
      <c r="K566" s="4">
        <v>228</v>
      </c>
      <c r="L566" s="4">
        <v>7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131774.67000000001</v>
      </c>
      <c r="X566" s="4">
        <v>1</v>
      </c>
      <c r="Y566" s="4">
        <v>131774.67000000001</v>
      </c>
      <c r="Z566" s="4"/>
      <c r="AA566" s="4"/>
      <c r="AB566" s="4"/>
    </row>
    <row r="567" spans="1:28" x14ac:dyDescent="0.2">
      <c r="A567" s="4">
        <v>50</v>
      </c>
      <c r="B567" s="4">
        <v>0</v>
      </c>
      <c r="C567" s="4">
        <v>0</v>
      </c>
      <c r="D567" s="4">
        <v>1</v>
      </c>
      <c r="E567" s="4">
        <v>216</v>
      </c>
      <c r="F567" s="4">
        <f>ROUND(Source!AP558,O567)</f>
        <v>0</v>
      </c>
      <c r="G567" s="4" t="s">
        <v>88</v>
      </c>
      <c r="H567" s="4" t="s">
        <v>89</v>
      </c>
      <c r="I567" s="4"/>
      <c r="J567" s="4"/>
      <c r="K567" s="4">
        <v>216</v>
      </c>
      <c r="L567" s="4">
        <v>8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8" x14ac:dyDescent="0.2">
      <c r="A568" s="4">
        <v>50</v>
      </c>
      <c r="B568" s="4">
        <v>0</v>
      </c>
      <c r="C568" s="4">
        <v>0</v>
      </c>
      <c r="D568" s="4">
        <v>1</v>
      </c>
      <c r="E568" s="4">
        <v>223</v>
      </c>
      <c r="F568" s="4">
        <f>ROUND(Source!AQ558,O568)</f>
        <v>0</v>
      </c>
      <c r="G568" s="4" t="s">
        <v>90</v>
      </c>
      <c r="H568" s="4" t="s">
        <v>91</v>
      </c>
      <c r="I568" s="4"/>
      <c r="J568" s="4"/>
      <c r="K568" s="4">
        <v>223</v>
      </c>
      <c r="L568" s="4">
        <v>9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8" x14ac:dyDescent="0.2">
      <c r="A569" s="4">
        <v>50</v>
      </c>
      <c r="B569" s="4">
        <v>0</v>
      </c>
      <c r="C569" s="4">
        <v>0</v>
      </c>
      <c r="D569" s="4">
        <v>1</v>
      </c>
      <c r="E569" s="4">
        <v>229</v>
      </c>
      <c r="F569" s="4">
        <f>ROUND(Source!AZ558,O569)</f>
        <v>0</v>
      </c>
      <c r="G569" s="4" t="s">
        <v>92</v>
      </c>
      <c r="H569" s="4" t="s">
        <v>93</v>
      </c>
      <c r="I569" s="4"/>
      <c r="J569" s="4"/>
      <c r="K569" s="4">
        <v>229</v>
      </c>
      <c r="L569" s="4">
        <v>10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8" x14ac:dyDescent="0.2">
      <c r="A570" s="4">
        <v>50</v>
      </c>
      <c r="B570" s="4">
        <v>0</v>
      </c>
      <c r="C570" s="4">
        <v>0</v>
      </c>
      <c r="D570" s="4">
        <v>1</v>
      </c>
      <c r="E570" s="4">
        <v>203</v>
      </c>
      <c r="F570" s="4">
        <f>ROUND(Source!Q558,O570)</f>
        <v>362.37</v>
      </c>
      <c r="G570" s="4" t="s">
        <v>94</v>
      </c>
      <c r="H570" s="4" t="s">
        <v>95</v>
      </c>
      <c r="I570" s="4"/>
      <c r="J570" s="4"/>
      <c r="K570" s="4">
        <v>203</v>
      </c>
      <c r="L570" s="4">
        <v>11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362.37</v>
      </c>
      <c r="X570" s="4">
        <v>1</v>
      </c>
      <c r="Y570" s="4">
        <v>362.37</v>
      </c>
      <c r="Z570" s="4"/>
      <c r="AA570" s="4"/>
      <c r="AB570" s="4"/>
    </row>
    <row r="571" spans="1:28" x14ac:dyDescent="0.2">
      <c r="A571" s="4">
        <v>50</v>
      </c>
      <c r="B571" s="4">
        <v>0</v>
      </c>
      <c r="C571" s="4">
        <v>0</v>
      </c>
      <c r="D571" s="4">
        <v>1</v>
      </c>
      <c r="E571" s="4">
        <v>231</v>
      </c>
      <c r="F571" s="4">
        <f>ROUND(Source!BB558,O571)</f>
        <v>0</v>
      </c>
      <c r="G571" s="4" t="s">
        <v>96</v>
      </c>
      <c r="H571" s="4" t="s">
        <v>97</v>
      </c>
      <c r="I571" s="4"/>
      <c r="J571" s="4"/>
      <c r="K571" s="4">
        <v>231</v>
      </c>
      <c r="L571" s="4">
        <v>12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8" x14ac:dyDescent="0.2">
      <c r="A572" s="4">
        <v>50</v>
      </c>
      <c r="B572" s="4">
        <v>0</v>
      </c>
      <c r="C572" s="4">
        <v>0</v>
      </c>
      <c r="D572" s="4">
        <v>1</v>
      </c>
      <c r="E572" s="4">
        <v>204</v>
      </c>
      <c r="F572" s="4">
        <f>ROUND(Source!R558,O572)</f>
        <v>15.71</v>
      </c>
      <c r="G572" s="4" t="s">
        <v>98</v>
      </c>
      <c r="H572" s="4" t="s">
        <v>99</v>
      </c>
      <c r="I572" s="4"/>
      <c r="J572" s="4"/>
      <c r="K572" s="4">
        <v>204</v>
      </c>
      <c r="L572" s="4">
        <v>13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15.71</v>
      </c>
      <c r="X572" s="4">
        <v>1</v>
      </c>
      <c r="Y572" s="4">
        <v>15.71</v>
      </c>
      <c r="Z572" s="4"/>
      <c r="AA572" s="4"/>
      <c r="AB572" s="4"/>
    </row>
    <row r="573" spans="1:28" x14ac:dyDescent="0.2">
      <c r="A573" s="4">
        <v>50</v>
      </c>
      <c r="B573" s="4">
        <v>0</v>
      </c>
      <c r="C573" s="4">
        <v>0</v>
      </c>
      <c r="D573" s="4">
        <v>1</v>
      </c>
      <c r="E573" s="4">
        <v>205</v>
      </c>
      <c r="F573" s="4">
        <f>ROUND(Source!S558,O573)</f>
        <v>49679.89</v>
      </c>
      <c r="G573" s="4" t="s">
        <v>100</v>
      </c>
      <c r="H573" s="4" t="s">
        <v>101</v>
      </c>
      <c r="I573" s="4"/>
      <c r="J573" s="4"/>
      <c r="K573" s="4">
        <v>205</v>
      </c>
      <c r="L573" s="4">
        <v>14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49679.89</v>
      </c>
      <c r="X573" s="4">
        <v>1</v>
      </c>
      <c r="Y573" s="4">
        <v>49679.89</v>
      </c>
      <c r="Z573" s="4"/>
      <c r="AA573" s="4"/>
      <c r="AB573" s="4"/>
    </row>
    <row r="574" spans="1:28" x14ac:dyDescent="0.2">
      <c r="A574" s="4">
        <v>50</v>
      </c>
      <c r="B574" s="4">
        <v>0</v>
      </c>
      <c r="C574" s="4">
        <v>0</v>
      </c>
      <c r="D574" s="4">
        <v>1</v>
      </c>
      <c r="E574" s="4">
        <v>232</v>
      </c>
      <c r="F574" s="4">
        <f>ROUND(Source!BC558,O574)</f>
        <v>0</v>
      </c>
      <c r="G574" s="4" t="s">
        <v>102</v>
      </c>
      <c r="H574" s="4" t="s">
        <v>103</v>
      </c>
      <c r="I574" s="4"/>
      <c r="J574" s="4"/>
      <c r="K574" s="4">
        <v>232</v>
      </c>
      <c r="L574" s="4">
        <v>15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8" x14ac:dyDescent="0.2">
      <c r="A575" s="4">
        <v>50</v>
      </c>
      <c r="B575" s="4">
        <v>0</v>
      </c>
      <c r="C575" s="4">
        <v>0</v>
      </c>
      <c r="D575" s="4">
        <v>1</v>
      </c>
      <c r="E575" s="4">
        <v>214</v>
      </c>
      <c r="F575" s="4">
        <f>ROUND(Source!AS558,O575)</f>
        <v>0</v>
      </c>
      <c r="G575" s="4" t="s">
        <v>104</v>
      </c>
      <c r="H575" s="4" t="s">
        <v>105</v>
      </c>
      <c r="I575" s="4"/>
      <c r="J575" s="4"/>
      <c r="K575" s="4">
        <v>214</v>
      </c>
      <c r="L575" s="4">
        <v>16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8" x14ac:dyDescent="0.2">
      <c r="A576" s="4">
        <v>50</v>
      </c>
      <c r="B576" s="4">
        <v>0</v>
      </c>
      <c r="C576" s="4">
        <v>0</v>
      </c>
      <c r="D576" s="4">
        <v>1</v>
      </c>
      <c r="E576" s="4">
        <v>215</v>
      </c>
      <c r="F576" s="4">
        <f>ROUND(Source!AT558,O576)</f>
        <v>0</v>
      </c>
      <c r="G576" s="4" t="s">
        <v>106</v>
      </c>
      <c r="H576" s="4" t="s">
        <v>107</v>
      </c>
      <c r="I576" s="4"/>
      <c r="J576" s="4"/>
      <c r="K576" s="4">
        <v>215</v>
      </c>
      <c r="L576" s="4">
        <v>17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45" x14ac:dyDescent="0.2">
      <c r="A577" s="4">
        <v>50</v>
      </c>
      <c r="B577" s="4">
        <v>0</v>
      </c>
      <c r="C577" s="4">
        <v>0</v>
      </c>
      <c r="D577" s="4">
        <v>1</v>
      </c>
      <c r="E577" s="4">
        <v>217</v>
      </c>
      <c r="F577" s="4">
        <f>ROUND(Source!AU558,O577)</f>
        <v>221577.84</v>
      </c>
      <c r="G577" s="4" t="s">
        <v>108</v>
      </c>
      <c r="H577" s="4" t="s">
        <v>109</v>
      </c>
      <c r="I577" s="4"/>
      <c r="J577" s="4"/>
      <c r="K577" s="4">
        <v>217</v>
      </c>
      <c r="L577" s="4">
        <v>18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221577.84</v>
      </c>
      <c r="X577" s="4">
        <v>1</v>
      </c>
      <c r="Y577" s="4">
        <v>221577.84</v>
      </c>
      <c r="Z577" s="4"/>
      <c r="AA577" s="4"/>
      <c r="AB577" s="4"/>
    </row>
    <row r="578" spans="1:245" x14ac:dyDescent="0.2">
      <c r="A578" s="4">
        <v>50</v>
      </c>
      <c r="B578" s="4">
        <v>0</v>
      </c>
      <c r="C578" s="4">
        <v>0</v>
      </c>
      <c r="D578" s="4">
        <v>1</v>
      </c>
      <c r="E578" s="4">
        <v>230</v>
      </c>
      <c r="F578" s="4">
        <f>ROUND(Source!BA558,O578)</f>
        <v>0</v>
      </c>
      <c r="G578" s="4" t="s">
        <v>110</v>
      </c>
      <c r="H578" s="4" t="s">
        <v>111</v>
      </c>
      <c r="I578" s="4"/>
      <c r="J578" s="4"/>
      <c r="K578" s="4">
        <v>230</v>
      </c>
      <c r="L578" s="4">
        <v>19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45" x14ac:dyDescent="0.2">
      <c r="A579" s="4">
        <v>50</v>
      </c>
      <c r="B579" s="4">
        <v>0</v>
      </c>
      <c r="C579" s="4">
        <v>0</v>
      </c>
      <c r="D579" s="4">
        <v>1</v>
      </c>
      <c r="E579" s="4">
        <v>206</v>
      </c>
      <c r="F579" s="4">
        <f>ROUND(Source!T558,O579)</f>
        <v>0</v>
      </c>
      <c r="G579" s="4" t="s">
        <v>112</v>
      </c>
      <c r="H579" s="4" t="s">
        <v>113</v>
      </c>
      <c r="I579" s="4"/>
      <c r="J579" s="4"/>
      <c r="K579" s="4">
        <v>206</v>
      </c>
      <c r="L579" s="4">
        <v>20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45" x14ac:dyDescent="0.2">
      <c r="A580" s="4">
        <v>50</v>
      </c>
      <c r="B580" s="4">
        <v>0</v>
      </c>
      <c r="C580" s="4">
        <v>0</v>
      </c>
      <c r="D580" s="4">
        <v>1</v>
      </c>
      <c r="E580" s="4">
        <v>207</v>
      </c>
      <c r="F580" s="4">
        <f>Source!U558</f>
        <v>107.774849</v>
      </c>
      <c r="G580" s="4" t="s">
        <v>114</v>
      </c>
      <c r="H580" s="4" t="s">
        <v>115</v>
      </c>
      <c r="I580" s="4"/>
      <c r="J580" s="4"/>
      <c r="K580" s="4">
        <v>207</v>
      </c>
      <c r="L580" s="4">
        <v>21</v>
      </c>
      <c r="M580" s="4">
        <v>3</v>
      </c>
      <c r="N580" s="4" t="s">
        <v>3</v>
      </c>
      <c r="O580" s="4">
        <v>-1</v>
      </c>
      <c r="P580" s="4"/>
      <c r="Q580" s="4"/>
      <c r="R580" s="4"/>
      <c r="S580" s="4"/>
      <c r="T580" s="4"/>
      <c r="U580" s="4"/>
      <c r="V580" s="4"/>
      <c r="W580" s="4">
        <v>107.774849</v>
      </c>
      <c r="X580" s="4">
        <v>1</v>
      </c>
      <c r="Y580" s="4">
        <v>107.774849</v>
      </c>
      <c r="Z580" s="4"/>
      <c r="AA580" s="4"/>
      <c r="AB580" s="4"/>
    </row>
    <row r="581" spans="1:245" x14ac:dyDescent="0.2">
      <c r="A581" s="4">
        <v>50</v>
      </c>
      <c r="B581" s="4">
        <v>0</v>
      </c>
      <c r="C581" s="4">
        <v>0</v>
      </c>
      <c r="D581" s="4">
        <v>1</v>
      </c>
      <c r="E581" s="4">
        <v>208</v>
      </c>
      <c r="F581" s="4">
        <f>Source!V558</f>
        <v>0</v>
      </c>
      <c r="G581" s="4" t="s">
        <v>116</v>
      </c>
      <c r="H581" s="4" t="s">
        <v>117</v>
      </c>
      <c r="I581" s="4"/>
      <c r="J581" s="4"/>
      <c r="K581" s="4">
        <v>208</v>
      </c>
      <c r="L581" s="4">
        <v>22</v>
      </c>
      <c r="M581" s="4">
        <v>3</v>
      </c>
      <c r="N581" s="4" t="s">
        <v>3</v>
      </c>
      <c r="O581" s="4">
        <v>-1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45" x14ac:dyDescent="0.2">
      <c r="A582" s="4">
        <v>50</v>
      </c>
      <c r="B582" s="4">
        <v>0</v>
      </c>
      <c r="C582" s="4">
        <v>0</v>
      </c>
      <c r="D582" s="4">
        <v>1</v>
      </c>
      <c r="E582" s="4">
        <v>209</v>
      </c>
      <c r="F582" s="4">
        <f>ROUND(Source!W558,O582)</f>
        <v>0</v>
      </c>
      <c r="G582" s="4" t="s">
        <v>118</v>
      </c>
      <c r="H582" s="4" t="s">
        <v>119</v>
      </c>
      <c r="I582" s="4"/>
      <c r="J582" s="4"/>
      <c r="K582" s="4">
        <v>209</v>
      </c>
      <c r="L582" s="4">
        <v>23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45" x14ac:dyDescent="0.2">
      <c r="A583" s="4">
        <v>50</v>
      </c>
      <c r="B583" s="4">
        <v>0</v>
      </c>
      <c r="C583" s="4">
        <v>0</v>
      </c>
      <c r="D583" s="4">
        <v>1</v>
      </c>
      <c r="E583" s="4">
        <v>233</v>
      </c>
      <c r="F583" s="4">
        <f>ROUND(Source!BD558,O583)</f>
        <v>0</v>
      </c>
      <c r="G583" s="4" t="s">
        <v>120</v>
      </c>
      <c r="H583" s="4" t="s">
        <v>121</v>
      </c>
      <c r="I583" s="4"/>
      <c r="J583" s="4"/>
      <c r="K583" s="4">
        <v>233</v>
      </c>
      <c r="L583" s="4">
        <v>24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45" x14ac:dyDescent="0.2">
      <c r="A584" s="4">
        <v>50</v>
      </c>
      <c r="B584" s="4">
        <v>0</v>
      </c>
      <c r="C584" s="4">
        <v>0</v>
      </c>
      <c r="D584" s="4">
        <v>1</v>
      </c>
      <c r="E584" s="4">
        <v>210</v>
      </c>
      <c r="F584" s="4">
        <f>ROUND(Source!X558,O584)</f>
        <v>34775.94</v>
      </c>
      <c r="G584" s="4" t="s">
        <v>122</v>
      </c>
      <c r="H584" s="4" t="s">
        <v>123</v>
      </c>
      <c r="I584" s="4"/>
      <c r="J584" s="4"/>
      <c r="K584" s="4">
        <v>210</v>
      </c>
      <c r="L584" s="4">
        <v>25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34775.94</v>
      </c>
      <c r="X584" s="4">
        <v>1</v>
      </c>
      <c r="Y584" s="4">
        <v>34775.94</v>
      </c>
      <c r="Z584" s="4"/>
      <c r="AA584" s="4"/>
      <c r="AB584" s="4"/>
    </row>
    <row r="585" spans="1:245" x14ac:dyDescent="0.2">
      <c r="A585" s="4">
        <v>50</v>
      </c>
      <c r="B585" s="4">
        <v>0</v>
      </c>
      <c r="C585" s="4">
        <v>0</v>
      </c>
      <c r="D585" s="4">
        <v>1</v>
      </c>
      <c r="E585" s="4">
        <v>211</v>
      </c>
      <c r="F585" s="4">
        <f>ROUND(Source!Y558,O585)</f>
        <v>4968</v>
      </c>
      <c r="G585" s="4" t="s">
        <v>124</v>
      </c>
      <c r="H585" s="4" t="s">
        <v>125</v>
      </c>
      <c r="I585" s="4"/>
      <c r="J585" s="4"/>
      <c r="K585" s="4">
        <v>211</v>
      </c>
      <c r="L585" s="4">
        <v>26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4968</v>
      </c>
      <c r="X585" s="4">
        <v>1</v>
      </c>
      <c r="Y585" s="4">
        <v>4968</v>
      </c>
      <c r="Z585" s="4"/>
      <c r="AA585" s="4"/>
      <c r="AB585" s="4"/>
    </row>
    <row r="586" spans="1:245" x14ac:dyDescent="0.2">
      <c r="A586" s="4">
        <v>50</v>
      </c>
      <c r="B586" s="4">
        <v>0</v>
      </c>
      <c r="C586" s="4">
        <v>0</v>
      </c>
      <c r="D586" s="4">
        <v>1</v>
      </c>
      <c r="E586" s="4">
        <v>224</v>
      </c>
      <c r="F586" s="4">
        <f>ROUND(Source!AR558,O586)</f>
        <v>221577.84</v>
      </c>
      <c r="G586" s="4" t="s">
        <v>126</v>
      </c>
      <c r="H586" s="4" t="s">
        <v>127</v>
      </c>
      <c r="I586" s="4"/>
      <c r="J586" s="4"/>
      <c r="K586" s="4">
        <v>224</v>
      </c>
      <c r="L586" s="4">
        <v>27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221577.84</v>
      </c>
      <c r="X586" s="4">
        <v>1</v>
      </c>
      <c r="Y586" s="4">
        <v>221577.84</v>
      </c>
      <c r="Z586" s="4"/>
      <c r="AA586" s="4"/>
      <c r="AB586" s="4"/>
    </row>
    <row r="588" spans="1:245" x14ac:dyDescent="0.2">
      <c r="A588" s="1">
        <v>4</v>
      </c>
      <c r="B588" s="1">
        <v>1</v>
      </c>
      <c r="C588" s="1"/>
      <c r="D588" s="1">
        <f>ROW(A596)</f>
        <v>596</v>
      </c>
      <c r="E588" s="1"/>
      <c r="F588" s="1" t="s">
        <v>13</v>
      </c>
      <c r="G588" s="1" t="s">
        <v>297</v>
      </c>
      <c r="H588" s="1" t="s">
        <v>3</v>
      </c>
      <c r="I588" s="1">
        <v>0</v>
      </c>
      <c r="J588" s="1"/>
      <c r="K588" s="1">
        <v>0</v>
      </c>
      <c r="L588" s="1"/>
      <c r="M588" s="1" t="s">
        <v>3</v>
      </c>
      <c r="N588" s="1"/>
      <c r="O588" s="1"/>
      <c r="P588" s="1"/>
      <c r="Q588" s="1"/>
      <c r="R588" s="1"/>
      <c r="S588" s="1">
        <v>0</v>
      </c>
      <c r="T588" s="1"/>
      <c r="U588" s="1" t="s">
        <v>3</v>
      </c>
      <c r="V588" s="1">
        <v>0</v>
      </c>
      <c r="W588" s="1"/>
      <c r="X588" s="1"/>
      <c r="Y588" s="1"/>
      <c r="Z588" s="1"/>
      <c r="AA588" s="1"/>
      <c r="AB588" s="1" t="s">
        <v>3</v>
      </c>
      <c r="AC588" s="1" t="s">
        <v>3</v>
      </c>
      <c r="AD588" s="1" t="s">
        <v>3</v>
      </c>
      <c r="AE588" s="1" t="s">
        <v>3</v>
      </c>
      <c r="AF588" s="1" t="s">
        <v>3</v>
      </c>
      <c r="AG588" s="1" t="s">
        <v>3</v>
      </c>
      <c r="AH588" s="1"/>
      <c r="AI588" s="1"/>
      <c r="AJ588" s="1"/>
      <c r="AK588" s="1"/>
      <c r="AL588" s="1"/>
      <c r="AM588" s="1"/>
      <c r="AN588" s="1"/>
      <c r="AO588" s="1"/>
      <c r="AP588" s="1" t="s">
        <v>3</v>
      </c>
      <c r="AQ588" s="1" t="s">
        <v>3</v>
      </c>
      <c r="AR588" s="1" t="s">
        <v>3</v>
      </c>
      <c r="AS588" s="1"/>
      <c r="AT588" s="1"/>
      <c r="AU588" s="1"/>
      <c r="AV588" s="1"/>
      <c r="AW588" s="1"/>
      <c r="AX588" s="1"/>
      <c r="AY588" s="1"/>
      <c r="AZ588" s="1" t="s">
        <v>3</v>
      </c>
      <c r="BA588" s="1"/>
      <c r="BB588" s="1" t="s">
        <v>3</v>
      </c>
      <c r="BC588" s="1" t="s">
        <v>3</v>
      </c>
      <c r="BD588" s="1" t="s">
        <v>3</v>
      </c>
      <c r="BE588" s="1" t="s">
        <v>3</v>
      </c>
      <c r="BF588" s="1" t="s">
        <v>3</v>
      </c>
      <c r="BG588" s="1" t="s">
        <v>3</v>
      </c>
      <c r="BH588" s="1" t="s">
        <v>3</v>
      </c>
      <c r="BI588" s="1" t="s">
        <v>3</v>
      </c>
      <c r="BJ588" s="1" t="s">
        <v>3</v>
      </c>
      <c r="BK588" s="1" t="s">
        <v>3</v>
      </c>
      <c r="BL588" s="1" t="s">
        <v>3</v>
      </c>
      <c r="BM588" s="1" t="s">
        <v>3</v>
      </c>
      <c r="BN588" s="1" t="s">
        <v>3</v>
      </c>
      <c r="BO588" s="1" t="s">
        <v>3</v>
      </c>
      <c r="BP588" s="1" t="s">
        <v>3</v>
      </c>
      <c r="BQ588" s="1"/>
      <c r="BR588" s="1"/>
      <c r="BS588" s="1"/>
      <c r="BT588" s="1"/>
      <c r="BU588" s="1"/>
      <c r="BV588" s="1"/>
      <c r="BW588" s="1"/>
      <c r="BX588" s="1">
        <v>0</v>
      </c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>
        <v>0</v>
      </c>
    </row>
    <row r="590" spans="1:245" x14ac:dyDescent="0.2">
      <c r="A590" s="2">
        <v>52</v>
      </c>
      <c r="B590" s="2">
        <f t="shared" ref="B590:G590" si="353">B596</f>
        <v>1</v>
      </c>
      <c r="C590" s="2">
        <f t="shared" si="353"/>
        <v>4</v>
      </c>
      <c r="D590" s="2">
        <f t="shared" si="353"/>
        <v>588</v>
      </c>
      <c r="E590" s="2">
        <f t="shared" si="353"/>
        <v>0</v>
      </c>
      <c r="F590" s="2" t="str">
        <f t="shared" si="353"/>
        <v>Новый раздел</v>
      </c>
      <c r="G590" s="2" t="str">
        <f t="shared" si="353"/>
        <v>Кровля</v>
      </c>
      <c r="H590" s="2"/>
      <c r="I590" s="2"/>
      <c r="J590" s="2"/>
      <c r="K590" s="2"/>
      <c r="L590" s="2"/>
      <c r="M590" s="2"/>
      <c r="N590" s="2"/>
      <c r="O590" s="2">
        <f t="shared" ref="O590:AT590" si="354">O596</f>
        <v>225227.67</v>
      </c>
      <c r="P590" s="2">
        <f t="shared" si="354"/>
        <v>142242.57</v>
      </c>
      <c r="Q590" s="2">
        <f t="shared" si="354"/>
        <v>21691.68</v>
      </c>
      <c r="R590" s="2">
        <f t="shared" si="354"/>
        <v>11358.09</v>
      </c>
      <c r="S590" s="2">
        <f t="shared" si="354"/>
        <v>61293.42</v>
      </c>
      <c r="T590" s="2">
        <f t="shared" si="354"/>
        <v>0</v>
      </c>
      <c r="U590" s="2">
        <f t="shared" si="354"/>
        <v>113.85000000000001</v>
      </c>
      <c r="V590" s="2">
        <f t="shared" si="354"/>
        <v>0</v>
      </c>
      <c r="W590" s="2">
        <f t="shared" si="354"/>
        <v>0</v>
      </c>
      <c r="X590" s="2">
        <f t="shared" si="354"/>
        <v>42905.39</v>
      </c>
      <c r="Y590" s="2">
        <f t="shared" si="354"/>
        <v>6129.34</v>
      </c>
      <c r="Z590" s="2">
        <f t="shared" si="354"/>
        <v>0</v>
      </c>
      <c r="AA590" s="2">
        <f t="shared" si="354"/>
        <v>0</v>
      </c>
      <c r="AB590" s="2">
        <f t="shared" si="354"/>
        <v>225227.67</v>
      </c>
      <c r="AC590" s="2">
        <f t="shared" si="354"/>
        <v>142242.57</v>
      </c>
      <c r="AD590" s="2">
        <f t="shared" si="354"/>
        <v>21691.68</v>
      </c>
      <c r="AE590" s="2">
        <f t="shared" si="354"/>
        <v>11358.09</v>
      </c>
      <c r="AF590" s="2">
        <f t="shared" si="354"/>
        <v>61293.42</v>
      </c>
      <c r="AG590" s="2">
        <f t="shared" si="354"/>
        <v>0</v>
      </c>
      <c r="AH590" s="2">
        <f t="shared" si="354"/>
        <v>113.85000000000001</v>
      </c>
      <c r="AI590" s="2">
        <f t="shared" si="354"/>
        <v>0</v>
      </c>
      <c r="AJ590" s="2">
        <f t="shared" si="354"/>
        <v>0</v>
      </c>
      <c r="AK590" s="2">
        <f t="shared" si="354"/>
        <v>42905.39</v>
      </c>
      <c r="AL590" s="2">
        <f t="shared" si="354"/>
        <v>6129.34</v>
      </c>
      <c r="AM590" s="2">
        <f t="shared" si="354"/>
        <v>0</v>
      </c>
      <c r="AN590" s="2">
        <f t="shared" si="354"/>
        <v>0</v>
      </c>
      <c r="AO590" s="2">
        <f t="shared" si="354"/>
        <v>0</v>
      </c>
      <c r="AP590" s="2">
        <f t="shared" si="354"/>
        <v>0</v>
      </c>
      <c r="AQ590" s="2">
        <f t="shared" si="354"/>
        <v>0</v>
      </c>
      <c r="AR590" s="2">
        <f t="shared" si="354"/>
        <v>286529.14</v>
      </c>
      <c r="AS590" s="2">
        <f t="shared" si="354"/>
        <v>0</v>
      </c>
      <c r="AT590" s="2">
        <f t="shared" si="354"/>
        <v>0</v>
      </c>
      <c r="AU590" s="2">
        <f t="shared" ref="AU590:BZ590" si="355">AU596</f>
        <v>286529.14</v>
      </c>
      <c r="AV590" s="2">
        <f t="shared" si="355"/>
        <v>142242.57</v>
      </c>
      <c r="AW590" s="2">
        <f t="shared" si="355"/>
        <v>142242.57</v>
      </c>
      <c r="AX590" s="2">
        <f t="shared" si="355"/>
        <v>0</v>
      </c>
      <c r="AY590" s="2">
        <f t="shared" si="355"/>
        <v>142242.57</v>
      </c>
      <c r="AZ590" s="2">
        <f t="shared" si="355"/>
        <v>0</v>
      </c>
      <c r="BA590" s="2">
        <f t="shared" si="355"/>
        <v>0</v>
      </c>
      <c r="BB590" s="2">
        <f t="shared" si="355"/>
        <v>0</v>
      </c>
      <c r="BC590" s="2">
        <f t="shared" si="355"/>
        <v>0</v>
      </c>
      <c r="BD590" s="2">
        <f t="shared" si="355"/>
        <v>0</v>
      </c>
      <c r="BE590" s="2">
        <f t="shared" si="355"/>
        <v>0</v>
      </c>
      <c r="BF590" s="2">
        <f t="shared" si="355"/>
        <v>0</v>
      </c>
      <c r="BG590" s="2">
        <f t="shared" si="355"/>
        <v>0</v>
      </c>
      <c r="BH590" s="2">
        <f t="shared" si="355"/>
        <v>0</v>
      </c>
      <c r="BI590" s="2">
        <f t="shared" si="355"/>
        <v>0</v>
      </c>
      <c r="BJ590" s="2">
        <f t="shared" si="355"/>
        <v>0</v>
      </c>
      <c r="BK590" s="2">
        <f t="shared" si="355"/>
        <v>0</v>
      </c>
      <c r="BL590" s="2">
        <f t="shared" si="355"/>
        <v>0</v>
      </c>
      <c r="BM590" s="2">
        <f t="shared" si="355"/>
        <v>0</v>
      </c>
      <c r="BN590" s="2">
        <f t="shared" si="355"/>
        <v>0</v>
      </c>
      <c r="BO590" s="2">
        <f t="shared" si="355"/>
        <v>0</v>
      </c>
      <c r="BP590" s="2">
        <f t="shared" si="355"/>
        <v>0</v>
      </c>
      <c r="BQ590" s="2">
        <f t="shared" si="355"/>
        <v>0</v>
      </c>
      <c r="BR590" s="2">
        <f t="shared" si="355"/>
        <v>0</v>
      </c>
      <c r="BS590" s="2">
        <f t="shared" si="355"/>
        <v>0</v>
      </c>
      <c r="BT590" s="2">
        <f t="shared" si="355"/>
        <v>0</v>
      </c>
      <c r="BU590" s="2">
        <f t="shared" si="355"/>
        <v>0</v>
      </c>
      <c r="BV590" s="2">
        <f t="shared" si="355"/>
        <v>0</v>
      </c>
      <c r="BW590" s="2">
        <f t="shared" si="355"/>
        <v>0</v>
      </c>
      <c r="BX590" s="2">
        <f t="shared" si="355"/>
        <v>0</v>
      </c>
      <c r="BY590" s="2">
        <f t="shared" si="355"/>
        <v>0</v>
      </c>
      <c r="BZ590" s="2">
        <f t="shared" si="355"/>
        <v>0</v>
      </c>
      <c r="CA590" s="2">
        <f t="shared" ref="CA590:DF590" si="356">CA596</f>
        <v>286529.14</v>
      </c>
      <c r="CB590" s="2">
        <f t="shared" si="356"/>
        <v>0</v>
      </c>
      <c r="CC590" s="2">
        <f t="shared" si="356"/>
        <v>0</v>
      </c>
      <c r="CD590" s="2">
        <f t="shared" si="356"/>
        <v>286529.14</v>
      </c>
      <c r="CE590" s="2">
        <f t="shared" si="356"/>
        <v>142242.57</v>
      </c>
      <c r="CF590" s="2">
        <f t="shared" si="356"/>
        <v>142242.57</v>
      </c>
      <c r="CG590" s="2">
        <f t="shared" si="356"/>
        <v>0</v>
      </c>
      <c r="CH590" s="2">
        <f t="shared" si="356"/>
        <v>142242.57</v>
      </c>
      <c r="CI590" s="2">
        <f t="shared" si="356"/>
        <v>0</v>
      </c>
      <c r="CJ590" s="2">
        <f t="shared" si="356"/>
        <v>0</v>
      </c>
      <c r="CK590" s="2">
        <f t="shared" si="356"/>
        <v>0</v>
      </c>
      <c r="CL590" s="2">
        <f t="shared" si="356"/>
        <v>0</v>
      </c>
      <c r="CM590" s="2">
        <f t="shared" si="356"/>
        <v>0</v>
      </c>
      <c r="CN590" s="2">
        <f t="shared" si="356"/>
        <v>0</v>
      </c>
      <c r="CO590" s="2">
        <f t="shared" si="356"/>
        <v>0</v>
      </c>
      <c r="CP590" s="2">
        <f t="shared" si="356"/>
        <v>0</v>
      </c>
      <c r="CQ590" s="2">
        <f t="shared" si="356"/>
        <v>0</v>
      </c>
      <c r="CR590" s="2">
        <f t="shared" si="356"/>
        <v>0</v>
      </c>
      <c r="CS590" s="2">
        <f t="shared" si="356"/>
        <v>0</v>
      </c>
      <c r="CT590" s="2">
        <f t="shared" si="356"/>
        <v>0</v>
      </c>
      <c r="CU590" s="2">
        <f t="shared" si="356"/>
        <v>0</v>
      </c>
      <c r="CV590" s="2">
        <f t="shared" si="356"/>
        <v>0</v>
      </c>
      <c r="CW590" s="2">
        <f t="shared" si="356"/>
        <v>0</v>
      </c>
      <c r="CX590" s="2">
        <f t="shared" si="356"/>
        <v>0</v>
      </c>
      <c r="CY590" s="2">
        <f t="shared" si="356"/>
        <v>0</v>
      </c>
      <c r="CZ590" s="2">
        <f t="shared" si="356"/>
        <v>0</v>
      </c>
      <c r="DA590" s="2">
        <f t="shared" si="356"/>
        <v>0</v>
      </c>
      <c r="DB590" s="2">
        <f t="shared" si="356"/>
        <v>0</v>
      </c>
      <c r="DC590" s="2">
        <f t="shared" si="356"/>
        <v>0</v>
      </c>
      <c r="DD590" s="2">
        <f t="shared" si="356"/>
        <v>0</v>
      </c>
      <c r="DE590" s="2">
        <f t="shared" si="356"/>
        <v>0</v>
      </c>
      <c r="DF590" s="2">
        <f t="shared" si="356"/>
        <v>0</v>
      </c>
      <c r="DG590" s="3">
        <f t="shared" ref="DG590:EL590" si="357">DG596</f>
        <v>0</v>
      </c>
      <c r="DH590" s="3">
        <f t="shared" si="357"/>
        <v>0</v>
      </c>
      <c r="DI590" s="3">
        <f t="shared" si="357"/>
        <v>0</v>
      </c>
      <c r="DJ590" s="3">
        <f t="shared" si="357"/>
        <v>0</v>
      </c>
      <c r="DK590" s="3">
        <f t="shared" si="357"/>
        <v>0</v>
      </c>
      <c r="DL590" s="3">
        <f t="shared" si="357"/>
        <v>0</v>
      </c>
      <c r="DM590" s="3">
        <f t="shared" si="357"/>
        <v>0</v>
      </c>
      <c r="DN590" s="3">
        <f t="shared" si="357"/>
        <v>0</v>
      </c>
      <c r="DO590" s="3">
        <f t="shared" si="357"/>
        <v>0</v>
      </c>
      <c r="DP590" s="3">
        <f t="shared" si="357"/>
        <v>0</v>
      </c>
      <c r="DQ590" s="3">
        <f t="shared" si="357"/>
        <v>0</v>
      </c>
      <c r="DR590" s="3">
        <f t="shared" si="357"/>
        <v>0</v>
      </c>
      <c r="DS590" s="3">
        <f t="shared" si="357"/>
        <v>0</v>
      </c>
      <c r="DT590" s="3">
        <f t="shared" si="357"/>
        <v>0</v>
      </c>
      <c r="DU590" s="3">
        <f t="shared" si="357"/>
        <v>0</v>
      </c>
      <c r="DV590" s="3">
        <f t="shared" si="357"/>
        <v>0</v>
      </c>
      <c r="DW590" s="3">
        <f t="shared" si="357"/>
        <v>0</v>
      </c>
      <c r="DX590" s="3">
        <f t="shared" si="357"/>
        <v>0</v>
      </c>
      <c r="DY590" s="3">
        <f t="shared" si="357"/>
        <v>0</v>
      </c>
      <c r="DZ590" s="3">
        <f t="shared" si="357"/>
        <v>0</v>
      </c>
      <c r="EA590" s="3">
        <f t="shared" si="357"/>
        <v>0</v>
      </c>
      <c r="EB590" s="3">
        <f t="shared" si="357"/>
        <v>0</v>
      </c>
      <c r="EC590" s="3">
        <f t="shared" si="357"/>
        <v>0</v>
      </c>
      <c r="ED590" s="3">
        <f t="shared" si="357"/>
        <v>0</v>
      </c>
      <c r="EE590" s="3">
        <f t="shared" si="357"/>
        <v>0</v>
      </c>
      <c r="EF590" s="3">
        <f t="shared" si="357"/>
        <v>0</v>
      </c>
      <c r="EG590" s="3">
        <f t="shared" si="357"/>
        <v>0</v>
      </c>
      <c r="EH590" s="3">
        <f t="shared" si="357"/>
        <v>0</v>
      </c>
      <c r="EI590" s="3">
        <f t="shared" si="357"/>
        <v>0</v>
      </c>
      <c r="EJ590" s="3">
        <f t="shared" si="357"/>
        <v>0</v>
      </c>
      <c r="EK590" s="3">
        <f t="shared" si="357"/>
        <v>0</v>
      </c>
      <c r="EL590" s="3">
        <f t="shared" si="357"/>
        <v>0</v>
      </c>
      <c r="EM590" s="3">
        <f t="shared" ref="EM590:FR590" si="358">EM596</f>
        <v>0</v>
      </c>
      <c r="EN590" s="3">
        <f t="shared" si="358"/>
        <v>0</v>
      </c>
      <c r="EO590" s="3">
        <f t="shared" si="358"/>
        <v>0</v>
      </c>
      <c r="EP590" s="3">
        <f t="shared" si="358"/>
        <v>0</v>
      </c>
      <c r="EQ590" s="3">
        <f t="shared" si="358"/>
        <v>0</v>
      </c>
      <c r="ER590" s="3">
        <f t="shared" si="358"/>
        <v>0</v>
      </c>
      <c r="ES590" s="3">
        <f t="shared" si="358"/>
        <v>0</v>
      </c>
      <c r="ET590" s="3">
        <f t="shared" si="358"/>
        <v>0</v>
      </c>
      <c r="EU590" s="3">
        <f t="shared" si="358"/>
        <v>0</v>
      </c>
      <c r="EV590" s="3">
        <f t="shared" si="358"/>
        <v>0</v>
      </c>
      <c r="EW590" s="3">
        <f t="shared" si="358"/>
        <v>0</v>
      </c>
      <c r="EX590" s="3">
        <f t="shared" si="358"/>
        <v>0</v>
      </c>
      <c r="EY590" s="3">
        <f t="shared" si="358"/>
        <v>0</v>
      </c>
      <c r="EZ590" s="3">
        <f t="shared" si="358"/>
        <v>0</v>
      </c>
      <c r="FA590" s="3">
        <f t="shared" si="358"/>
        <v>0</v>
      </c>
      <c r="FB590" s="3">
        <f t="shared" si="358"/>
        <v>0</v>
      </c>
      <c r="FC590" s="3">
        <f t="shared" si="358"/>
        <v>0</v>
      </c>
      <c r="FD590" s="3">
        <f t="shared" si="358"/>
        <v>0</v>
      </c>
      <c r="FE590" s="3">
        <f t="shared" si="358"/>
        <v>0</v>
      </c>
      <c r="FF590" s="3">
        <f t="shared" si="358"/>
        <v>0</v>
      </c>
      <c r="FG590" s="3">
        <f t="shared" si="358"/>
        <v>0</v>
      </c>
      <c r="FH590" s="3">
        <f t="shared" si="358"/>
        <v>0</v>
      </c>
      <c r="FI590" s="3">
        <f t="shared" si="358"/>
        <v>0</v>
      </c>
      <c r="FJ590" s="3">
        <f t="shared" si="358"/>
        <v>0</v>
      </c>
      <c r="FK590" s="3">
        <f t="shared" si="358"/>
        <v>0</v>
      </c>
      <c r="FL590" s="3">
        <f t="shared" si="358"/>
        <v>0</v>
      </c>
      <c r="FM590" s="3">
        <f t="shared" si="358"/>
        <v>0</v>
      </c>
      <c r="FN590" s="3">
        <f t="shared" si="358"/>
        <v>0</v>
      </c>
      <c r="FO590" s="3">
        <f t="shared" si="358"/>
        <v>0</v>
      </c>
      <c r="FP590" s="3">
        <f t="shared" si="358"/>
        <v>0</v>
      </c>
      <c r="FQ590" s="3">
        <f t="shared" si="358"/>
        <v>0</v>
      </c>
      <c r="FR590" s="3">
        <f t="shared" si="358"/>
        <v>0</v>
      </c>
      <c r="FS590" s="3">
        <f t="shared" ref="FS590:GX590" si="359">FS596</f>
        <v>0</v>
      </c>
      <c r="FT590" s="3">
        <f t="shared" si="359"/>
        <v>0</v>
      </c>
      <c r="FU590" s="3">
        <f t="shared" si="359"/>
        <v>0</v>
      </c>
      <c r="FV590" s="3">
        <f t="shared" si="359"/>
        <v>0</v>
      </c>
      <c r="FW590" s="3">
        <f t="shared" si="359"/>
        <v>0</v>
      </c>
      <c r="FX590" s="3">
        <f t="shared" si="359"/>
        <v>0</v>
      </c>
      <c r="FY590" s="3">
        <f t="shared" si="359"/>
        <v>0</v>
      </c>
      <c r="FZ590" s="3">
        <f t="shared" si="359"/>
        <v>0</v>
      </c>
      <c r="GA590" s="3">
        <f t="shared" si="359"/>
        <v>0</v>
      </c>
      <c r="GB590" s="3">
        <f t="shared" si="359"/>
        <v>0</v>
      </c>
      <c r="GC590" s="3">
        <f t="shared" si="359"/>
        <v>0</v>
      </c>
      <c r="GD590" s="3">
        <f t="shared" si="359"/>
        <v>0</v>
      </c>
      <c r="GE590" s="3">
        <f t="shared" si="359"/>
        <v>0</v>
      </c>
      <c r="GF590" s="3">
        <f t="shared" si="359"/>
        <v>0</v>
      </c>
      <c r="GG590" s="3">
        <f t="shared" si="359"/>
        <v>0</v>
      </c>
      <c r="GH590" s="3">
        <f t="shared" si="359"/>
        <v>0</v>
      </c>
      <c r="GI590" s="3">
        <f t="shared" si="359"/>
        <v>0</v>
      </c>
      <c r="GJ590" s="3">
        <f t="shared" si="359"/>
        <v>0</v>
      </c>
      <c r="GK590" s="3">
        <f t="shared" si="359"/>
        <v>0</v>
      </c>
      <c r="GL590" s="3">
        <f t="shared" si="359"/>
        <v>0</v>
      </c>
      <c r="GM590" s="3">
        <f t="shared" si="359"/>
        <v>0</v>
      </c>
      <c r="GN590" s="3">
        <f t="shared" si="359"/>
        <v>0</v>
      </c>
      <c r="GO590" s="3">
        <f t="shared" si="359"/>
        <v>0</v>
      </c>
      <c r="GP590" s="3">
        <f t="shared" si="359"/>
        <v>0</v>
      </c>
      <c r="GQ590" s="3">
        <f t="shared" si="359"/>
        <v>0</v>
      </c>
      <c r="GR590" s="3">
        <f t="shared" si="359"/>
        <v>0</v>
      </c>
      <c r="GS590" s="3">
        <f t="shared" si="359"/>
        <v>0</v>
      </c>
      <c r="GT590" s="3">
        <f t="shared" si="359"/>
        <v>0</v>
      </c>
      <c r="GU590" s="3">
        <f t="shared" si="359"/>
        <v>0</v>
      </c>
      <c r="GV590" s="3">
        <f t="shared" si="359"/>
        <v>0</v>
      </c>
      <c r="GW590" s="3">
        <f t="shared" si="359"/>
        <v>0</v>
      </c>
      <c r="GX590" s="3">
        <f t="shared" si="359"/>
        <v>0</v>
      </c>
    </row>
    <row r="592" spans="1:245" x14ac:dyDescent="0.2">
      <c r="A592">
        <v>17</v>
      </c>
      <c r="B592">
        <v>1</v>
      </c>
      <c r="C592">
        <f>ROW(SmtRes!A205)</f>
        <v>205</v>
      </c>
      <c r="D592">
        <f>ROW(EtalonRes!A186)</f>
        <v>186</v>
      </c>
      <c r="E592" t="s">
        <v>298</v>
      </c>
      <c r="F592" t="s">
        <v>299</v>
      </c>
      <c r="G592" t="s">
        <v>300</v>
      </c>
      <c r="H592" t="s">
        <v>32</v>
      </c>
      <c r="I592">
        <f>ROUND(300/100,9)</f>
        <v>3</v>
      </c>
      <c r="J592">
        <v>0</v>
      </c>
      <c r="K592">
        <f>ROUND(300/100,9)</f>
        <v>3</v>
      </c>
      <c r="O592">
        <f>ROUND(CP592,2)</f>
        <v>237600.42</v>
      </c>
      <c r="P592">
        <f>ROUND(CQ592*I592,2)</f>
        <v>154615.32</v>
      </c>
      <c r="Q592">
        <f>ROUND(CR592*I592,2)</f>
        <v>21691.68</v>
      </c>
      <c r="R592">
        <f>ROUND(CS592*I592,2)</f>
        <v>11358.09</v>
      </c>
      <c r="S592">
        <f>ROUND(CT592*I592,2)</f>
        <v>61293.42</v>
      </c>
      <c r="T592">
        <f>ROUND(CU592*I592,2)</f>
        <v>0</v>
      </c>
      <c r="U592">
        <f>CV592*I592</f>
        <v>113.85000000000001</v>
      </c>
      <c r="V592">
        <f>CW592*I592</f>
        <v>0</v>
      </c>
      <c r="W592">
        <f>ROUND(CX592*I592,2)</f>
        <v>0</v>
      </c>
      <c r="X592">
        <f t="shared" ref="X592:Y594" si="360">ROUND(CY592,2)</f>
        <v>42905.39</v>
      </c>
      <c r="Y592">
        <f t="shared" si="360"/>
        <v>6129.34</v>
      </c>
      <c r="AA592">
        <v>75700856</v>
      </c>
      <c r="AB592">
        <f>ROUND((AC592+AD592+AF592),6)</f>
        <v>79200.14</v>
      </c>
      <c r="AC592">
        <f>ROUND((ES592),6)</f>
        <v>51538.44</v>
      </c>
      <c r="AD592">
        <f>ROUND((((ET592)-(EU592))+AE592),6)</f>
        <v>7230.56</v>
      </c>
      <c r="AE592">
        <f t="shared" ref="AE592:AF594" si="361">ROUND((EU592),6)</f>
        <v>3786.03</v>
      </c>
      <c r="AF592">
        <f t="shared" si="361"/>
        <v>20431.14</v>
      </c>
      <c r="AG592">
        <f>ROUND((AP592),6)</f>
        <v>0</v>
      </c>
      <c r="AH592">
        <f t="shared" ref="AH592:AI594" si="362">(EW592)</f>
        <v>37.950000000000003</v>
      </c>
      <c r="AI592">
        <f t="shared" si="362"/>
        <v>0</v>
      </c>
      <c r="AJ592">
        <f>(AS592)</f>
        <v>0</v>
      </c>
      <c r="AK592">
        <v>79200.14</v>
      </c>
      <c r="AL592">
        <v>51538.44</v>
      </c>
      <c r="AM592">
        <v>7230.56</v>
      </c>
      <c r="AN592">
        <v>3786.03</v>
      </c>
      <c r="AO592">
        <v>20431.14</v>
      </c>
      <c r="AP592">
        <v>0</v>
      </c>
      <c r="AQ592">
        <v>37.950000000000003</v>
      </c>
      <c r="AR592">
        <v>0</v>
      </c>
      <c r="AS592">
        <v>0</v>
      </c>
      <c r="AT592">
        <v>70</v>
      </c>
      <c r="AU592">
        <v>10</v>
      </c>
      <c r="AV592">
        <v>1</v>
      </c>
      <c r="AW592">
        <v>1</v>
      </c>
      <c r="AZ592">
        <v>1</v>
      </c>
      <c r="BA592">
        <v>1</v>
      </c>
      <c r="BB592">
        <v>1</v>
      </c>
      <c r="BC592">
        <v>1</v>
      </c>
      <c r="BD592" t="s">
        <v>3</v>
      </c>
      <c r="BE592" t="s">
        <v>3</v>
      </c>
      <c r="BF592" t="s">
        <v>3</v>
      </c>
      <c r="BG592" t="s">
        <v>3</v>
      </c>
      <c r="BH592">
        <v>0</v>
      </c>
      <c r="BI592">
        <v>4</v>
      </c>
      <c r="BJ592" t="s">
        <v>301</v>
      </c>
      <c r="BM592">
        <v>0</v>
      </c>
      <c r="BN592">
        <v>75371441</v>
      </c>
      <c r="BO592" t="s">
        <v>3</v>
      </c>
      <c r="BP592">
        <v>0</v>
      </c>
      <c r="BQ592">
        <v>1</v>
      </c>
      <c r="BR592">
        <v>0</v>
      </c>
      <c r="BS592">
        <v>1</v>
      </c>
      <c r="BT592">
        <v>1</v>
      </c>
      <c r="BU592">
        <v>1</v>
      </c>
      <c r="BV592">
        <v>1</v>
      </c>
      <c r="BW592">
        <v>1</v>
      </c>
      <c r="BX592">
        <v>1</v>
      </c>
      <c r="BY592" t="s">
        <v>3</v>
      </c>
      <c r="BZ592">
        <v>70</v>
      </c>
      <c r="CA592">
        <v>10</v>
      </c>
      <c r="CB592" t="s">
        <v>3</v>
      </c>
      <c r="CE592">
        <v>0</v>
      </c>
      <c r="CF592">
        <v>0</v>
      </c>
      <c r="CG592">
        <v>0</v>
      </c>
      <c r="CM592">
        <v>0</v>
      </c>
      <c r="CN592" t="s">
        <v>3</v>
      </c>
      <c r="CO592">
        <v>0</v>
      </c>
      <c r="CP592">
        <f>(P592+Q592+S592)</f>
        <v>237600.41999999998</v>
      </c>
      <c r="CQ592">
        <f>(AC592*BC592*AW592)</f>
        <v>51538.44</v>
      </c>
      <c r="CR592">
        <f>((((ET592)*BB592-(EU592)*BS592)+AE592*BS592)*AV592)</f>
        <v>7230.56</v>
      </c>
      <c r="CS592">
        <f>(AE592*BS592*AV592)</f>
        <v>3786.03</v>
      </c>
      <c r="CT592">
        <f>(AF592*BA592*AV592)</f>
        <v>20431.14</v>
      </c>
      <c r="CU592">
        <f>AG592</f>
        <v>0</v>
      </c>
      <c r="CV592">
        <f>(AH592*AV592)</f>
        <v>37.950000000000003</v>
      </c>
      <c r="CW592">
        <f t="shared" ref="CW592:CX594" si="363">AI592</f>
        <v>0</v>
      </c>
      <c r="CX592">
        <f t="shared" si="363"/>
        <v>0</v>
      </c>
      <c r="CY592">
        <f>((S592*BZ592)/100)</f>
        <v>42905.393999999993</v>
      </c>
      <c r="CZ592">
        <f>((S592*CA592)/100)</f>
        <v>6129.3419999999996</v>
      </c>
      <c r="DC592" t="s">
        <v>3</v>
      </c>
      <c r="DD592" t="s">
        <v>3</v>
      </c>
      <c r="DE592" t="s">
        <v>3</v>
      </c>
      <c r="DF592" t="s">
        <v>3</v>
      </c>
      <c r="DG592" t="s">
        <v>3</v>
      </c>
      <c r="DH592" t="s">
        <v>3</v>
      </c>
      <c r="DI592" t="s">
        <v>3</v>
      </c>
      <c r="DJ592" t="s">
        <v>3</v>
      </c>
      <c r="DK592" t="s">
        <v>3</v>
      </c>
      <c r="DL592" t="s">
        <v>3</v>
      </c>
      <c r="DM592" t="s">
        <v>3</v>
      </c>
      <c r="DN592">
        <v>0</v>
      </c>
      <c r="DO592">
        <v>0</v>
      </c>
      <c r="DP592">
        <v>1</v>
      </c>
      <c r="DQ592">
        <v>1</v>
      </c>
      <c r="DU592">
        <v>1005</v>
      </c>
      <c r="DV592" t="s">
        <v>32</v>
      </c>
      <c r="DW592" t="s">
        <v>32</v>
      </c>
      <c r="DX592">
        <v>100</v>
      </c>
      <c r="DZ592" t="s">
        <v>3</v>
      </c>
      <c r="EA592" t="s">
        <v>3</v>
      </c>
      <c r="EB592" t="s">
        <v>3</v>
      </c>
      <c r="EC592" t="s">
        <v>3</v>
      </c>
      <c r="EE592">
        <v>75371444</v>
      </c>
      <c r="EF592">
        <v>1</v>
      </c>
      <c r="EG592" t="s">
        <v>22</v>
      </c>
      <c r="EH592">
        <v>0</v>
      </c>
      <c r="EI592" t="s">
        <v>3</v>
      </c>
      <c r="EJ592">
        <v>4</v>
      </c>
      <c r="EK592">
        <v>0</v>
      </c>
      <c r="EL592" t="s">
        <v>23</v>
      </c>
      <c r="EM592" t="s">
        <v>24</v>
      </c>
      <c r="EO592" t="s">
        <v>3</v>
      </c>
      <c r="EQ592">
        <v>0</v>
      </c>
      <c r="ER592">
        <v>79200.14</v>
      </c>
      <c r="ES592">
        <v>51538.44</v>
      </c>
      <c r="ET592">
        <v>7230.56</v>
      </c>
      <c r="EU592">
        <v>3786.03</v>
      </c>
      <c r="EV592">
        <v>20431.14</v>
      </c>
      <c r="EW592">
        <v>37.950000000000003</v>
      </c>
      <c r="EX592">
        <v>0</v>
      </c>
      <c r="EY592">
        <v>0</v>
      </c>
      <c r="FQ592">
        <v>0</v>
      </c>
      <c r="FR592">
        <f>ROUND(IF(BI592=3,GM592,0),2)</f>
        <v>0</v>
      </c>
      <c r="FS592">
        <v>0</v>
      </c>
      <c r="FX592">
        <v>70</v>
      </c>
      <c r="FY592">
        <v>10</v>
      </c>
      <c r="GA592" t="s">
        <v>3</v>
      </c>
      <c r="GD592">
        <v>0</v>
      </c>
      <c r="GF592">
        <v>1819358745</v>
      </c>
      <c r="GG592">
        <v>2</v>
      </c>
      <c r="GH592">
        <v>1</v>
      </c>
      <c r="GI592">
        <v>-2</v>
      </c>
      <c r="GJ592">
        <v>0</v>
      </c>
      <c r="GK592">
        <f>ROUND(R592*(R12)/100,2)</f>
        <v>12266.74</v>
      </c>
      <c r="GL592">
        <f>ROUND(IF(AND(BH592=3,BI592=3,FS592&lt;&gt;0),P592,0),2)</f>
        <v>0</v>
      </c>
      <c r="GM592">
        <f>ROUND(O592+X592+Y592+GK592,2)+GX592</f>
        <v>298901.89</v>
      </c>
      <c r="GN592">
        <f>IF(OR(BI592=0,BI592=1),GM592-GX592,0)</f>
        <v>0</v>
      </c>
      <c r="GO592">
        <f>IF(BI592=2,GM592-GX592,0)</f>
        <v>0</v>
      </c>
      <c r="GP592">
        <f>IF(BI592=4,GM592-GX592,0)</f>
        <v>298901.89</v>
      </c>
      <c r="GR592">
        <v>0</v>
      </c>
      <c r="GS592">
        <v>3</v>
      </c>
      <c r="GT592">
        <v>0</v>
      </c>
      <c r="GU592" t="s">
        <v>3</v>
      </c>
      <c r="GV592">
        <f>ROUND((GT592),6)</f>
        <v>0</v>
      </c>
      <c r="GW592">
        <v>1</v>
      </c>
      <c r="GX592">
        <f>ROUND(HC592*I592,2)</f>
        <v>0</v>
      </c>
      <c r="HA592">
        <v>0</v>
      </c>
      <c r="HB592">
        <v>0</v>
      </c>
      <c r="HC592">
        <f>GV592*GW592</f>
        <v>0</v>
      </c>
      <c r="HE592" t="s">
        <v>3</v>
      </c>
      <c r="HF592" t="s">
        <v>3</v>
      </c>
      <c r="HM592" t="s">
        <v>3</v>
      </c>
      <c r="HN592" t="s">
        <v>3</v>
      </c>
      <c r="HO592" t="s">
        <v>3</v>
      </c>
      <c r="HP592" t="s">
        <v>3</v>
      </c>
      <c r="HQ592" t="s">
        <v>3</v>
      </c>
      <c r="IK592">
        <v>0</v>
      </c>
    </row>
    <row r="593" spans="1:245" x14ac:dyDescent="0.2">
      <c r="A593">
        <v>18</v>
      </c>
      <c r="B593">
        <v>1</v>
      </c>
      <c r="C593">
        <v>203</v>
      </c>
      <c r="E593" t="s">
        <v>302</v>
      </c>
      <c r="F593" t="s">
        <v>303</v>
      </c>
      <c r="G593" t="s">
        <v>304</v>
      </c>
      <c r="H593" t="s">
        <v>132</v>
      </c>
      <c r="I593">
        <f>I592*J593</f>
        <v>405</v>
      </c>
      <c r="J593">
        <v>135</v>
      </c>
      <c r="K593">
        <v>135</v>
      </c>
      <c r="O593">
        <f>ROUND(CP593,2)</f>
        <v>127935.45</v>
      </c>
      <c r="P593">
        <f>ROUND(CQ593*I593,2)</f>
        <v>127935.45</v>
      </c>
      <c r="Q593">
        <f>ROUND(CR593*I593,2)</f>
        <v>0</v>
      </c>
      <c r="R593">
        <f>ROUND(CS593*I593,2)</f>
        <v>0</v>
      </c>
      <c r="S593">
        <f>ROUND(CT593*I593,2)</f>
        <v>0</v>
      </c>
      <c r="T593">
        <f>ROUND(CU593*I593,2)</f>
        <v>0</v>
      </c>
      <c r="U593">
        <f>CV593*I593</f>
        <v>0</v>
      </c>
      <c r="V593">
        <f>CW593*I593</f>
        <v>0</v>
      </c>
      <c r="W593">
        <f>ROUND(CX593*I593,2)</f>
        <v>0</v>
      </c>
      <c r="X593">
        <f t="shared" si="360"/>
        <v>0</v>
      </c>
      <c r="Y593">
        <f t="shared" si="360"/>
        <v>0</v>
      </c>
      <c r="AA593">
        <v>75700856</v>
      </c>
      <c r="AB593">
        <f>ROUND((AC593+AD593+AF593),6)</f>
        <v>315.89</v>
      </c>
      <c r="AC593">
        <f>ROUND((ES593),6)</f>
        <v>315.89</v>
      </c>
      <c r="AD593">
        <f>ROUND((((ET593)-(EU593))+AE593),6)</f>
        <v>0</v>
      </c>
      <c r="AE593">
        <f t="shared" si="361"/>
        <v>0</v>
      </c>
      <c r="AF593">
        <f t="shared" si="361"/>
        <v>0</v>
      </c>
      <c r="AG593">
        <f>ROUND((AP593),6)</f>
        <v>0</v>
      </c>
      <c r="AH593">
        <f t="shared" si="362"/>
        <v>0</v>
      </c>
      <c r="AI593">
        <f t="shared" si="362"/>
        <v>0</v>
      </c>
      <c r="AJ593">
        <f>(AS593)</f>
        <v>0</v>
      </c>
      <c r="AK593">
        <v>315.89</v>
      </c>
      <c r="AL593">
        <v>315.89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70</v>
      </c>
      <c r="AU593">
        <v>10</v>
      </c>
      <c r="AV593">
        <v>1</v>
      </c>
      <c r="AW593">
        <v>1</v>
      </c>
      <c r="AZ593">
        <v>1</v>
      </c>
      <c r="BA593">
        <v>1</v>
      </c>
      <c r="BB593">
        <v>1</v>
      </c>
      <c r="BC593">
        <v>1</v>
      </c>
      <c r="BD593" t="s">
        <v>3</v>
      </c>
      <c r="BE593" t="s">
        <v>3</v>
      </c>
      <c r="BF593" t="s">
        <v>3</v>
      </c>
      <c r="BG593" t="s">
        <v>3</v>
      </c>
      <c r="BH593">
        <v>3</v>
      </c>
      <c r="BI593">
        <v>4</v>
      </c>
      <c r="BJ593" t="s">
        <v>305</v>
      </c>
      <c r="BM593">
        <v>0</v>
      </c>
      <c r="BN593">
        <v>75371441</v>
      </c>
      <c r="BO593" t="s">
        <v>3</v>
      </c>
      <c r="BP593">
        <v>0</v>
      </c>
      <c r="BQ593">
        <v>1</v>
      </c>
      <c r="BR593">
        <v>0</v>
      </c>
      <c r="BS593">
        <v>1</v>
      </c>
      <c r="BT593">
        <v>1</v>
      </c>
      <c r="BU593">
        <v>1</v>
      </c>
      <c r="BV593">
        <v>1</v>
      </c>
      <c r="BW593">
        <v>1</v>
      </c>
      <c r="BX593">
        <v>1</v>
      </c>
      <c r="BY593" t="s">
        <v>3</v>
      </c>
      <c r="BZ593">
        <v>70</v>
      </c>
      <c r="CA593">
        <v>10</v>
      </c>
      <c r="CB593" t="s">
        <v>3</v>
      </c>
      <c r="CE593">
        <v>0</v>
      </c>
      <c r="CF593">
        <v>0</v>
      </c>
      <c r="CG593">
        <v>0</v>
      </c>
      <c r="CM593">
        <v>0</v>
      </c>
      <c r="CN593" t="s">
        <v>3</v>
      </c>
      <c r="CO593">
        <v>0</v>
      </c>
      <c r="CP593">
        <f>(P593+Q593+S593)</f>
        <v>127935.45</v>
      </c>
      <c r="CQ593">
        <f>(AC593*BC593*AW593)</f>
        <v>315.89</v>
      </c>
      <c r="CR593">
        <f>((((ET593)*BB593-(EU593)*BS593)+AE593*BS593)*AV593)</f>
        <v>0</v>
      </c>
      <c r="CS593">
        <f>(AE593*BS593*AV593)</f>
        <v>0</v>
      </c>
      <c r="CT593">
        <f>(AF593*BA593*AV593)</f>
        <v>0</v>
      </c>
      <c r="CU593">
        <f>AG593</f>
        <v>0</v>
      </c>
      <c r="CV593">
        <f>(AH593*AV593)</f>
        <v>0</v>
      </c>
      <c r="CW593">
        <f t="shared" si="363"/>
        <v>0</v>
      </c>
      <c r="CX593">
        <f t="shared" si="363"/>
        <v>0</v>
      </c>
      <c r="CY593">
        <f>((S593*BZ593)/100)</f>
        <v>0</v>
      </c>
      <c r="CZ593">
        <f>((S593*CA593)/100)</f>
        <v>0</v>
      </c>
      <c r="DC593" t="s">
        <v>3</v>
      </c>
      <c r="DD593" t="s">
        <v>3</v>
      </c>
      <c r="DE593" t="s">
        <v>3</v>
      </c>
      <c r="DF593" t="s">
        <v>3</v>
      </c>
      <c r="DG593" t="s">
        <v>3</v>
      </c>
      <c r="DH593" t="s">
        <v>3</v>
      </c>
      <c r="DI593" t="s">
        <v>3</v>
      </c>
      <c r="DJ593" t="s">
        <v>3</v>
      </c>
      <c r="DK593" t="s">
        <v>3</v>
      </c>
      <c r="DL593" t="s">
        <v>3</v>
      </c>
      <c r="DM593" t="s">
        <v>3</v>
      </c>
      <c r="DN593">
        <v>0</v>
      </c>
      <c r="DO593">
        <v>0</v>
      </c>
      <c r="DP593">
        <v>1</v>
      </c>
      <c r="DQ593">
        <v>1</v>
      </c>
      <c r="DU593">
        <v>1005</v>
      </c>
      <c r="DV593" t="s">
        <v>132</v>
      </c>
      <c r="DW593" t="s">
        <v>132</v>
      </c>
      <c r="DX593">
        <v>1</v>
      </c>
      <c r="DZ593" t="s">
        <v>3</v>
      </c>
      <c r="EA593" t="s">
        <v>3</v>
      </c>
      <c r="EB593" t="s">
        <v>3</v>
      </c>
      <c r="EC593" t="s">
        <v>3</v>
      </c>
      <c r="EE593">
        <v>75371444</v>
      </c>
      <c r="EF593">
        <v>1</v>
      </c>
      <c r="EG593" t="s">
        <v>22</v>
      </c>
      <c r="EH593">
        <v>0</v>
      </c>
      <c r="EI593" t="s">
        <v>3</v>
      </c>
      <c r="EJ593">
        <v>4</v>
      </c>
      <c r="EK593">
        <v>0</v>
      </c>
      <c r="EL593" t="s">
        <v>23</v>
      </c>
      <c r="EM593" t="s">
        <v>24</v>
      </c>
      <c r="EO593" t="s">
        <v>3</v>
      </c>
      <c r="EQ593">
        <v>0</v>
      </c>
      <c r="ER593">
        <v>315.89</v>
      </c>
      <c r="ES593">
        <v>315.89</v>
      </c>
      <c r="ET593">
        <v>0</v>
      </c>
      <c r="EU593">
        <v>0</v>
      </c>
      <c r="EV593">
        <v>0</v>
      </c>
      <c r="EW593">
        <v>0</v>
      </c>
      <c r="EX593">
        <v>0</v>
      </c>
      <c r="FQ593">
        <v>0</v>
      </c>
      <c r="FR593">
        <f>ROUND(IF(BI593=3,GM593,0),2)</f>
        <v>0</v>
      </c>
      <c r="FS593">
        <v>0</v>
      </c>
      <c r="FX593">
        <v>70</v>
      </c>
      <c r="FY593">
        <v>10</v>
      </c>
      <c r="GA593" t="s">
        <v>3</v>
      </c>
      <c r="GD593">
        <v>0</v>
      </c>
      <c r="GF593">
        <v>1660649221</v>
      </c>
      <c r="GG593">
        <v>2</v>
      </c>
      <c r="GH593">
        <v>1</v>
      </c>
      <c r="GI593">
        <v>-2</v>
      </c>
      <c r="GJ593">
        <v>0</v>
      </c>
      <c r="GK593">
        <f>ROUND(R593*(R12)/100,2)</f>
        <v>0</v>
      </c>
      <c r="GL593">
        <f>ROUND(IF(AND(BH593=3,BI593=3,FS593&lt;&gt;0),P593,0),2)</f>
        <v>0</v>
      </c>
      <c r="GM593">
        <f>ROUND(O593+X593+Y593+GK593,2)+GX593</f>
        <v>127935.45</v>
      </c>
      <c r="GN593">
        <f>IF(OR(BI593=0,BI593=1),GM593-GX593,0)</f>
        <v>0</v>
      </c>
      <c r="GO593">
        <f>IF(BI593=2,GM593-GX593,0)</f>
        <v>0</v>
      </c>
      <c r="GP593">
        <f>IF(BI593=4,GM593-GX593,0)</f>
        <v>127935.45</v>
      </c>
      <c r="GR593">
        <v>0</v>
      </c>
      <c r="GS593">
        <v>3</v>
      </c>
      <c r="GT593">
        <v>0</v>
      </c>
      <c r="GU593" t="s">
        <v>3</v>
      </c>
      <c r="GV593">
        <f>ROUND((GT593),6)</f>
        <v>0</v>
      </c>
      <c r="GW593">
        <v>1</v>
      </c>
      <c r="GX593">
        <f>ROUND(HC593*I593,2)</f>
        <v>0</v>
      </c>
      <c r="HA593">
        <v>0</v>
      </c>
      <c r="HB593">
        <v>0</v>
      </c>
      <c r="HC593">
        <f>GV593*GW593</f>
        <v>0</v>
      </c>
      <c r="HE593" t="s">
        <v>3</v>
      </c>
      <c r="HF593" t="s">
        <v>3</v>
      </c>
      <c r="HM593" t="s">
        <v>3</v>
      </c>
      <c r="HN593" t="s">
        <v>3</v>
      </c>
      <c r="HO593" t="s">
        <v>3</v>
      </c>
      <c r="HP593" t="s">
        <v>3</v>
      </c>
      <c r="HQ593" t="s">
        <v>3</v>
      </c>
      <c r="IK593">
        <v>0</v>
      </c>
    </row>
    <row r="594" spans="1:245" x14ac:dyDescent="0.2">
      <c r="A594">
        <v>18</v>
      </c>
      <c r="B594">
        <v>1</v>
      </c>
      <c r="C594">
        <v>204</v>
      </c>
      <c r="E594" t="s">
        <v>306</v>
      </c>
      <c r="F594" t="s">
        <v>307</v>
      </c>
      <c r="G594" t="s">
        <v>308</v>
      </c>
      <c r="H594" t="s">
        <v>132</v>
      </c>
      <c r="I594">
        <f>I592*J594</f>
        <v>-405</v>
      </c>
      <c r="J594">
        <v>-135</v>
      </c>
      <c r="K594">
        <v>-135</v>
      </c>
      <c r="O594">
        <f>ROUND(CP594,2)</f>
        <v>-140308.20000000001</v>
      </c>
      <c r="P594">
        <f>ROUND(CQ594*I594,2)</f>
        <v>-140308.20000000001</v>
      </c>
      <c r="Q594">
        <f>ROUND(CR594*I594,2)</f>
        <v>0</v>
      </c>
      <c r="R594">
        <f>ROUND(CS594*I594,2)</f>
        <v>0</v>
      </c>
      <c r="S594">
        <f>ROUND(CT594*I594,2)</f>
        <v>0</v>
      </c>
      <c r="T594">
        <f>ROUND(CU594*I594,2)</f>
        <v>0</v>
      </c>
      <c r="U594">
        <f>CV594*I594</f>
        <v>0</v>
      </c>
      <c r="V594">
        <f>CW594*I594</f>
        <v>0</v>
      </c>
      <c r="W594">
        <f>ROUND(CX594*I594,2)</f>
        <v>0</v>
      </c>
      <c r="X594">
        <f t="shared" si="360"/>
        <v>0</v>
      </c>
      <c r="Y594">
        <f t="shared" si="360"/>
        <v>0</v>
      </c>
      <c r="AA594">
        <v>75700856</v>
      </c>
      <c r="AB594">
        <f>ROUND((AC594+AD594+AF594),6)</f>
        <v>346.44</v>
      </c>
      <c r="AC594">
        <f>ROUND((ES594),6)</f>
        <v>346.44</v>
      </c>
      <c r="AD594">
        <f>ROUND((((ET594)-(EU594))+AE594),6)</f>
        <v>0</v>
      </c>
      <c r="AE594">
        <f t="shared" si="361"/>
        <v>0</v>
      </c>
      <c r="AF594">
        <f t="shared" si="361"/>
        <v>0</v>
      </c>
      <c r="AG594">
        <f>ROUND((AP594),6)</f>
        <v>0</v>
      </c>
      <c r="AH594">
        <f t="shared" si="362"/>
        <v>0</v>
      </c>
      <c r="AI594">
        <f t="shared" si="362"/>
        <v>0</v>
      </c>
      <c r="AJ594">
        <f>(AS594)</f>
        <v>0</v>
      </c>
      <c r="AK594">
        <v>346.44</v>
      </c>
      <c r="AL594">
        <v>346.44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70</v>
      </c>
      <c r="AU594">
        <v>10</v>
      </c>
      <c r="AV594">
        <v>1</v>
      </c>
      <c r="AW594">
        <v>1</v>
      </c>
      <c r="AZ594">
        <v>1</v>
      </c>
      <c r="BA594">
        <v>1</v>
      </c>
      <c r="BB594">
        <v>1</v>
      </c>
      <c r="BC594">
        <v>1</v>
      </c>
      <c r="BD594" t="s">
        <v>3</v>
      </c>
      <c r="BE594" t="s">
        <v>3</v>
      </c>
      <c r="BF594" t="s">
        <v>3</v>
      </c>
      <c r="BG594" t="s">
        <v>3</v>
      </c>
      <c r="BH594">
        <v>3</v>
      </c>
      <c r="BI594">
        <v>4</v>
      </c>
      <c r="BJ594" t="s">
        <v>309</v>
      </c>
      <c r="BM594">
        <v>0</v>
      </c>
      <c r="BN594">
        <v>75371441</v>
      </c>
      <c r="BO594" t="s">
        <v>3</v>
      </c>
      <c r="BP594">
        <v>0</v>
      </c>
      <c r="BQ594">
        <v>1</v>
      </c>
      <c r="BR594">
        <v>1</v>
      </c>
      <c r="BS594">
        <v>1</v>
      </c>
      <c r="BT594">
        <v>1</v>
      </c>
      <c r="BU594">
        <v>1</v>
      </c>
      <c r="BV594">
        <v>1</v>
      </c>
      <c r="BW594">
        <v>1</v>
      </c>
      <c r="BX594">
        <v>1</v>
      </c>
      <c r="BY594" t="s">
        <v>3</v>
      </c>
      <c r="BZ594">
        <v>70</v>
      </c>
      <c r="CA594">
        <v>10</v>
      </c>
      <c r="CB594" t="s">
        <v>3</v>
      </c>
      <c r="CE594">
        <v>0</v>
      </c>
      <c r="CF594">
        <v>0</v>
      </c>
      <c r="CG594">
        <v>0</v>
      </c>
      <c r="CM594">
        <v>0</v>
      </c>
      <c r="CN594" t="s">
        <v>3</v>
      </c>
      <c r="CO594">
        <v>0</v>
      </c>
      <c r="CP594">
        <f>(P594+Q594+S594)</f>
        <v>-140308.20000000001</v>
      </c>
      <c r="CQ594">
        <f>(AC594*BC594*AW594)</f>
        <v>346.44</v>
      </c>
      <c r="CR594">
        <f>((((ET594)*BB594-(EU594)*BS594)+AE594*BS594)*AV594)</f>
        <v>0</v>
      </c>
      <c r="CS594">
        <f>(AE594*BS594*AV594)</f>
        <v>0</v>
      </c>
      <c r="CT594">
        <f>(AF594*BA594*AV594)</f>
        <v>0</v>
      </c>
      <c r="CU594">
        <f>AG594</f>
        <v>0</v>
      </c>
      <c r="CV594">
        <f>(AH594*AV594)</f>
        <v>0</v>
      </c>
      <c r="CW594">
        <f t="shared" si="363"/>
        <v>0</v>
      </c>
      <c r="CX594">
        <f t="shared" si="363"/>
        <v>0</v>
      </c>
      <c r="CY594">
        <f>((S594*BZ594)/100)</f>
        <v>0</v>
      </c>
      <c r="CZ594">
        <f>((S594*CA594)/100)</f>
        <v>0</v>
      </c>
      <c r="DC594" t="s">
        <v>3</v>
      </c>
      <c r="DD594" t="s">
        <v>3</v>
      </c>
      <c r="DE594" t="s">
        <v>3</v>
      </c>
      <c r="DF594" t="s">
        <v>3</v>
      </c>
      <c r="DG594" t="s">
        <v>3</v>
      </c>
      <c r="DH594" t="s">
        <v>3</v>
      </c>
      <c r="DI594" t="s">
        <v>3</v>
      </c>
      <c r="DJ594" t="s">
        <v>3</v>
      </c>
      <c r="DK594" t="s">
        <v>3</v>
      </c>
      <c r="DL594" t="s">
        <v>3</v>
      </c>
      <c r="DM594" t="s">
        <v>3</v>
      </c>
      <c r="DN594">
        <v>0</v>
      </c>
      <c r="DO594">
        <v>0</v>
      </c>
      <c r="DP594">
        <v>1</v>
      </c>
      <c r="DQ594">
        <v>1</v>
      </c>
      <c r="DU594">
        <v>1005</v>
      </c>
      <c r="DV594" t="s">
        <v>132</v>
      </c>
      <c r="DW594" t="s">
        <v>132</v>
      </c>
      <c r="DX594">
        <v>1</v>
      </c>
      <c r="DZ594" t="s">
        <v>3</v>
      </c>
      <c r="EA594" t="s">
        <v>3</v>
      </c>
      <c r="EB594" t="s">
        <v>3</v>
      </c>
      <c r="EC594" t="s">
        <v>3</v>
      </c>
      <c r="EE594">
        <v>75371444</v>
      </c>
      <c r="EF594">
        <v>1</v>
      </c>
      <c r="EG594" t="s">
        <v>22</v>
      </c>
      <c r="EH594">
        <v>0</v>
      </c>
      <c r="EI594" t="s">
        <v>3</v>
      </c>
      <c r="EJ594">
        <v>4</v>
      </c>
      <c r="EK594">
        <v>0</v>
      </c>
      <c r="EL594" t="s">
        <v>23</v>
      </c>
      <c r="EM594" t="s">
        <v>24</v>
      </c>
      <c r="EO594" t="s">
        <v>3</v>
      </c>
      <c r="EQ594">
        <v>0</v>
      </c>
      <c r="ER594">
        <v>346.44</v>
      </c>
      <c r="ES594">
        <v>346.44</v>
      </c>
      <c r="ET594">
        <v>0</v>
      </c>
      <c r="EU594">
        <v>0</v>
      </c>
      <c r="EV594">
        <v>0</v>
      </c>
      <c r="EW594">
        <v>0</v>
      </c>
      <c r="EX594">
        <v>0</v>
      </c>
      <c r="FQ594">
        <v>0</v>
      </c>
      <c r="FR594">
        <f>ROUND(IF(BI594=3,GM594,0),2)</f>
        <v>0</v>
      </c>
      <c r="FS594">
        <v>0</v>
      </c>
      <c r="FX594">
        <v>70</v>
      </c>
      <c r="FY594">
        <v>10</v>
      </c>
      <c r="GA594" t="s">
        <v>3</v>
      </c>
      <c r="GD594">
        <v>0</v>
      </c>
      <c r="GF594">
        <v>-105732302</v>
      </c>
      <c r="GG594">
        <v>2</v>
      </c>
      <c r="GH594">
        <v>1</v>
      </c>
      <c r="GI594">
        <v>-2</v>
      </c>
      <c r="GJ594">
        <v>0</v>
      </c>
      <c r="GK594">
        <f>ROUND(R594*(R12)/100,2)</f>
        <v>0</v>
      </c>
      <c r="GL594">
        <f>ROUND(IF(AND(BH594=3,BI594=3,FS594&lt;&gt;0),P594,0),2)</f>
        <v>0</v>
      </c>
      <c r="GM594">
        <f>ROUND(O594+X594+Y594+GK594,2)+GX594</f>
        <v>-140308.20000000001</v>
      </c>
      <c r="GN594">
        <f>IF(OR(BI594=0,BI594=1),GM594-GX594,0)</f>
        <v>0</v>
      </c>
      <c r="GO594">
        <f>IF(BI594=2,GM594-GX594,0)</f>
        <v>0</v>
      </c>
      <c r="GP594">
        <f>IF(BI594=4,GM594-GX594,0)</f>
        <v>-140308.20000000001</v>
      </c>
      <c r="GR594">
        <v>0</v>
      </c>
      <c r="GS594">
        <v>3</v>
      </c>
      <c r="GT594">
        <v>0</v>
      </c>
      <c r="GU594" t="s">
        <v>3</v>
      </c>
      <c r="GV594">
        <f>ROUND((GT594),6)</f>
        <v>0</v>
      </c>
      <c r="GW594">
        <v>1</v>
      </c>
      <c r="GX594">
        <f>ROUND(HC594*I594,2)</f>
        <v>0</v>
      </c>
      <c r="HA594">
        <v>0</v>
      </c>
      <c r="HB594">
        <v>0</v>
      </c>
      <c r="HC594">
        <f>GV594*GW594</f>
        <v>0</v>
      </c>
      <c r="HE594" t="s">
        <v>3</v>
      </c>
      <c r="HF594" t="s">
        <v>3</v>
      </c>
      <c r="HM594" t="s">
        <v>3</v>
      </c>
      <c r="HN594" t="s">
        <v>3</v>
      </c>
      <c r="HO594" t="s">
        <v>3</v>
      </c>
      <c r="HP594" t="s">
        <v>3</v>
      </c>
      <c r="HQ594" t="s">
        <v>3</v>
      </c>
      <c r="IK594">
        <v>0</v>
      </c>
    </row>
    <row r="596" spans="1:245" x14ac:dyDescent="0.2">
      <c r="A596" s="2">
        <v>51</v>
      </c>
      <c r="B596" s="2">
        <f>B588</f>
        <v>1</v>
      </c>
      <c r="C596" s="2">
        <f>A588</f>
        <v>4</v>
      </c>
      <c r="D596" s="2">
        <f>ROW(A588)</f>
        <v>588</v>
      </c>
      <c r="E596" s="2"/>
      <c r="F596" s="2" t="str">
        <f>IF(F588&lt;&gt;"",F588,"")</f>
        <v>Новый раздел</v>
      </c>
      <c r="G596" s="2" t="str">
        <f>IF(G588&lt;&gt;"",G588,"")</f>
        <v>Кровля</v>
      </c>
      <c r="H596" s="2">
        <v>0</v>
      </c>
      <c r="I596" s="2"/>
      <c r="J596" s="2"/>
      <c r="K596" s="2"/>
      <c r="L596" s="2"/>
      <c r="M596" s="2"/>
      <c r="N596" s="2"/>
      <c r="O596" s="2">
        <f t="shared" ref="O596:T596" si="364">ROUND(AB596,2)</f>
        <v>225227.67</v>
      </c>
      <c r="P596" s="2">
        <f t="shared" si="364"/>
        <v>142242.57</v>
      </c>
      <c r="Q596" s="2">
        <f t="shared" si="364"/>
        <v>21691.68</v>
      </c>
      <c r="R596" s="2">
        <f t="shared" si="364"/>
        <v>11358.09</v>
      </c>
      <c r="S596" s="2">
        <f t="shared" si="364"/>
        <v>61293.42</v>
      </c>
      <c r="T596" s="2">
        <f t="shared" si="364"/>
        <v>0</v>
      </c>
      <c r="U596" s="2">
        <f>AH596</f>
        <v>113.85000000000001</v>
      </c>
      <c r="V596" s="2">
        <f>AI596</f>
        <v>0</v>
      </c>
      <c r="W596" s="2">
        <f>ROUND(AJ596,2)</f>
        <v>0</v>
      </c>
      <c r="X596" s="2">
        <f>ROUND(AK596,2)</f>
        <v>42905.39</v>
      </c>
      <c r="Y596" s="2">
        <f>ROUND(AL596,2)</f>
        <v>6129.34</v>
      </c>
      <c r="Z596" s="2"/>
      <c r="AA596" s="2"/>
      <c r="AB596" s="2">
        <f>ROUND(SUMIF(AA592:AA594,"=75700856",O592:O594),2)</f>
        <v>225227.67</v>
      </c>
      <c r="AC596" s="2">
        <f>ROUND(SUMIF(AA592:AA594,"=75700856",P592:P594),2)</f>
        <v>142242.57</v>
      </c>
      <c r="AD596" s="2">
        <f>ROUND(SUMIF(AA592:AA594,"=75700856",Q592:Q594),2)</f>
        <v>21691.68</v>
      </c>
      <c r="AE596" s="2">
        <f>ROUND(SUMIF(AA592:AA594,"=75700856",R592:R594),2)</f>
        <v>11358.09</v>
      </c>
      <c r="AF596" s="2">
        <f>ROUND(SUMIF(AA592:AA594,"=75700856",S592:S594),2)</f>
        <v>61293.42</v>
      </c>
      <c r="AG596" s="2">
        <f>ROUND(SUMIF(AA592:AA594,"=75700856",T592:T594),2)</f>
        <v>0</v>
      </c>
      <c r="AH596" s="2">
        <f>SUMIF(AA592:AA594,"=75700856",U592:U594)</f>
        <v>113.85000000000001</v>
      </c>
      <c r="AI596" s="2">
        <f>SUMIF(AA592:AA594,"=75700856",V592:V594)</f>
        <v>0</v>
      </c>
      <c r="AJ596" s="2">
        <f>ROUND(SUMIF(AA592:AA594,"=75700856",W592:W594),2)</f>
        <v>0</v>
      </c>
      <c r="AK596" s="2">
        <f>ROUND(SUMIF(AA592:AA594,"=75700856",X592:X594),2)</f>
        <v>42905.39</v>
      </c>
      <c r="AL596" s="2">
        <f>ROUND(SUMIF(AA592:AA594,"=75700856",Y592:Y594),2)</f>
        <v>6129.34</v>
      </c>
      <c r="AM596" s="2"/>
      <c r="AN596" s="2"/>
      <c r="AO596" s="2">
        <f t="shared" ref="AO596:BD596" si="365">ROUND(BX596,2)</f>
        <v>0</v>
      </c>
      <c r="AP596" s="2">
        <f t="shared" si="365"/>
        <v>0</v>
      </c>
      <c r="AQ596" s="2">
        <f t="shared" si="365"/>
        <v>0</v>
      </c>
      <c r="AR596" s="2">
        <f t="shared" si="365"/>
        <v>286529.14</v>
      </c>
      <c r="AS596" s="2">
        <f t="shared" si="365"/>
        <v>0</v>
      </c>
      <c r="AT596" s="2">
        <f t="shared" si="365"/>
        <v>0</v>
      </c>
      <c r="AU596" s="2">
        <f t="shared" si="365"/>
        <v>286529.14</v>
      </c>
      <c r="AV596" s="2">
        <f t="shared" si="365"/>
        <v>142242.57</v>
      </c>
      <c r="AW596" s="2">
        <f t="shared" si="365"/>
        <v>142242.57</v>
      </c>
      <c r="AX596" s="2">
        <f t="shared" si="365"/>
        <v>0</v>
      </c>
      <c r="AY596" s="2">
        <f t="shared" si="365"/>
        <v>142242.57</v>
      </c>
      <c r="AZ596" s="2">
        <f t="shared" si="365"/>
        <v>0</v>
      </c>
      <c r="BA596" s="2">
        <f t="shared" si="365"/>
        <v>0</v>
      </c>
      <c r="BB596" s="2">
        <f t="shared" si="365"/>
        <v>0</v>
      </c>
      <c r="BC596" s="2">
        <f t="shared" si="365"/>
        <v>0</v>
      </c>
      <c r="BD596" s="2">
        <f t="shared" si="365"/>
        <v>0</v>
      </c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>
        <f>ROUND(SUMIF(AA592:AA594,"=75700856",FQ592:FQ594),2)</f>
        <v>0</v>
      </c>
      <c r="BY596" s="2">
        <f>ROUND(SUMIF(AA592:AA594,"=75700856",FR592:FR594),2)</f>
        <v>0</v>
      </c>
      <c r="BZ596" s="2">
        <f>ROUND(SUMIF(AA592:AA594,"=75700856",GL592:GL594),2)</f>
        <v>0</v>
      </c>
      <c r="CA596" s="2">
        <f>ROUND(SUMIF(AA592:AA594,"=75700856",GM592:GM594),2)</f>
        <v>286529.14</v>
      </c>
      <c r="CB596" s="2">
        <f>ROUND(SUMIF(AA592:AA594,"=75700856",GN592:GN594),2)</f>
        <v>0</v>
      </c>
      <c r="CC596" s="2">
        <f>ROUND(SUMIF(AA592:AA594,"=75700856",GO592:GO594),2)</f>
        <v>0</v>
      </c>
      <c r="CD596" s="2">
        <f>ROUND(SUMIF(AA592:AA594,"=75700856",GP592:GP594),2)</f>
        <v>286529.14</v>
      </c>
      <c r="CE596" s="2">
        <f>AC596-BX596</f>
        <v>142242.57</v>
      </c>
      <c r="CF596" s="2">
        <f>AC596-BY596</f>
        <v>142242.57</v>
      </c>
      <c r="CG596" s="2">
        <f>BX596-BZ596</f>
        <v>0</v>
      </c>
      <c r="CH596" s="2">
        <f>AC596-BX596-BY596+BZ596</f>
        <v>142242.57</v>
      </c>
      <c r="CI596" s="2">
        <f>BY596-BZ596</f>
        <v>0</v>
      </c>
      <c r="CJ596" s="2">
        <f>ROUND(SUMIF(AA592:AA594,"=75700856",GX592:GX594),2)</f>
        <v>0</v>
      </c>
      <c r="CK596" s="2">
        <f>ROUND(SUMIF(AA592:AA594,"=75700856",GY592:GY594),2)</f>
        <v>0</v>
      </c>
      <c r="CL596" s="2">
        <f>ROUND(SUMIF(AA592:AA594,"=75700856",GZ592:GZ594),2)</f>
        <v>0</v>
      </c>
      <c r="CM596" s="2">
        <f>ROUND(SUMIF(AA592:AA594,"=75700856",HD592:HD594),2)</f>
        <v>0</v>
      </c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3"/>
      <c r="DH596" s="3"/>
      <c r="DI596" s="3"/>
      <c r="DJ596" s="3"/>
      <c r="DK596" s="3"/>
      <c r="DL596" s="3"/>
      <c r="DM596" s="3"/>
      <c r="DN596" s="3"/>
      <c r="DO596" s="3"/>
      <c r="DP596" s="3"/>
      <c r="DQ596" s="3"/>
      <c r="DR596" s="3"/>
      <c r="DS596" s="3"/>
      <c r="DT596" s="3"/>
      <c r="DU596" s="3"/>
      <c r="DV596" s="3"/>
      <c r="DW596" s="3"/>
      <c r="DX596" s="3"/>
      <c r="DY596" s="3"/>
      <c r="DZ596" s="3"/>
      <c r="EA596" s="3"/>
      <c r="EB596" s="3"/>
      <c r="EC596" s="3"/>
      <c r="ED596" s="3"/>
      <c r="EE596" s="3"/>
      <c r="EF596" s="3"/>
      <c r="EG596" s="3"/>
      <c r="EH596" s="3"/>
      <c r="EI596" s="3"/>
      <c r="EJ596" s="3"/>
      <c r="EK596" s="3"/>
      <c r="EL596" s="3"/>
      <c r="EM596" s="3"/>
      <c r="EN596" s="3"/>
      <c r="EO596" s="3"/>
      <c r="EP596" s="3"/>
      <c r="EQ596" s="3"/>
      <c r="ER596" s="3"/>
      <c r="ES596" s="3"/>
      <c r="ET596" s="3"/>
      <c r="EU596" s="3"/>
      <c r="EV596" s="3"/>
      <c r="EW596" s="3"/>
      <c r="EX596" s="3"/>
      <c r="EY596" s="3"/>
      <c r="EZ596" s="3"/>
      <c r="FA596" s="3"/>
      <c r="FB596" s="3"/>
      <c r="FC596" s="3"/>
      <c r="FD596" s="3"/>
      <c r="FE596" s="3"/>
      <c r="FF596" s="3"/>
      <c r="FG596" s="3"/>
      <c r="FH596" s="3"/>
      <c r="FI596" s="3"/>
      <c r="FJ596" s="3"/>
      <c r="FK596" s="3"/>
      <c r="FL596" s="3"/>
      <c r="FM596" s="3"/>
      <c r="FN596" s="3"/>
      <c r="FO596" s="3"/>
      <c r="FP596" s="3"/>
      <c r="FQ596" s="3"/>
      <c r="FR596" s="3"/>
      <c r="FS596" s="3"/>
      <c r="FT596" s="3"/>
      <c r="FU596" s="3"/>
      <c r="FV596" s="3"/>
      <c r="FW596" s="3"/>
      <c r="FX596" s="3"/>
      <c r="FY596" s="3"/>
      <c r="FZ596" s="3"/>
      <c r="GA596" s="3"/>
      <c r="GB596" s="3"/>
      <c r="GC596" s="3"/>
      <c r="GD596" s="3"/>
      <c r="GE596" s="3"/>
      <c r="GF596" s="3"/>
      <c r="GG596" s="3"/>
      <c r="GH596" s="3"/>
      <c r="GI596" s="3"/>
      <c r="GJ596" s="3"/>
      <c r="GK596" s="3"/>
      <c r="GL596" s="3"/>
      <c r="GM596" s="3"/>
      <c r="GN596" s="3"/>
      <c r="GO596" s="3"/>
      <c r="GP596" s="3"/>
      <c r="GQ596" s="3"/>
      <c r="GR596" s="3"/>
      <c r="GS596" s="3"/>
      <c r="GT596" s="3"/>
      <c r="GU596" s="3"/>
      <c r="GV596" s="3"/>
      <c r="GW596" s="3"/>
      <c r="GX596" s="3">
        <v>0</v>
      </c>
    </row>
    <row r="598" spans="1:245" x14ac:dyDescent="0.2">
      <c r="A598" s="4">
        <v>50</v>
      </c>
      <c r="B598" s="4">
        <v>0</v>
      </c>
      <c r="C598" s="4">
        <v>0</v>
      </c>
      <c r="D598" s="4">
        <v>1</v>
      </c>
      <c r="E598" s="4">
        <v>201</v>
      </c>
      <c r="F598" s="4">
        <f>ROUND(Source!O596,O598)</f>
        <v>225227.67</v>
      </c>
      <c r="G598" s="4" t="s">
        <v>74</v>
      </c>
      <c r="H598" s="4" t="s">
        <v>75</v>
      </c>
      <c r="I598" s="4"/>
      <c r="J598" s="4"/>
      <c r="K598" s="4">
        <v>201</v>
      </c>
      <c r="L598" s="4">
        <v>1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225227.67</v>
      </c>
      <c r="X598" s="4">
        <v>1</v>
      </c>
      <c r="Y598" s="4">
        <v>225227.67</v>
      </c>
      <c r="Z598" s="4"/>
      <c r="AA598" s="4"/>
      <c r="AB598" s="4"/>
    </row>
    <row r="599" spans="1:245" x14ac:dyDescent="0.2">
      <c r="A599" s="4">
        <v>50</v>
      </c>
      <c r="B599" s="4">
        <v>0</v>
      </c>
      <c r="C599" s="4">
        <v>0</v>
      </c>
      <c r="D599" s="4">
        <v>1</v>
      </c>
      <c r="E599" s="4">
        <v>202</v>
      </c>
      <c r="F599" s="4">
        <f>ROUND(Source!P596,O599)</f>
        <v>142242.57</v>
      </c>
      <c r="G599" s="4" t="s">
        <v>76</v>
      </c>
      <c r="H599" s="4" t="s">
        <v>77</v>
      </c>
      <c r="I599" s="4"/>
      <c r="J599" s="4"/>
      <c r="K599" s="4">
        <v>202</v>
      </c>
      <c r="L599" s="4">
        <v>2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142242.57</v>
      </c>
      <c r="X599" s="4">
        <v>1</v>
      </c>
      <c r="Y599" s="4">
        <v>142242.57</v>
      </c>
      <c r="Z599" s="4"/>
      <c r="AA599" s="4"/>
      <c r="AB599" s="4"/>
    </row>
    <row r="600" spans="1:245" x14ac:dyDescent="0.2">
      <c r="A600" s="4">
        <v>50</v>
      </c>
      <c r="B600" s="4">
        <v>0</v>
      </c>
      <c r="C600" s="4">
        <v>0</v>
      </c>
      <c r="D600" s="4">
        <v>1</v>
      </c>
      <c r="E600" s="4">
        <v>222</v>
      </c>
      <c r="F600" s="4">
        <f>ROUND(Source!AO596,O600)</f>
        <v>0</v>
      </c>
      <c r="G600" s="4" t="s">
        <v>78</v>
      </c>
      <c r="H600" s="4" t="s">
        <v>79</v>
      </c>
      <c r="I600" s="4"/>
      <c r="J600" s="4"/>
      <c r="K600" s="4">
        <v>222</v>
      </c>
      <c r="L600" s="4">
        <v>3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0</v>
      </c>
      <c r="X600" s="4">
        <v>1</v>
      </c>
      <c r="Y600" s="4">
        <v>0</v>
      </c>
      <c r="Z600" s="4"/>
      <c r="AA600" s="4"/>
      <c r="AB600" s="4"/>
    </row>
    <row r="601" spans="1:245" x14ac:dyDescent="0.2">
      <c r="A601" s="4">
        <v>50</v>
      </c>
      <c r="B601" s="4">
        <v>0</v>
      </c>
      <c r="C601" s="4">
        <v>0</v>
      </c>
      <c r="D601" s="4">
        <v>1</v>
      </c>
      <c r="E601" s="4">
        <v>225</v>
      </c>
      <c r="F601" s="4">
        <f>ROUND(Source!AV596,O601)</f>
        <v>142242.57</v>
      </c>
      <c r="G601" s="4" t="s">
        <v>80</v>
      </c>
      <c r="H601" s="4" t="s">
        <v>81</v>
      </c>
      <c r="I601" s="4"/>
      <c r="J601" s="4"/>
      <c r="K601" s="4">
        <v>225</v>
      </c>
      <c r="L601" s="4">
        <v>4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142242.57</v>
      </c>
      <c r="X601" s="4">
        <v>1</v>
      </c>
      <c r="Y601" s="4">
        <v>142242.57</v>
      </c>
      <c r="Z601" s="4"/>
      <c r="AA601" s="4"/>
      <c r="AB601" s="4"/>
    </row>
    <row r="602" spans="1:245" x14ac:dyDescent="0.2">
      <c r="A602" s="4">
        <v>50</v>
      </c>
      <c r="B602" s="4">
        <v>0</v>
      </c>
      <c r="C602" s="4">
        <v>0</v>
      </c>
      <c r="D602" s="4">
        <v>1</v>
      </c>
      <c r="E602" s="4">
        <v>226</v>
      </c>
      <c r="F602" s="4">
        <f>ROUND(Source!AW596,O602)</f>
        <v>142242.57</v>
      </c>
      <c r="G602" s="4" t="s">
        <v>82</v>
      </c>
      <c r="H602" s="4" t="s">
        <v>83</v>
      </c>
      <c r="I602" s="4"/>
      <c r="J602" s="4"/>
      <c r="K602" s="4">
        <v>226</v>
      </c>
      <c r="L602" s="4">
        <v>5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142242.57</v>
      </c>
      <c r="X602" s="4">
        <v>1</v>
      </c>
      <c r="Y602" s="4">
        <v>142242.57</v>
      </c>
      <c r="Z602" s="4"/>
      <c r="AA602" s="4"/>
      <c r="AB602" s="4"/>
    </row>
    <row r="603" spans="1:245" x14ac:dyDescent="0.2">
      <c r="A603" s="4">
        <v>50</v>
      </c>
      <c r="B603" s="4">
        <v>0</v>
      </c>
      <c r="C603" s="4">
        <v>0</v>
      </c>
      <c r="D603" s="4">
        <v>1</v>
      </c>
      <c r="E603" s="4">
        <v>227</v>
      </c>
      <c r="F603" s="4">
        <f>ROUND(Source!AX596,O603)</f>
        <v>0</v>
      </c>
      <c r="G603" s="4" t="s">
        <v>84</v>
      </c>
      <c r="H603" s="4" t="s">
        <v>85</v>
      </c>
      <c r="I603" s="4"/>
      <c r="J603" s="4"/>
      <c r="K603" s="4">
        <v>227</v>
      </c>
      <c r="L603" s="4">
        <v>6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45" x14ac:dyDescent="0.2">
      <c r="A604" s="4">
        <v>50</v>
      </c>
      <c r="B604" s="4">
        <v>0</v>
      </c>
      <c r="C604" s="4">
        <v>0</v>
      </c>
      <c r="D604" s="4">
        <v>1</v>
      </c>
      <c r="E604" s="4">
        <v>228</v>
      </c>
      <c r="F604" s="4">
        <f>ROUND(Source!AY596,O604)</f>
        <v>142242.57</v>
      </c>
      <c r="G604" s="4" t="s">
        <v>86</v>
      </c>
      <c r="H604" s="4" t="s">
        <v>87</v>
      </c>
      <c r="I604" s="4"/>
      <c r="J604" s="4"/>
      <c r="K604" s="4">
        <v>228</v>
      </c>
      <c r="L604" s="4">
        <v>7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142242.57</v>
      </c>
      <c r="X604" s="4">
        <v>1</v>
      </c>
      <c r="Y604" s="4">
        <v>142242.57</v>
      </c>
      <c r="Z604" s="4"/>
      <c r="AA604" s="4"/>
      <c r="AB604" s="4"/>
    </row>
    <row r="605" spans="1:245" x14ac:dyDescent="0.2">
      <c r="A605" s="4">
        <v>50</v>
      </c>
      <c r="B605" s="4">
        <v>0</v>
      </c>
      <c r="C605" s="4">
        <v>0</v>
      </c>
      <c r="D605" s="4">
        <v>1</v>
      </c>
      <c r="E605" s="4">
        <v>216</v>
      </c>
      <c r="F605" s="4">
        <f>ROUND(Source!AP596,O605)</f>
        <v>0</v>
      </c>
      <c r="G605" s="4" t="s">
        <v>88</v>
      </c>
      <c r="H605" s="4" t="s">
        <v>89</v>
      </c>
      <c r="I605" s="4"/>
      <c r="J605" s="4"/>
      <c r="K605" s="4">
        <v>216</v>
      </c>
      <c r="L605" s="4">
        <v>8</v>
      </c>
      <c r="M605" s="4">
        <v>3</v>
      </c>
      <c r="N605" s="4" t="s">
        <v>3</v>
      </c>
      <c r="O605" s="4">
        <v>2</v>
      </c>
      <c r="P605" s="4"/>
      <c r="Q605" s="4"/>
      <c r="R605" s="4"/>
      <c r="S605" s="4"/>
      <c r="T605" s="4"/>
      <c r="U605" s="4"/>
      <c r="V605" s="4"/>
      <c r="W605" s="4">
        <v>0</v>
      </c>
      <c r="X605" s="4">
        <v>1</v>
      </c>
      <c r="Y605" s="4">
        <v>0</v>
      </c>
      <c r="Z605" s="4"/>
      <c r="AA605" s="4"/>
      <c r="AB605" s="4"/>
    </row>
    <row r="606" spans="1:245" x14ac:dyDescent="0.2">
      <c r="A606" s="4">
        <v>50</v>
      </c>
      <c r="B606" s="4">
        <v>0</v>
      </c>
      <c r="C606" s="4">
        <v>0</v>
      </c>
      <c r="D606" s="4">
        <v>1</v>
      </c>
      <c r="E606" s="4">
        <v>223</v>
      </c>
      <c r="F606" s="4">
        <f>ROUND(Source!AQ596,O606)</f>
        <v>0</v>
      </c>
      <c r="G606" s="4" t="s">
        <v>90</v>
      </c>
      <c r="H606" s="4" t="s">
        <v>91</v>
      </c>
      <c r="I606" s="4"/>
      <c r="J606" s="4"/>
      <c r="K606" s="4">
        <v>223</v>
      </c>
      <c r="L606" s="4">
        <v>9</v>
      </c>
      <c r="M606" s="4">
        <v>3</v>
      </c>
      <c r="N606" s="4" t="s">
        <v>3</v>
      </c>
      <c r="O606" s="4">
        <v>2</v>
      </c>
      <c r="P606" s="4"/>
      <c r="Q606" s="4"/>
      <c r="R606" s="4"/>
      <c r="S606" s="4"/>
      <c r="T606" s="4"/>
      <c r="U606" s="4"/>
      <c r="V606" s="4"/>
      <c r="W606" s="4">
        <v>0</v>
      </c>
      <c r="X606" s="4">
        <v>1</v>
      </c>
      <c r="Y606" s="4">
        <v>0</v>
      </c>
      <c r="Z606" s="4"/>
      <c r="AA606" s="4"/>
      <c r="AB606" s="4"/>
    </row>
    <row r="607" spans="1:245" x14ac:dyDescent="0.2">
      <c r="A607" s="4">
        <v>50</v>
      </c>
      <c r="B607" s="4">
        <v>0</v>
      </c>
      <c r="C607" s="4">
        <v>0</v>
      </c>
      <c r="D607" s="4">
        <v>1</v>
      </c>
      <c r="E607" s="4">
        <v>229</v>
      </c>
      <c r="F607" s="4">
        <f>ROUND(Source!AZ596,O607)</f>
        <v>0</v>
      </c>
      <c r="G607" s="4" t="s">
        <v>92</v>
      </c>
      <c r="H607" s="4" t="s">
        <v>93</v>
      </c>
      <c r="I607" s="4"/>
      <c r="J607" s="4"/>
      <c r="K607" s="4">
        <v>229</v>
      </c>
      <c r="L607" s="4">
        <v>10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45" x14ac:dyDescent="0.2">
      <c r="A608" s="4">
        <v>50</v>
      </c>
      <c r="B608" s="4">
        <v>0</v>
      </c>
      <c r="C608" s="4">
        <v>0</v>
      </c>
      <c r="D608" s="4">
        <v>1</v>
      </c>
      <c r="E608" s="4">
        <v>203</v>
      </c>
      <c r="F608" s="4">
        <f>ROUND(Source!Q596,O608)</f>
        <v>21691.68</v>
      </c>
      <c r="G608" s="4" t="s">
        <v>94</v>
      </c>
      <c r="H608" s="4" t="s">
        <v>95</v>
      </c>
      <c r="I608" s="4"/>
      <c r="J608" s="4"/>
      <c r="K608" s="4">
        <v>203</v>
      </c>
      <c r="L608" s="4">
        <v>11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21691.68</v>
      </c>
      <c r="X608" s="4">
        <v>1</v>
      </c>
      <c r="Y608" s="4">
        <v>21691.68</v>
      </c>
      <c r="Z608" s="4"/>
      <c r="AA608" s="4"/>
      <c r="AB608" s="4"/>
    </row>
    <row r="609" spans="1:28" x14ac:dyDescent="0.2">
      <c r="A609" s="4">
        <v>50</v>
      </c>
      <c r="B609" s="4">
        <v>0</v>
      </c>
      <c r="C609" s="4">
        <v>0</v>
      </c>
      <c r="D609" s="4">
        <v>1</v>
      </c>
      <c r="E609" s="4">
        <v>231</v>
      </c>
      <c r="F609" s="4">
        <f>ROUND(Source!BB596,O609)</f>
        <v>0</v>
      </c>
      <c r="G609" s="4" t="s">
        <v>96</v>
      </c>
      <c r="H609" s="4" t="s">
        <v>97</v>
      </c>
      <c r="I609" s="4"/>
      <c r="J609" s="4"/>
      <c r="K609" s="4">
        <v>231</v>
      </c>
      <c r="L609" s="4">
        <v>12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0</v>
      </c>
      <c r="X609" s="4">
        <v>1</v>
      </c>
      <c r="Y609" s="4">
        <v>0</v>
      </c>
      <c r="Z609" s="4"/>
      <c r="AA609" s="4"/>
      <c r="AB609" s="4"/>
    </row>
    <row r="610" spans="1:28" x14ac:dyDescent="0.2">
      <c r="A610" s="4">
        <v>50</v>
      </c>
      <c r="B610" s="4">
        <v>0</v>
      </c>
      <c r="C610" s="4">
        <v>0</v>
      </c>
      <c r="D610" s="4">
        <v>1</v>
      </c>
      <c r="E610" s="4">
        <v>204</v>
      </c>
      <c r="F610" s="4">
        <f>ROUND(Source!R596,O610)</f>
        <v>11358.09</v>
      </c>
      <c r="G610" s="4" t="s">
        <v>98</v>
      </c>
      <c r="H610" s="4" t="s">
        <v>99</v>
      </c>
      <c r="I610" s="4"/>
      <c r="J610" s="4"/>
      <c r="K610" s="4">
        <v>204</v>
      </c>
      <c r="L610" s="4">
        <v>13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11358.09</v>
      </c>
      <c r="X610" s="4">
        <v>1</v>
      </c>
      <c r="Y610" s="4">
        <v>11358.09</v>
      </c>
      <c r="Z610" s="4"/>
      <c r="AA610" s="4"/>
      <c r="AB610" s="4"/>
    </row>
    <row r="611" spans="1:28" x14ac:dyDescent="0.2">
      <c r="A611" s="4">
        <v>50</v>
      </c>
      <c r="B611" s="4">
        <v>0</v>
      </c>
      <c r="C611" s="4">
        <v>0</v>
      </c>
      <c r="D611" s="4">
        <v>1</v>
      </c>
      <c r="E611" s="4">
        <v>205</v>
      </c>
      <c r="F611" s="4">
        <f>ROUND(Source!S596,O611)</f>
        <v>61293.42</v>
      </c>
      <c r="G611" s="4" t="s">
        <v>100</v>
      </c>
      <c r="H611" s="4" t="s">
        <v>101</v>
      </c>
      <c r="I611" s="4"/>
      <c r="J611" s="4"/>
      <c r="K611" s="4">
        <v>205</v>
      </c>
      <c r="L611" s="4">
        <v>14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61293.42</v>
      </c>
      <c r="X611" s="4">
        <v>1</v>
      </c>
      <c r="Y611" s="4">
        <v>61293.42</v>
      </c>
      <c r="Z611" s="4"/>
      <c r="AA611" s="4"/>
      <c r="AB611" s="4"/>
    </row>
    <row r="612" spans="1:28" x14ac:dyDescent="0.2">
      <c r="A612" s="4">
        <v>50</v>
      </c>
      <c r="B612" s="4">
        <v>0</v>
      </c>
      <c r="C612" s="4">
        <v>0</v>
      </c>
      <c r="D612" s="4">
        <v>1</v>
      </c>
      <c r="E612" s="4">
        <v>232</v>
      </c>
      <c r="F612" s="4">
        <f>ROUND(Source!BC596,O612)</f>
        <v>0</v>
      </c>
      <c r="G612" s="4" t="s">
        <v>102</v>
      </c>
      <c r="H612" s="4" t="s">
        <v>103</v>
      </c>
      <c r="I612" s="4"/>
      <c r="J612" s="4"/>
      <c r="K612" s="4">
        <v>232</v>
      </c>
      <c r="L612" s="4">
        <v>15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0</v>
      </c>
      <c r="X612" s="4">
        <v>1</v>
      </c>
      <c r="Y612" s="4">
        <v>0</v>
      </c>
      <c r="Z612" s="4"/>
      <c r="AA612" s="4"/>
      <c r="AB612" s="4"/>
    </row>
    <row r="613" spans="1:28" x14ac:dyDescent="0.2">
      <c r="A613" s="4">
        <v>50</v>
      </c>
      <c r="B613" s="4">
        <v>0</v>
      </c>
      <c r="C613" s="4">
        <v>0</v>
      </c>
      <c r="D613" s="4">
        <v>1</v>
      </c>
      <c r="E613" s="4">
        <v>214</v>
      </c>
      <c r="F613" s="4">
        <f>ROUND(Source!AS596,O613)</f>
        <v>0</v>
      </c>
      <c r="G613" s="4" t="s">
        <v>104</v>
      </c>
      <c r="H613" s="4" t="s">
        <v>105</v>
      </c>
      <c r="I613" s="4"/>
      <c r="J613" s="4"/>
      <c r="K613" s="4">
        <v>214</v>
      </c>
      <c r="L613" s="4">
        <v>16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8" x14ac:dyDescent="0.2">
      <c r="A614" s="4">
        <v>50</v>
      </c>
      <c r="B614" s="4">
        <v>0</v>
      </c>
      <c r="C614" s="4">
        <v>0</v>
      </c>
      <c r="D614" s="4">
        <v>1</v>
      </c>
      <c r="E614" s="4">
        <v>215</v>
      </c>
      <c r="F614" s="4">
        <f>ROUND(Source!AT596,O614)</f>
        <v>0</v>
      </c>
      <c r="G614" s="4" t="s">
        <v>106</v>
      </c>
      <c r="H614" s="4" t="s">
        <v>107</v>
      </c>
      <c r="I614" s="4"/>
      <c r="J614" s="4"/>
      <c r="K614" s="4">
        <v>215</v>
      </c>
      <c r="L614" s="4">
        <v>17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8" x14ac:dyDescent="0.2">
      <c r="A615" s="4">
        <v>50</v>
      </c>
      <c r="B615" s="4">
        <v>0</v>
      </c>
      <c r="C615" s="4">
        <v>0</v>
      </c>
      <c r="D615" s="4">
        <v>1</v>
      </c>
      <c r="E615" s="4">
        <v>217</v>
      </c>
      <c r="F615" s="4">
        <f>ROUND(Source!AU596,O615)</f>
        <v>286529.14</v>
      </c>
      <c r="G615" s="4" t="s">
        <v>108</v>
      </c>
      <c r="H615" s="4" t="s">
        <v>109</v>
      </c>
      <c r="I615" s="4"/>
      <c r="J615" s="4"/>
      <c r="K615" s="4">
        <v>217</v>
      </c>
      <c r="L615" s="4">
        <v>18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286529.14</v>
      </c>
      <c r="X615" s="4">
        <v>1</v>
      </c>
      <c r="Y615" s="4">
        <v>286529.14</v>
      </c>
      <c r="Z615" s="4"/>
      <c r="AA615" s="4"/>
      <c r="AB615" s="4"/>
    </row>
    <row r="616" spans="1:28" x14ac:dyDescent="0.2">
      <c r="A616" s="4">
        <v>50</v>
      </c>
      <c r="B616" s="4">
        <v>0</v>
      </c>
      <c r="C616" s="4">
        <v>0</v>
      </c>
      <c r="D616" s="4">
        <v>1</v>
      </c>
      <c r="E616" s="4">
        <v>230</v>
      </c>
      <c r="F616" s="4">
        <f>ROUND(Source!BA596,O616)</f>
        <v>0</v>
      </c>
      <c r="G616" s="4" t="s">
        <v>110</v>
      </c>
      <c r="H616" s="4" t="s">
        <v>111</v>
      </c>
      <c r="I616" s="4"/>
      <c r="J616" s="4"/>
      <c r="K616" s="4">
        <v>230</v>
      </c>
      <c r="L616" s="4">
        <v>19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0</v>
      </c>
      <c r="X616" s="4">
        <v>1</v>
      </c>
      <c r="Y616" s="4">
        <v>0</v>
      </c>
      <c r="Z616" s="4"/>
      <c r="AA616" s="4"/>
      <c r="AB616" s="4"/>
    </row>
    <row r="617" spans="1:28" x14ac:dyDescent="0.2">
      <c r="A617" s="4">
        <v>50</v>
      </c>
      <c r="B617" s="4">
        <v>0</v>
      </c>
      <c r="C617" s="4">
        <v>0</v>
      </c>
      <c r="D617" s="4">
        <v>1</v>
      </c>
      <c r="E617" s="4">
        <v>206</v>
      </c>
      <c r="F617" s="4">
        <f>ROUND(Source!T596,O617)</f>
        <v>0</v>
      </c>
      <c r="G617" s="4" t="s">
        <v>112</v>
      </c>
      <c r="H617" s="4" t="s">
        <v>113</v>
      </c>
      <c r="I617" s="4"/>
      <c r="J617" s="4"/>
      <c r="K617" s="4">
        <v>206</v>
      </c>
      <c r="L617" s="4">
        <v>20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8" x14ac:dyDescent="0.2">
      <c r="A618" s="4">
        <v>50</v>
      </c>
      <c r="B618" s="4">
        <v>0</v>
      </c>
      <c r="C618" s="4">
        <v>0</v>
      </c>
      <c r="D618" s="4">
        <v>1</v>
      </c>
      <c r="E618" s="4">
        <v>207</v>
      </c>
      <c r="F618" s="4">
        <f>Source!U596</f>
        <v>113.85000000000001</v>
      </c>
      <c r="G618" s="4" t="s">
        <v>114</v>
      </c>
      <c r="H618" s="4" t="s">
        <v>115</v>
      </c>
      <c r="I618" s="4"/>
      <c r="J618" s="4"/>
      <c r="K618" s="4">
        <v>207</v>
      </c>
      <c r="L618" s="4">
        <v>21</v>
      </c>
      <c r="M618" s="4">
        <v>3</v>
      </c>
      <c r="N618" s="4" t="s">
        <v>3</v>
      </c>
      <c r="O618" s="4">
        <v>-1</v>
      </c>
      <c r="P618" s="4"/>
      <c r="Q618" s="4"/>
      <c r="R618" s="4"/>
      <c r="S618" s="4"/>
      <c r="T618" s="4"/>
      <c r="U618" s="4"/>
      <c r="V618" s="4"/>
      <c r="W618" s="4">
        <v>113.85</v>
      </c>
      <c r="X618" s="4">
        <v>1</v>
      </c>
      <c r="Y618" s="4">
        <v>113.85</v>
      </c>
      <c r="Z618" s="4"/>
      <c r="AA618" s="4"/>
      <c r="AB618" s="4"/>
    </row>
    <row r="619" spans="1:28" x14ac:dyDescent="0.2">
      <c r="A619" s="4">
        <v>50</v>
      </c>
      <c r="B619" s="4">
        <v>0</v>
      </c>
      <c r="C619" s="4">
        <v>0</v>
      </c>
      <c r="D619" s="4">
        <v>1</v>
      </c>
      <c r="E619" s="4">
        <v>208</v>
      </c>
      <c r="F619" s="4">
        <f>Source!V596</f>
        <v>0</v>
      </c>
      <c r="G619" s="4" t="s">
        <v>116</v>
      </c>
      <c r="H619" s="4" t="s">
        <v>117</v>
      </c>
      <c r="I619" s="4"/>
      <c r="J619" s="4"/>
      <c r="K619" s="4">
        <v>208</v>
      </c>
      <c r="L619" s="4">
        <v>22</v>
      </c>
      <c r="M619" s="4">
        <v>3</v>
      </c>
      <c r="N619" s="4" t="s">
        <v>3</v>
      </c>
      <c r="O619" s="4">
        <v>-1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8" x14ac:dyDescent="0.2">
      <c r="A620" s="4">
        <v>50</v>
      </c>
      <c r="B620" s="4">
        <v>0</v>
      </c>
      <c r="C620" s="4">
        <v>0</v>
      </c>
      <c r="D620" s="4">
        <v>1</v>
      </c>
      <c r="E620" s="4">
        <v>209</v>
      </c>
      <c r="F620" s="4">
        <f>ROUND(Source!W596,O620)</f>
        <v>0</v>
      </c>
      <c r="G620" s="4" t="s">
        <v>118</v>
      </c>
      <c r="H620" s="4" t="s">
        <v>119</v>
      </c>
      <c r="I620" s="4"/>
      <c r="J620" s="4"/>
      <c r="K620" s="4">
        <v>209</v>
      </c>
      <c r="L620" s="4">
        <v>23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8" x14ac:dyDescent="0.2">
      <c r="A621" s="4">
        <v>50</v>
      </c>
      <c r="B621" s="4">
        <v>0</v>
      </c>
      <c r="C621" s="4">
        <v>0</v>
      </c>
      <c r="D621" s="4">
        <v>1</v>
      </c>
      <c r="E621" s="4">
        <v>233</v>
      </c>
      <c r="F621" s="4">
        <f>ROUND(Source!BD596,O621)</f>
        <v>0</v>
      </c>
      <c r="G621" s="4" t="s">
        <v>120</v>
      </c>
      <c r="H621" s="4" t="s">
        <v>121</v>
      </c>
      <c r="I621" s="4"/>
      <c r="J621" s="4"/>
      <c r="K621" s="4">
        <v>233</v>
      </c>
      <c r="L621" s="4">
        <v>24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8" x14ac:dyDescent="0.2">
      <c r="A622" s="4">
        <v>50</v>
      </c>
      <c r="B622" s="4">
        <v>0</v>
      </c>
      <c r="C622" s="4">
        <v>0</v>
      </c>
      <c r="D622" s="4">
        <v>1</v>
      </c>
      <c r="E622" s="4">
        <v>210</v>
      </c>
      <c r="F622" s="4">
        <f>ROUND(Source!X596,O622)</f>
        <v>42905.39</v>
      </c>
      <c r="G622" s="4" t="s">
        <v>122</v>
      </c>
      <c r="H622" s="4" t="s">
        <v>123</v>
      </c>
      <c r="I622" s="4"/>
      <c r="J622" s="4"/>
      <c r="K622" s="4">
        <v>210</v>
      </c>
      <c r="L622" s="4">
        <v>25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42905.39</v>
      </c>
      <c r="X622" s="4">
        <v>1</v>
      </c>
      <c r="Y622" s="4">
        <v>42905.39</v>
      </c>
      <c r="Z622" s="4"/>
      <c r="AA622" s="4"/>
      <c r="AB622" s="4"/>
    </row>
    <row r="623" spans="1:28" x14ac:dyDescent="0.2">
      <c r="A623" s="4">
        <v>50</v>
      </c>
      <c r="B623" s="4">
        <v>0</v>
      </c>
      <c r="C623" s="4">
        <v>0</v>
      </c>
      <c r="D623" s="4">
        <v>1</v>
      </c>
      <c r="E623" s="4">
        <v>211</v>
      </c>
      <c r="F623" s="4">
        <f>ROUND(Source!Y596,O623)</f>
        <v>6129.34</v>
      </c>
      <c r="G623" s="4" t="s">
        <v>124</v>
      </c>
      <c r="H623" s="4" t="s">
        <v>125</v>
      </c>
      <c r="I623" s="4"/>
      <c r="J623" s="4"/>
      <c r="K623" s="4">
        <v>211</v>
      </c>
      <c r="L623" s="4">
        <v>26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6129.34</v>
      </c>
      <c r="X623" s="4">
        <v>1</v>
      </c>
      <c r="Y623" s="4">
        <v>6129.34</v>
      </c>
      <c r="Z623" s="4"/>
      <c r="AA623" s="4"/>
      <c r="AB623" s="4"/>
    </row>
    <row r="624" spans="1:28" x14ac:dyDescent="0.2">
      <c r="A624" s="4">
        <v>50</v>
      </c>
      <c r="B624" s="4">
        <v>0</v>
      </c>
      <c r="C624" s="4">
        <v>0</v>
      </c>
      <c r="D624" s="4">
        <v>1</v>
      </c>
      <c r="E624" s="4">
        <v>224</v>
      </c>
      <c r="F624" s="4">
        <f>ROUND(Source!AR596,O624)</f>
        <v>286529.14</v>
      </c>
      <c r="G624" s="4" t="s">
        <v>126</v>
      </c>
      <c r="H624" s="4" t="s">
        <v>127</v>
      </c>
      <c r="I624" s="4"/>
      <c r="J624" s="4"/>
      <c r="K624" s="4">
        <v>224</v>
      </c>
      <c r="L624" s="4">
        <v>27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286529.14</v>
      </c>
      <c r="X624" s="4">
        <v>1</v>
      </c>
      <c r="Y624" s="4">
        <v>286529.14</v>
      </c>
      <c r="Z624" s="4"/>
      <c r="AA624" s="4"/>
      <c r="AB624" s="4"/>
    </row>
    <row r="626" spans="1:245" x14ac:dyDescent="0.2">
      <c r="A626" s="1">
        <v>4</v>
      </c>
      <c r="B626" s="1">
        <v>1</v>
      </c>
      <c r="C626" s="1"/>
      <c r="D626" s="1">
        <f>ROW(A634)</f>
        <v>634</v>
      </c>
      <c r="E626" s="1"/>
      <c r="F626" s="1" t="s">
        <v>13</v>
      </c>
      <c r="G626" s="1" t="s">
        <v>310</v>
      </c>
      <c r="H626" s="1" t="s">
        <v>3</v>
      </c>
      <c r="I626" s="1">
        <v>0</v>
      </c>
      <c r="J626" s="1"/>
      <c r="K626" s="1">
        <v>0</v>
      </c>
      <c r="L626" s="1"/>
      <c r="M626" s="1" t="s">
        <v>3</v>
      </c>
      <c r="N626" s="1"/>
      <c r="O626" s="1"/>
      <c r="P626" s="1"/>
      <c r="Q626" s="1"/>
      <c r="R626" s="1"/>
      <c r="S626" s="1">
        <v>0</v>
      </c>
      <c r="T626" s="1"/>
      <c r="U626" s="1" t="s">
        <v>3</v>
      </c>
      <c r="V626" s="1">
        <v>0</v>
      </c>
      <c r="W626" s="1"/>
      <c r="X626" s="1"/>
      <c r="Y626" s="1"/>
      <c r="Z626" s="1"/>
      <c r="AA626" s="1"/>
      <c r="AB626" s="1" t="s">
        <v>3</v>
      </c>
      <c r="AC626" s="1" t="s">
        <v>3</v>
      </c>
      <c r="AD626" s="1" t="s">
        <v>3</v>
      </c>
      <c r="AE626" s="1" t="s">
        <v>3</v>
      </c>
      <c r="AF626" s="1" t="s">
        <v>3</v>
      </c>
      <c r="AG626" s="1" t="s">
        <v>3</v>
      </c>
      <c r="AH626" s="1"/>
      <c r="AI626" s="1"/>
      <c r="AJ626" s="1"/>
      <c r="AK626" s="1"/>
      <c r="AL626" s="1"/>
      <c r="AM626" s="1"/>
      <c r="AN626" s="1"/>
      <c r="AO626" s="1"/>
      <c r="AP626" s="1" t="s">
        <v>3</v>
      </c>
      <c r="AQ626" s="1" t="s">
        <v>3</v>
      </c>
      <c r="AR626" s="1" t="s">
        <v>3</v>
      </c>
      <c r="AS626" s="1"/>
      <c r="AT626" s="1"/>
      <c r="AU626" s="1"/>
      <c r="AV626" s="1"/>
      <c r="AW626" s="1"/>
      <c r="AX626" s="1"/>
      <c r="AY626" s="1"/>
      <c r="AZ626" s="1" t="s">
        <v>3</v>
      </c>
      <c r="BA626" s="1"/>
      <c r="BB626" s="1" t="s">
        <v>3</v>
      </c>
      <c r="BC626" s="1" t="s">
        <v>3</v>
      </c>
      <c r="BD626" s="1" t="s">
        <v>3</v>
      </c>
      <c r="BE626" s="1" t="s">
        <v>3</v>
      </c>
      <c r="BF626" s="1" t="s">
        <v>3</v>
      </c>
      <c r="BG626" s="1" t="s">
        <v>3</v>
      </c>
      <c r="BH626" s="1" t="s">
        <v>3</v>
      </c>
      <c r="BI626" s="1" t="s">
        <v>3</v>
      </c>
      <c r="BJ626" s="1" t="s">
        <v>3</v>
      </c>
      <c r="BK626" s="1" t="s">
        <v>3</v>
      </c>
      <c r="BL626" s="1" t="s">
        <v>3</v>
      </c>
      <c r="BM626" s="1" t="s">
        <v>3</v>
      </c>
      <c r="BN626" s="1" t="s">
        <v>3</v>
      </c>
      <c r="BO626" s="1" t="s">
        <v>3</v>
      </c>
      <c r="BP626" s="1" t="s">
        <v>3</v>
      </c>
      <c r="BQ626" s="1"/>
      <c r="BR626" s="1"/>
      <c r="BS626" s="1"/>
      <c r="BT626" s="1"/>
      <c r="BU626" s="1"/>
      <c r="BV626" s="1"/>
      <c r="BW626" s="1"/>
      <c r="BX626" s="1">
        <v>0</v>
      </c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>
        <v>0</v>
      </c>
    </row>
    <row r="628" spans="1:245" x14ac:dyDescent="0.2">
      <c r="A628" s="2">
        <v>52</v>
      </c>
      <c r="B628" s="2">
        <f t="shared" ref="B628:G628" si="366">B634</f>
        <v>1</v>
      </c>
      <c r="C628" s="2">
        <f t="shared" si="366"/>
        <v>4</v>
      </c>
      <c r="D628" s="2">
        <f t="shared" si="366"/>
        <v>626</v>
      </c>
      <c r="E628" s="2">
        <f t="shared" si="366"/>
        <v>0</v>
      </c>
      <c r="F628" s="2" t="str">
        <f t="shared" si="366"/>
        <v>Новый раздел</v>
      </c>
      <c r="G628" s="2" t="str">
        <f t="shared" si="366"/>
        <v>Мусор</v>
      </c>
      <c r="H628" s="2"/>
      <c r="I628" s="2"/>
      <c r="J628" s="2"/>
      <c r="K628" s="2"/>
      <c r="L628" s="2"/>
      <c r="M628" s="2"/>
      <c r="N628" s="2"/>
      <c r="O628" s="2">
        <f t="shared" ref="O628:AT628" si="367">O634</f>
        <v>1476.55</v>
      </c>
      <c r="P628" s="2">
        <f t="shared" si="367"/>
        <v>0</v>
      </c>
      <c r="Q628" s="2">
        <f t="shared" si="367"/>
        <v>1476.55</v>
      </c>
      <c r="R628" s="2">
        <f t="shared" si="367"/>
        <v>886.82</v>
      </c>
      <c r="S628" s="2">
        <f t="shared" si="367"/>
        <v>0</v>
      </c>
      <c r="T628" s="2">
        <f t="shared" si="367"/>
        <v>0</v>
      </c>
      <c r="U628" s="2">
        <f t="shared" si="367"/>
        <v>0</v>
      </c>
      <c r="V628" s="2">
        <f t="shared" si="367"/>
        <v>0</v>
      </c>
      <c r="W628" s="2">
        <f t="shared" si="367"/>
        <v>0</v>
      </c>
      <c r="X628" s="2">
        <f t="shared" si="367"/>
        <v>0</v>
      </c>
      <c r="Y628" s="2">
        <f t="shared" si="367"/>
        <v>0</v>
      </c>
      <c r="Z628" s="2">
        <f t="shared" si="367"/>
        <v>0</v>
      </c>
      <c r="AA628" s="2">
        <f t="shared" si="367"/>
        <v>0</v>
      </c>
      <c r="AB628" s="2">
        <f t="shared" si="367"/>
        <v>1476.55</v>
      </c>
      <c r="AC628" s="2">
        <f t="shared" si="367"/>
        <v>0</v>
      </c>
      <c r="AD628" s="2">
        <f t="shared" si="367"/>
        <v>1476.55</v>
      </c>
      <c r="AE628" s="2">
        <f t="shared" si="367"/>
        <v>886.82</v>
      </c>
      <c r="AF628" s="2">
        <f t="shared" si="367"/>
        <v>0</v>
      </c>
      <c r="AG628" s="2">
        <f t="shared" si="367"/>
        <v>0</v>
      </c>
      <c r="AH628" s="2">
        <f t="shared" si="367"/>
        <v>0</v>
      </c>
      <c r="AI628" s="2">
        <f t="shared" si="367"/>
        <v>0</v>
      </c>
      <c r="AJ628" s="2">
        <f t="shared" si="367"/>
        <v>0</v>
      </c>
      <c r="AK628" s="2">
        <f t="shared" si="367"/>
        <v>0</v>
      </c>
      <c r="AL628" s="2">
        <f t="shared" si="367"/>
        <v>0</v>
      </c>
      <c r="AM628" s="2">
        <f t="shared" si="367"/>
        <v>0</v>
      </c>
      <c r="AN628" s="2">
        <f t="shared" si="367"/>
        <v>0</v>
      </c>
      <c r="AO628" s="2">
        <f t="shared" si="367"/>
        <v>0</v>
      </c>
      <c r="AP628" s="2">
        <f t="shared" si="367"/>
        <v>0</v>
      </c>
      <c r="AQ628" s="2">
        <f t="shared" si="367"/>
        <v>0</v>
      </c>
      <c r="AR628" s="2">
        <f t="shared" si="367"/>
        <v>1511.73</v>
      </c>
      <c r="AS628" s="2">
        <f t="shared" si="367"/>
        <v>0</v>
      </c>
      <c r="AT628" s="2">
        <f t="shared" si="367"/>
        <v>0</v>
      </c>
      <c r="AU628" s="2">
        <f t="shared" ref="AU628:BZ628" si="368">AU634</f>
        <v>1511.73</v>
      </c>
      <c r="AV628" s="2">
        <f t="shared" si="368"/>
        <v>0</v>
      </c>
      <c r="AW628" s="2">
        <f t="shared" si="368"/>
        <v>0</v>
      </c>
      <c r="AX628" s="2">
        <f t="shared" si="368"/>
        <v>0</v>
      </c>
      <c r="AY628" s="2">
        <f t="shared" si="368"/>
        <v>0</v>
      </c>
      <c r="AZ628" s="2">
        <f t="shared" si="368"/>
        <v>0</v>
      </c>
      <c r="BA628" s="2">
        <f t="shared" si="368"/>
        <v>0</v>
      </c>
      <c r="BB628" s="2">
        <f t="shared" si="368"/>
        <v>0</v>
      </c>
      <c r="BC628" s="2">
        <f t="shared" si="368"/>
        <v>0</v>
      </c>
      <c r="BD628" s="2">
        <f t="shared" si="368"/>
        <v>0</v>
      </c>
      <c r="BE628" s="2">
        <f t="shared" si="368"/>
        <v>0</v>
      </c>
      <c r="BF628" s="2">
        <f t="shared" si="368"/>
        <v>0</v>
      </c>
      <c r="BG628" s="2">
        <f t="shared" si="368"/>
        <v>0</v>
      </c>
      <c r="BH628" s="2">
        <f t="shared" si="368"/>
        <v>0</v>
      </c>
      <c r="BI628" s="2">
        <f t="shared" si="368"/>
        <v>0</v>
      </c>
      <c r="BJ628" s="2">
        <f t="shared" si="368"/>
        <v>0</v>
      </c>
      <c r="BK628" s="2">
        <f t="shared" si="368"/>
        <v>0</v>
      </c>
      <c r="BL628" s="2">
        <f t="shared" si="368"/>
        <v>0</v>
      </c>
      <c r="BM628" s="2">
        <f t="shared" si="368"/>
        <v>0</v>
      </c>
      <c r="BN628" s="2">
        <f t="shared" si="368"/>
        <v>0</v>
      </c>
      <c r="BO628" s="2">
        <f t="shared" si="368"/>
        <v>0</v>
      </c>
      <c r="BP628" s="2">
        <f t="shared" si="368"/>
        <v>0</v>
      </c>
      <c r="BQ628" s="2">
        <f t="shared" si="368"/>
        <v>0</v>
      </c>
      <c r="BR628" s="2">
        <f t="shared" si="368"/>
        <v>0</v>
      </c>
      <c r="BS628" s="2">
        <f t="shared" si="368"/>
        <v>0</v>
      </c>
      <c r="BT628" s="2">
        <f t="shared" si="368"/>
        <v>0</v>
      </c>
      <c r="BU628" s="2">
        <f t="shared" si="368"/>
        <v>0</v>
      </c>
      <c r="BV628" s="2">
        <f t="shared" si="368"/>
        <v>0</v>
      </c>
      <c r="BW628" s="2">
        <f t="shared" si="368"/>
        <v>0</v>
      </c>
      <c r="BX628" s="2">
        <f t="shared" si="368"/>
        <v>0</v>
      </c>
      <c r="BY628" s="2">
        <f t="shared" si="368"/>
        <v>0</v>
      </c>
      <c r="BZ628" s="2">
        <f t="shared" si="368"/>
        <v>0</v>
      </c>
      <c r="CA628" s="2">
        <f t="shared" ref="CA628:DF628" si="369">CA634</f>
        <v>1511.73</v>
      </c>
      <c r="CB628" s="2">
        <f t="shared" si="369"/>
        <v>0</v>
      </c>
      <c r="CC628" s="2">
        <f t="shared" si="369"/>
        <v>0</v>
      </c>
      <c r="CD628" s="2">
        <f t="shared" si="369"/>
        <v>1511.73</v>
      </c>
      <c r="CE628" s="2">
        <f t="shared" si="369"/>
        <v>0</v>
      </c>
      <c r="CF628" s="2">
        <f t="shared" si="369"/>
        <v>0</v>
      </c>
      <c r="CG628" s="2">
        <f t="shared" si="369"/>
        <v>0</v>
      </c>
      <c r="CH628" s="2">
        <f t="shared" si="369"/>
        <v>0</v>
      </c>
      <c r="CI628" s="2">
        <f t="shared" si="369"/>
        <v>0</v>
      </c>
      <c r="CJ628" s="2">
        <f t="shared" si="369"/>
        <v>0</v>
      </c>
      <c r="CK628" s="2">
        <f t="shared" si="369"/>
        <v>0</v>
      </c>
      <c r="CL628" s="2">
        <f t="shared" si="369"/>
        <v>0</v>
      </c>
      <c r="CM628" s="2">
        <f t="shared" si="369"/>
        <v>0</v>
      </c>
      <c r="CN628" s="2">
        <f t="shared" si="369"/>
        <v>0</v>
      </c>
      <c r="CO628" s="2">
        <f t="shared" si="369"/>
        <v>0</v>
      </c>
      <c r="CP628" s="2">
        <f t="shared" si="369"/>
        <v>0</v>
      </c>
      <c r="CQ628" s="2">
        <f t="shared" si="369"/>
        <v>0</v>
      </c>
      <c r="CR628" s="2">
        <f t="shared" si="369"/>
        <v>0</v>
      </c>
      <c r="CS628" s="2">
        <f t="shared" si="369"/>
        <v>0</v>
      </c>
      <c r="CT628" s="2">
        <f t="shared" si="369"/>
        <v>0</v>
      </c>
      <c r="CU628" s="2">
        <f t="shared" si="369"/>
        <v>0</v>
      </c>
      <c r="CV628" s="2">
        <f t="shared" si="369"/>
        <v>0</v>
      </c>
      <c r="CW628" s="2">
        <f t="shared" si="369"/>
        <v>0</v>
      </c>
      <c r="CX628" s="2">
        <f t="shared" si="369"/>
        <v>0</v>
      </c>
      <c r="CY628" s="2">
        <f t="shared" si="369"/>
        <v>0</v>
      </c>
      <c r="CZ628" s="2">
        <f t="shared" si="369"/>
        <v>0</v>
      </c>
      <c r="DA628" s="2">
        <f t="shared" si="369"/>
        <v>0</v>
      </c>
      <c r="DB628" s="2">
        <f t="shared" si="369"/>
        <v>0</v>
      </c>
      <c r="DC628" s="2">
        <f t="shared" si="369"/>
        <v>0</v>
      </c>
      <c r="DD628" s="2">
        <f t="shared" si="369"/>
        <v>0</v>
      </c>
      <c r="DE628" s="2">
        <f t="shared" si="369"/>
        <v>0</v>
      </c>
      <c r="DF628" s="2">
        <f t="shared" si="369"/>
        <v>0</v>
      </c>
      <c r="DG628" s="3">
        <f t="shared" ref="DG628:EL628" si="370">DG634</f>
        <v>0</v>
      </c>
      <c r="DH628" s="3">
        <f t="shared" si="370"/>
        <v>0</v>
      </c>
      <c r="DI628" s="3">
        <f t="shared" si="370"/>
        <v>0</v>
      </c>
      <c r="DJ628" s="3">
        <f t="shared" si="370"/>
        <v>0</v>
      </c>
      <c r="DK628" s="3">
        <f t="shared" si="370"/>
        <v>0</v>
      </c>
      <c r="DL628" s="3">
        <f t="shared" si="370"/>
        <v>0</v>
      </c>
      <c r="DM628" s="3">
        <f t="shared" si="370"/>
        <v>0</v>
      </c>
      <c r="DN628" s="3">
        <f t="shared" si="370"/>
        <v>0</v>
      </c>
      <c r="DO628" s="3">
        <f t="shared" si="370"/>
        <v>0</v>
      </c>
      <c r="DP628" s="3">
        <f t="shared" si="370"/>
        <v>0</v>
      </c>
      <c r="DQ628" s="3">
        <f t="shared" si="370"/>
        <v>0</v>
      </c>
      <c r="DR628" s="3">
        <f t="shared" si="370"/>
        <v>0</v>
      </c>
      <c r="DS628" s="3">
        <f t="shared" si="370"/>
        <v>0</v>
      </c>
      <c r="DT628" s="3">
        <f t="shared" si="370"/>
        <v>0</v>
      </c>
      <c r="DU628" s="3">
        <f t="shared" si="370"/>
        <v>0</v>
      </c>
      <c r="DV628" s="3">
        <f t="shared" si="370"/>
        <v>0</v>
      </c>
      <c r="DW628" s="3">
        <f t="shared" si="370"/>
        <v>0</v>
      </c>
      <c r="DX628" s="3">
        <f t="shared" si="370"/>
        <v>0</v>
      </c>
      <c r="DY628" s="3">
        <f t="shared" si="370"/>
        <v>0</v>
      </c>
      <c r="DZ628" s="3">
        <f t="shared" si="370"/>
        <v>0</v>
      </c>
      <c r="EA628" s="3">
        <f t="shared" si="370"/>
        <v>0</v>
      </c>
      <c r="EB628" s="3">
        <f t="shared" si="370"/>
        <v>0</v>
      </c>
      <c r="EC628" s="3">
        <f t="shared" si="370"/>
        <v>0</v>
      </c>
      <c r="ED628" s="3">
        <f t="shared" si="370"/>
        <v>0</v>
      </c>
      <c r="EE628" s="3">
        <f t="shared" si="370"/>
        <v>0</v>
      </c>
      <c r="EF628" s="3">
        <f t="shared" si="370"/>
        <v>0</v>
      </c>
      <c r="EG628" s="3">
        <f t="shared" si="370"/>
        <v>0</v>
      </c>
      <c r="EH628" s="3">
        <f t="shared" si="370"/>
        <v>0</v>
      </c>
      <c r="EI628" s="3">
        <f t="shared" si="370"/>
        <v>0</v>
      </c>
      <c r="EJ628" s="3">
        <f t="shared" si="370"/>
        <v>0</v>
      </c>
      <c r="EK628" s="3">
        <f t="shared" si="370"/>
        <v>0</v>
      </c>
      <c r="EL628" s="3">
        <f t="shared" si="370"/>
        <v>0</v>
      </c>
      <c r="EM628" s="3">
        <f t="shared" ref="EM628:FR628" si="371">EM634</f>
        <v>0</v>
      </c>
      <c r="EN628" s="3">
        <f t="shared" si="371"/>
        <v>0</v>
      </c>
      <c r="EO628" s="3">
        <f t="shared" si="371"/>
        <v>0</v>
      </c>
      <c r="EP628" s="3">
        <f t="shared" si="371"/>
        <v>0</v>
      </c>
      <c r="EQ628" s="3">
        <f t="shared" si="371"/>
        <v>0</v>
      </c>
      <c r="ER628" s="3">
        <f t="shared" si="371"/>
        <v>0</v>
      </c>
      <c r="ES628" s="3">
        <f t="shared" si="371"/>
        <v>0</v>
      </c>
      <c r="ET628" s="3">
        <f t="shared" si="371"/>
        <v>0</v>
      </c>
      <c r="EU628" s="3">
        <f t="shared" si="371"/>
        <v>0</v>
      </c>
      <c r="EV628" s="3">
        <f t="shared" si="371"/>
        <v>0</v>
      </c>
      <c r="EW628" s="3">
        <f t="shared" si="371"/>
        <v>0</v>
      </c>
      <c r="EX628" s="3">
        <f t="shared" si="371"/>
        <v>0</v>
      </c>
      <c r="EY628" s="3">
        <f t="shared" si="371"/>
        <v>0</v>
      </c>
      <c r="EZ628" s="3">
        <f t="shared" si="371"/>
        <v>0</v>
      </c>
      <c r="FA628" s="3">
        <f t="shared" si="371"/>
        <v>0</v>
      </c>
      <c r="FB628" s="3">
        <f t="shared" si="371"/>
        <v>0</v>
      </c>
      <c r="FC628" s="3">
        <f t="shared" si="371"/>
        <v>0</v>
      </c>
      <c r="FD628" s="3">
        <f t="shared" si="371"/>
        <v>0</v>
      </c>
      <c r="FE628" s="3">
        <f t="shared" si="371"/>
        <v>0</v>
      </c>
      <c r="FF628" s="3">
        <f t="shared" si="371"/>
        <v>0</v>
      </c>
      <c r="FG628" s="3">
        <f t="shared" si="371"/>
        <v>0</v>
      </c>
      <c r="FH628" s="3">
        <f t="shared" si="371"/>
        <v>0</v>
      </c>
      <c r="FI628" s="3">
        <f t="shared" si="371"/>
        <v>0</v>
      </c>
      <c r="FJ628" s="3">
        <f t="shared" si="371"/>
        <v>0</v>
      </c>
      <c r="FK628" s="3">
        <f t="shared" si="371"/>
        <v>0</v>
      </c>
      <c r="FL628" s="3">
        <f t="shared" si="371"/>
        <v>0</v>
      </c>
      <c r="FM628" s="3">
        <f t="shared" si="371"/>
        <v>0</v>
      </c>
      <c r="FN628" s="3">
        <f t="shared" si="371"/>
        <v>0</v>
      </c>
      <c r="FO628" s="3">
        <f t="shared" si="371"/>
        <v>0</v>
      </c>
      <c r="FP628" s="3">
        <f t="shared" si="371"/>
        <v>0</v>
      </c>
      <c r="FQ628" s="3">
        <f t="shared" si="371"/>
        <v>0</v>
      </c>
      <c r="FR628" s="3">
        <f t="shared" si="371"/>
        <v>0</v>
      </c>
      <c r="FS628" s="3">
        <f t="shared" ref="FS628:GX628" si="372">FS634</f>
        <v>0</v>
      </c>
      <c r="FT628" s="3">
        <f t="shared" si="372"/>
        <v>0</v>
      </c>
      <c r="FU628" s="3">
        <f t="shared" si="372"/>
        <v>0</v>
      </c>
      <c r="FV628" s="3">
        <f t="shared" si="372"/>
        <v>0</v>
      </c>
      <c r="FW628" s="3">
        <f t="shared" si="372"/>
        <v>0</v>
      </c>
      <c r="FX628" s="3">
        <f t="shared" si="372"/>
        <v>0</v>
      </c>
      <c r="FY628" s="3">
        <f t="shared" si="372"/>
        <v>0</v>
      </c>
      <c r="FZ628" s="3">
        <f t="shared" si="372"/>
        <v>0</v>
      </c>
      <c r="GA628" s="3">
        <f t="shared" si="372"/>
        <v>0</v>
      </c>
      <c r="GB628" s="3">
        <f t="shared" si="372"/>
        <v>0</v>
      </c>
      <c r="GC628" s="3">
        <f t="shared" si="372"/>
        <v>0</v>
      </c>
      <c r="GD628" s="3">
        <f t="shared" si="372"/>
        <v>0</v>
      </c>
      <c r="GE628" s="3">
        <f t="shared" si="372"/>
        <v>0</v>
      </c>
      <c r="GF628" s="3">
        <f t="shared" si="372"/>
        <v>0</v>
      </c>
      <c r="GG628" s="3">
        <f t="shared" si="372"/>
        <v>0</v>
      </c>
      <c r="GH628" s="3">
        <f t="shared" si="372"/>
        <v>0</v>
      </c>
      <c r="GI628" s="3">
        <f t="shared" si="372"/>
        <v>0</v>
      </c>
      <c r="GJ628" s="3">
        <f t="shared" si="372"/>
        <v>0</v>
      </c>
      <c r="GK628" s="3">
        <f t="shared" si="372"/>
        <v>0</v>
      </c>
      <c r="GL628" s="3">
        <f t="shared" si="372"/>
        <v>0</v>
      </c>
      <c r="GM628" s="3">
        <f t="shared" si="372"/>
        <v>0</v>
      </c>
      <c r="GN628" s="3">
        <f t="shared" si="372"/>
        <v>0</v>
      </c>
      <c r="GO628" s="3">
        <f t="shared" si="372"/>
        <v>0</v>
      </c>
      <c r="GP628" s="3">
        <f t="shared" si="372"/>
        <v>0</v>
      </c>
      <c r="GQ628" s="3">
        <f t="shared" si="372"/>
        <v>0</v>
      </c>
      <c r="GR628" s="3">
        <f t="shared" si="372"/>
        <v>0</v>
      </c>
      <c r="GS628" s="3">
        <f t="shared" si="372"/>
        <v>0</v>
      </c>
      <c r="GT628" s="3">
        <f t="shared" si="372"/>
        <v>0</v>
      </c>
      <c r="GU628" s="3">
        <f t="shared" si="372"/>
        <v>0</v>
      </c>
      <c r="GV628" s="3">
        <f t="shared" si="372"/>
        <v>0</v>
      </c>
      <c r="GW628" s="3">
        <f t="shared" si="372"/>
        <v>0</v>
      </c>
      <c r="GX628" s="3">
        <f t="shared" si="372"/>
        <v>0</v>
      </c>
    </row>
    <row r="630" spans="1:245" x14ac:dyDescent="0.2">
      <c r="A630">
        <v>17</v>
      </c>
      <c r="B630">
        <v>1</v>
      </c>
      <c r="C630">
        <f>ROW(SmtRes!A206)</f>
        <v>206</v>
      </c>
      <c r="D630">
        <f>ROW(EtalonRes!A187)</f>
        <v>187</v>
      </c>
      <c r="E630" t="s">
        <v>311</v>
      </c>
      <c r="F630" t="s">
        <v>312</v>
      </c>
      <c r="G630" t="s">
        <v>313</v>
      </c>
      <c r="H630" t="s">
        <v>68</v>
      </c>
      <c r="I630">
        <v>0.64500000000000002</v>
      </c>
      <c r="J630">
        <v>0</v>
      </c>
      <c r="K630">
        <v>0.64500000000000002</v>
      </c>
      <c r="O630">
        <f>ROUND(CP630,2)</f>
        <v>76.03</v>
      </c>
      <c r="P630">
        <f>ROUND(CQ630*I630,2)</f>
        <v>0</v>
      </c>
      <c r="Q630">
        <f>ROUND(CR630*I630,2)</f>
        <v>76.03</v>
      </c>
      <c r="R630">
        <f>ROUND(CS630*I630,2)</f>
        <v>32.57</v>
      </c>
      <c r="S630">
        <f>ROUND(CT630*I630,2)</f>
        <v>0</v>
      </c>
      <c r="T630">
        <f>ROUND(CU630*I630,2)</f>
        <v>0</v>
      </c>
      <c r="U630">
        <f>CV630*I630</f>
        <v>0</v>
      </c>
      <c r="V630">
        <f>CW630*I630</f>
        <v>0</v>
      </c>
      <c r="W630">
        <f>ROUND(CX630*I630,2)</f>
        <v>0</v>
      </c>
      <c r="X630">
        <f t="shared" ref="X630:Y632" si="373">ROUND(CY630,2)</f>
        <v>0</v>
      </c>
      <c r="Y630">
        <f t="shared" si="373"/>
        <v>0</v>
      </c>
      <c r="AA630">
        <v>75700856</v>
      </c>
      <c r="AB630">
        <f>ROUND((AC630+AD630+AF630),6)</f>
        <v>117.87</v>
      </c>
      <c r="AC630">
        <f>ROUND((ES630),6)</f>
        <v>0</v>
      </c>
      <c r="AD630">
        <f>ROUND((((ET630)-(EU630))+AE630),6)</f>
        <v>117.87</v>
      </c>
      <c r="AE630">
        <f>ROUND((EU630),6)</f>
        <v>50.5</v>
      </c>
      <c r="AF630">
        <f>ROUND((EV630),6)</f>
        <v>0</v>
      </c>
      <c r="AG630">
        <f>ROUND((AP630),6)</f>
        <v>0</v>
      </c>
      <c r="AH630">
        <f>(EW630)</f>
        <v>0</v>
      </c>
      <c r="AI630">
        <f>(EX630)</f>
        <v>0</v>
      </c>
      <c r="AJ630">
        <f>(AS630)</f>
        <v>0</v>
      </c>
      <c r="AK630">
        <v>117.87</v>
      </c>
      <c r="AL630">
        <v>0</v>
      </c>
      <c r="AM630">
        <v>117.87</v>
      </c>
      <c r="AN630">
        <v>50.5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70</v>
      </c>
      <c r="AU630">
        <v>10</v>
      </c>
      <c r="AV630">
        <v>1</v>
      </c>
      <c r="AW630">
        <v>1</v>
      </c>
      <c r="AZ630">
        <v>1</v>
      </c>
      <c r="BA630">
        <v>1</v>
      </c>
      <c r="BB630">
        <v>1</v>
      </c>
      <c r="BC630">
        <v>1</v>
      </c>
      <c r="BD630" t="s">
        <v>3</v>
      </c>
      <c r="BE630" t="s">
        <v>3</v>
      </c>
      <c r="BF630" t="s">
        <v>3</v>
      </c>
      <c r="BG630" t="s">
        <v>3</v>
      </c>
      <c r="BH630">
        <v>0</v>
      </c>
      <c r="BI630">
        <v>4</v>
      </c>
      <c r="BJ630" t="s">
        <v>314</v>
      </c>
      <c r="BM630">
        <v>0</v>
      </c>
      <c r="BN630">
        <v>75371441</v>
      </c>
      <c r="BO630" t="s">
        <v>3</v>
      </c>
      <c r="BP630">
        <v>0</v>
      </c>
      <c r="BQ630">
        <v>1</v>
      </c>
      <c r="BR630">
        <v>0</v>
      </c>
      <c r="BS630">
        <v>1</v>
      </c>
      <c r="BT630">
        <v>1</v>
      </c>
      <c r="BU630">
        <v>1</v>
      </c>
      <c r="BV630">
        <v>1</v>
      </c>
      <c r="BW630">
        <v>1</v>
      </c>
      <c r="BX630">
        <v>1</v>
      </c>
      <c r="BY630" t="s">
        <v>3</v>
      </c>
      <c r="BZ630">
        <v>70</v>
      </c>
      <c r="CA630">
        <v>10</v>
      </c>
      <c r="CB630" t="s">
        <v>3</v>
      </c>
      <c r="CE630">
        <v>0</v>
      </c>
      <c r="CF630">
        <v>0</v>
      </c>
      <c r="CG630">
        <v>0</v>
      </c>
      <c r="CM630">
        <v>0</v>
      </c>
      <c r="CN630" t="s">
        <v>3</v>
      </c>
      <c r="CO630">
        <v>0</v>
      </c>
      <c r="CP630">
        <f>(P630+Q630+S630)</f>
        <v>76.03</v>
      </c>
      <c r="CQ630">
        <f>(AC630*BC630*AW630)</f>
        <v>0</v>
      </c>
      <c r="CR630">
        <f>((((ET630)*BB630-(EU630)*BS630)+AE630*BS630)*AV630)</f>
        <v>117.87</v>
      </c>
      <c r="CS630">
        <f>(AE630*BS630*AV630)</f>
        <v>50.5</v>
      </c>
      <c r="CT630">
        <f>(AF630*BA630*AV630)</f>
        <v>0</v>
      </c>
      <c r="CU630">
        <f>AG630</f>
        <v>0</v>
      </c>
      <c r="CV630">
        <f>(AH630*AV630)</f>
        <v>0</v>
      </c>
      <c r="CW630">
        <f t="shared" ref="CW630:CX632" si="374">AI630</f>
        <v>0</v>
      </c>
      <c r="CX630">
        <f t="shared" si="374"/>
        <v>0</v>
      </c>
      <c r="CY630">
        <f>((S630*BZ630)/100)</f>
        <v>0</v>
      </c>
      <c r="CZ630">
        <f>((S630*CA630)/100)</f>
        <v>0</v>
      </c>
      <c r="DC630" t="s">
        <v>3</v>
      </c>
      <c r="DD630" t="s">
        <v>3</v>
      </c>
      <c r="DE630" t="s">
        <v>3</v>
      </c>
      <c r="DF630" t="s">
        <v>3</v>
      </c>
      <c r="DG630" t="s">
        <v>3</v>
      </c>
      <c r="DH630" t="s">
        <v>3</v>
      </c>
      <c r="DI630" t="s">
        <v>3</v>
      </c>
      <c r="DJ630" t="s">
        <v>3</v>
      </c>
      <c r="DK630" t="s">
        <v>3</v>
      </c>
      <c r="DL630" t="s">
        <v>3</v>
      </c>
      <c r="DM630" t="s">
        <v>3</v>
      </c>
      <c r="DN630">
        <v>0</v>
      </c>
      <c r="DO630">
        <v>0</v>
      </c>
      <c r="DP630">
        <v>1</v>
      </c>
      <c r="DQ630">
        <v>1</v>
      </c>
      <c r="DU630">
        <v>1009</v>
      </c>
      <c r="DV630" t="s">
        <v>68</v>
      </c>
      <c r="DW630" t="s">
        <v>68</v>
      </c>
      <c r="DX630">
        <v>1000</v>
      </c>
      <c r="DZ630" t="s">
        <v>3</v>
      </c>
      <c r="EA630" t="s">
        <v>3</v>
      </c>
      <c r="EB630" t="s">
        <v>3</v>
      </c>
      <c r="EC630" t="s">
        <v>3</v>
      </c>
      <c r="EE630">
        <v>75371444</v>
      </c>
      <c r="EF630">
        <v>1</v>
      </c>
      <c r="EG630" t="s">
        <v>22</v>
      </c>
      <c r="EH630">
        <v>0</v>
      </c>
      <c r="EI630" t="s">
        <v>3</v>
      </c>
      <c r="EJ630">
        <v>4</v>
      </c>
      <c r="EK630">
        <v>0</v>
      </c>
      <c r="EL630" t="s">
        <v>23</v>
      </c>
      <c r="EM630" t="s">
        <v>24</v>
      </c>
      <c r="EO630" t="s">
        <v>3</v>
      </c>
      <c r="EQ630">
        <v>0</v>
      </c>
      <c r="ER630">
        <v>117.87</v>
      </c>
      <c r="ES630">
        <v>0</v>
      </c>
      <c r="ET630">
        <v>117.87</v>
      </c>
      <c r="EU630">
        <v>50.5</v>
      </c>
      <c r="EV630">
        <v>0</v>
      </c>
      <c r="EW630">
        <v>0</v>
      </c>
      <c r="EX630">
        <v>0</v>
      </c>
      <c r="EY630">
        <v>0</v>
      </c>
      <c r="FQ630">
        <v>0</v>
      </c>
      <c r="FR630">
        <f>ROUND(IF(BI630=3,GM630,0),2)</f>
        <v>0</v>
      </c>
      <c r="FS630">
        <v>0</v>
      </c>
      <c r="FX630">
        <v>70</v>
      </c>
      <c r="FY630">
        <v>10</v>
      </c>
      <c r="GA630" t="s">
        <v>3</v>
      </c>
      <c r="GD630">
        <v>0</v>
      </c>
      <c r="GF630">
        <v>202864010</v>
      </c>
      <c r="GG630">
        <v>2</v>
      </c>
      <c r="GH630">
        <v>1</v>
      </c>
      <c r="GI630">
        <v>-2</v>
      </c>
      <c r="GJ630">
        <v>0</v>
      </c>
      <c r="GK630">
        <f>ROUND(R630*(R12)/100,2)</f>
        <v>35.18</v>
      </c>
      <c r="GL630">
        <f>ROUND(IF(AND(BH630=3,BI630=3,FS630&lt;&gt;0),P630,0),2)</f>
        <v>0</v>
      </c>
      <c r="GM630">
        <f>ROUND(O630+X630+Y630+GK630,2)+GX630</f>
        <v>111.21</v>
      </c>
      <c r="GN630">
        <f>IF(OR(BI630=0,BI630=1),GM630-GX630,0)</f>
        <v>0</v>
      </c>
      <c r="GO630">
        <f>IF(BI630=2,GM630-GX630,0)</f>
        <v>0</v>
      </c>
      <c r="GP630">
        <f>IF(BI630=4,GM630-GX630,0)</f>
        <v>111.21</v>
      </c>
      <c r="GR630">
        <v>0</v>
      </c>
      <c r="GS630">
        <v>3</v>
      </c>
      <c r="GT630">
        <v>0</v>
      </c>
      <c r="GU630" t="s">
        <v>3</v>
      </c>
      <c r="GV630">
        <f>ROUND((GT630),6)</f>
        <v>0</v>
      </c>
      <c r="GW630">
        <v>1</v>
      </c>
      <c r="GX630">
        <f>ROUND(HC630*I630,2)</f>
        <v>0</v>
      </c>
      <c r="HA630">
        <v>0</v>
      </c>
      <c r="HB630">
        <v>0</v>
      </c>
      <c r="HC630">
        <f>GV630*GW630</f>
        <v>0</v>
      </c>
      <c r="HE630" t="s">
        <v>3</v>
      </c>
      <c r="HF630" t="s">
        <v>3</v>
      </c>
      <c r="HM630" t="s">
        <v>3</v>
      </c>
      <c r="HN630" t="s">
        <v>3</v>
      </c>
      <c r="HO630" t="s">
        <v>3</v>
      </c>
      <c r="HP630" t="s">
        <v>3</v>
      </c>
      <c r="HQ630" t="s">
        <v>3</v>
      </c>
      <c r="IK630">
        <v>0</v>
      </c>
    </row>
    <row r="631" spans="1:245" x14ac:dyDescent="0.2">
      <c r="A631">
        <v>17</v>
      </c>
      <c r="B631">
        <v>1</v>
      </c>
      <c r="C631">
        <f>ROW(SmtRes!A208)</f>
        <v>208</v>
      </c>
      <c r="D631">
        <f>ROW(EtalonRes!A189)</f>
        <v>189</v>
      </c>
      <c r="E631" t="s">
        <v>315</v>
      </c>
      <c r="F631" t="s">
        <v>316</v>
      </c>
      <c r="G631" t="s">
        <v>317</v>
      </c>
      <c r="H631" t="s">
        <v>68</v>
      </c>
      <c r="I631">
        <f>ROUND(I630,9)</f>
        <v>0.64500000000000002</v>
      </c>
      <c r="J631">
        <v>0</v>
      </c>
      <c r="K631">
        <f>ROUND(I630,9)</f>
        <v>0.64500000000000002</v>
      </c>
      <c r="O631">
        <f>ROUND(CP631,2)</f>
        <v>59.02</v>
      </c>
      <c r="P631">
        <f>ROUND(CQ631*I631,2)</f>
        <v>0</v>
      </c>
      <c r="Q631">
        <f>ROUND(CR631*I631,2)</f>
        <v>59.02</v>
      </c>
      <c r="R631">
        <f>ROUND(CS631*I631,2)</f>
        <v>35.979999999999997</v>
      </c>
      <c r="S631">
        <f>ROUND(CT631*I631,2)</f>
        <v>0</v>
      </c>
      <c r="T631">
        <f>ROUND(CU631*I631,2)</f>
        <v>0</v>
      </c>
      <c r="U631">
        <f>CV631*I631</f>
        <v>0</v>
      </c>
      <c r="V631">
        <f>CW631*I631</f>
        <v>0</v>
      </c>
      <c r="W631">
        <f>ROUND(CX631*I631,2)</f>
        <v>0</v>
      </c>
      <c r="X631">
        <f t="shared" si="373"/>
        <v>0</v>
      </c>
      <c r="Y631">
        <f t="shared" si="373"/>
        <v>0</v>
      </c>
      <c r="AA631">
        <v>75700856</v>
      </c>
      <c r="AB631">
        <f>ROUND((AC631+AD631+AF631),6)</f>
        <v>91.5</v>
      </c>
      <c r="AC631">
        <f>ROUND((ES631),6)</f>
        <v>0</v>
      </c>
      <c r="AD631">
        <f>ROUND((((ET631)-(EU631))+AE631),6)</f>
        <v>91.5</v>
      </c>
      <c r="AE631">
        <f>ROUND((EU631),6)</f>
        <v>55.79</v>
      </c>
      <c r="AF631">
        <f>ROUND((EV631),6)</f>
        <v>0</v>
      </c>
      <c r="AG631">
        <f>ROUND((AP631),6)</f>
        <v>0</v>
      </c>
      <c r="AH631">
        <f>(EW631)</f>
        <v>0</v>
      </c>
      <c r="AI631">
        <f>(EX631)</f>
        <v>0</v>
      </c>
      <c r="AJ631">
        <f>(AS631)</f>
        <v>0</v>
      </c>
      <c r="AK631">
        <v>91.5</v>
      </c>
      <c r="AL631">
        <v>0</v>
      </c>
      <c r="AM631">
        <v>91.5</v>
      </c>
      <c r="AN631">
        <v>55.79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1</v>
      </c>
      <c r="AW631">
        <v>1</v>
      </c>
      <c r="AZ631">
        <v>1</v>
      </c>
      <c r="BA631">
        <v>1</v>
      </c>
      <c r="BB631">
        <v>1</v>
      </c>
      <c r="BC631">
        <v>1</v>
      </c>
      <c r="BD631" t="s">
        <v>3</v>
      </c>
      <c r="BE631" t="s">
        <v>3</v>
      </c>
      <c r="BF631" t="s">
        <v>3</v>
      </c>
      <c r="BG631" t="s">
        <v>3</v>
      </c>
      <c r="BH631">
        <v>0</v>
      </c>
      <c r="BI631">
        <v>4</v>
      </c>
      <c r="BJ631" t="s">
        <v>318</v>
      </c>
      <c r="BM631">
        <v>1</v>
      </c>
      <c r="BN631">
        <v>75371441</v>
      </c>
      <c r="BO631" t="s">
        <v>3</v>
      </c>
      <c r="BP631">
        <v>0</v>
      </c>
      <c r="BQ631">
        <v>1</v>
      </c>
      <c r="BR631">
        <v>0</v>
      </c>
      <c r="BS631">
        <v>1</v>
      </c>
      <c r="BT631">
        <v>1</v>
      </c>
      <c r="BU631">
        <v>1</v>
      </c>
      <c r="BV631">
        <v>1</v>
      </c>
      <c r="BW631">
        <v>1</v>
      </c>
      <c r="BX631">
        <v>1</v>
      </c>
      <c r="BY631" t="s">
        <v>3</v>
      </c>
      <c r="BZ631">
        <v>0</v>
      </c>
      <c r="CA631">
        <v>0</v>
      </c>
      <c r="CB631" t="s">
        <v>3</v>
      </c>
      <c r="CE631">
        <v>0</v>
      </c>
      <c r="CF631">
        <v>0</v>
      </c>
      <c r="CG631">
        <v>0</v>
      </c>
      <c r="CM631">
        <v>0</v>
      </c>
      <c r="CN631" t="s">
        <v>3</v>
      </c>
      <c r="CO631">
        <v>0</v>
      </c>
      <c r="CP631">
        <f>(P631+Q631+S631)</f>
        <v>59.02</v>
      </c>
      <c r="CQ631">
        <f>(AC631*BC631*AW631)</f>
        <v>0</v>
      </c>
      <c r="CR631">
        <f>((((ET631)*BB631-(EU631)*BS631)+AE631*BS631)*AV631)</f>
        <v>91.5</v>
      </c>
      <c r="CS631">
        <f>(AE631*BS631*AV631)</f>
        <v>55.79</v>
      </c>
      <c r="CT631">
        <f>(AF631*BA631*AV631)</f>
        <v>0</v>
      </c>
      <c r="CU631">
        <f>AG631</f>
        <v>0</v>
      </c>
      <c r="CV631">
        <f>(AH631*AV631)</f>
        <v>0</v>
      </c>
      <c r="CW631">
        <f t="shared" si="374"/>
        <v>0</v>
      </c>
      <c r="CX631">
        <f t="shared" si="374"/>
        <v>0</v>
      </c>
      <c r="CY631">
        <f>((S631*BZ631)/100)</f>
        <v>0</v>
      </c>
      <c r="CZ631">
        <f>((S631*CA631)/100)</f>
        <v>0</v>
      </c>
      <c r="DC631" t="s">
        <v>3</v>
      </c>
      <c r="DD631" t="s">
        <v>3</v>
      </c>
      <c r="DE631" t="s">
        <v>3</v>
      </c>
      <c r="DF631" t="s">
        <v>3</v>
      </c>
      <c r="DG631" t="s">
        <v>3</v>
      </c>
      <c r="DH631" t="s">
        <v>3</v>
      </c>
      <c r="DI631" t="s">
        <v>3</v>
      </c>
      <c r="DJ631" t="s">
        <v>3</v>
      </c>
      <c r="DK631" t="s">
        <v>3</v>
      </c>
      <c r="DL631" t="s">
        <v>3</v>
      </c>
      <c r="DM631" t="s">
        <v>3</v>
      </c>
      <c r="DN631">
        <v>0</v>
      </c>
      <c r="DO631">
        <v>0</v>
      </c>
      <c r="DP631">
        <v>1</v>
      </c>
      <c r="DQ631">
        <v>1</v>
      </c>
      <c r="DU631">
        <v>1009</v>
      </c>
      <c r="DV631" t="s">
        <v>68</v>
      </c>
      <c r="DW631" t="s">
        <v>68</v>
      </c>
      <c r="DX631">
        <v>1000</v>
      </c>
      <c r="DZ631" t="s">
        <v>3</v>
      </c>
      <c r="EA631" t="s">
        <v>3</v>
      </c>
      <c r="EB631" t="s">
        <v>3</v>
      </c>
      <c r="EC631" t="s">
        <v>3</v>
      </c>
      <c r="EE631">
        <v>75371446</v>
      </c>
      <c r="EF631">
        <v>1</v>
      </c>
      <c r="EG631" t="s">
        <v>22</v>
      </c>
      <c r="EH631">
        <v>0</v>
      </c>
      <c r="EI631" t="s">
        <v>3</v>
      </c>
      <c r="EJ631">
        <v>4</v>
      </c>
      <c r="EK631">
        <v>1</v>
      </c>
      <c r="EL631" t="s">
        <v>319</v>
      </c>
      <c r="EM631" t="s">
        <v>24</v>
      </c>
      <c r="EO631" t="s">
        <v>3</v>
      </c>
      <c r="EQ631">
        <v>0</v>
      </c>
      <c r="ER631">
        <v>91.5</v>
      </c>
      <c r="ES631">
        <v>0</v>
      </c>
      <c r="ET631">
        <v>91.5</v>
      </c>
      <c r="EU631">
        <v>55.79</v>
      </c>
      <c r="EV631">
        <v>0</v>
      </c>
      <c r="EW631">
        <v>0</v>
      </c>
      <c r="EX631">
        <v>0</v>
      </c>
      <c r="EY631">
        <v>0</v>
      </c>
      <c r="FQ631">
        <v>0</v>
      </c>
      <c r="FR631">
        <f>ROUND(IF(BI631=3,GM631,0),2)</f>
        <v>0</v>
      </c>
      <c r="FS631">
        <v>0</v>
      </c>
      <c r="FX631">
        <v>0</v>
      </c>
      <c r="FY631">
        <v>0</v>
      </c>
      <c r="GA631" t="s">
        <v>3</v>
      </c>
      <c r="GD631">
        <v>1</v>
      </c>
      <c r="GF631">
        <v>877741387</v>
      </c>
      <c r="GG631">
        <v>2</v>
      </c>
      <c r="GH631">
        <v>1</v>
      </c>
      <c r="GI631">
        <v>-2</v>
      </c>
      <c r="GJ631">
        <v>0</v>
      </c>
      <c r="GK631">
        <v>0</v>
      </c>
      <c r="GL631">
        <f>ROUND(IF(AND(BH631=3,BI631=3,FS631&lt;&gt;0),P631,0),2)</f>
        <v>0</v>
      </c>
      <c r="GM631">
        <f>ROUND(O631+X631+Y631,2)+GX631</f>
        <v>59.02</v>
      </c>
      <c r="GN631">
        <f>IF(OR(BI631=0,BI631=1),GM631-GX631,0)</f>
        <v>0</v>
      </c>
      <c r="GO631">
        <f>IF(BI631=2,GM631-GX631,0)</f>
        <v>0</v>
      </c>
      <c r="GP631">
        <f>IF(BI631=4,GM631-GX631,0)</f>
        <v>59.02</v>
      </c>
      <c r="GR631">
        <v>0</v>
      </c>
      <c r="GS631">
        <v>3</v>
      </c>
      <c r="GT631">
        <v>0</v>
      </c>
      <c r="GU631" t="s">
        <v>3</v>
      </c>
      <c r="GV631">
        <f>ROUND((GT631),6)</f>
        <v>0</v>
      </c>
      <c r="GW631">
        <v>1</v>
      </c>
      <c r="GX631">
        <f>ROUND(HC631*I631,2)</f>
        <v>0</v>
      </c>
      <c r="HA631">
        <v>0</v>
      </c>
      <c r="HB631">
        <v>0</v>
      </c>
      <c r="HC631">
        <f>GV631*GW631</f>
        <v>0</v>
      </c>
      <c r="HE631" t="s">
        <v>3</v>
      </c>
      <c r="HF631" t="s">
        <v>3</v>
      </c>
      <c r="HM631" t="s">
        <v>3</v>
      </c>
      <c r="HN631" t="s">
        <v>3</v>
      </c>
      <c r="HO631" t="s">
        <v>3</v>
      </c>
      <c r="HP631" t="s">
        <v>3</v>
      </c>
      <c r="HQ631" t="s">
        <v>3</v>
      </c>
      <c r="IK631">
        <v>0</v>
      </c>
    </row>
    <row r="632" spans="1:245" x14ac:dyDescent="0.2">
      <c r="A632">
        <v>17</v>
      </c>
      <c r="B632">
        <v>1</v>
      </c>
      <c r="C632">
        <f>ROW(SmtRes!A210)</f>
        <v>210</v>
      </c>
      <c r="D632">
        <f>ROW(EtalonRes!A191)</f>
        <v>191</v>
      </c>
      <c r="E632" t="s">
        <v>320</v>
      </c>
      <c r="F632" t="s">
        <v>321</v>
      </c>
      <c r="G632" t="s">
        <v>322</v>
      </c>
      <c r="H632" t="s">
        <v>68</v>
      </c>
      <c r="I632">
        <f>ROUND(I630,9)</f>
        <v>0.64500000000000002</v>
      </c>
      <c r="J632">
        <v>0</v>
      </c>
      <c r="K632">
        <f>ROUND(I630,9)</f>
        <v>0.64500000000000002</v>
      </c>
      <c r="O632">
        <f>ROUND(CP632,2)</f>
        <v>1341.5</v>
      </c>
      <c r="P632">
        <f>ROUND(CQ632*I632,2)</f>
        <v>0</v>
      </c>
      <c r="Q632">
        <f>ROUND(CR632*I632,2)</f>
        <v>1341.5</v>
      </c>
      <c r="R632">
        <f>ROUND(CS632*I632,2)</f>
        <v>818.27</v>
      </c>
      <c r="S632">
        <f>ROUND(CT632*I632,2)</f>
        <v>0</v>
      </c>
      <c r="T632">
        <f>ROUND(CU632*I632,2)</f>
        <v>0</v>
      </c>
      <c r="U632">
        <f>CV632*I632</f>
        <v>0</v>
      </c>
      <c r="V632">
        <f>CW632*I632</f>
        <v>0</v>
      </c>
      <c r="W632">
        <f>ROUND(CX632*I632,2)</f>
        <v>0</v>
      </c>
      <c r="X632">
        <f t="shared" si="373"/>
        <v>0</v>
      </c>
      <c r="Y632">
        <f t="shared" si="373"/>
        <v>0</v>
      </c>
      <c r="AA632">
        <v>75700856</v>
      </c>
      <c r="AB632">
        <f>ROUND((AC632+AD632+AF632),6)</f>
        <v>2079.84</v>
      </c>
      <c r="AC632">
        <f>ROUND((ES632),6)</f>
        <v>0</v>
      </c>
      <c r="AD632">
        <f>ROUND(((((ET632*48))-((EU632*48)))+AE632),6)</f>
        <v>2079.84</v>
      </c>
      <c r="AE632">
        <f>ROUND(((EU632*48)),6)</f>
        <v>1268.6400000000001</v>
      </c>
      <c r="AF632">
        <f>ROUND(((EV632*48)),6)</f>
        <v>0</v>
      </c>
      <c r="AG632">
        <f>ROUND((AP632),6)</f>
        <v>0</v>
      </c>
      <c r="AH632">
        <f>((EW632*48))</f>
        <v>0</v>
      </c>
      <c r="AI632">
        <f>((EX632*48))</f>
        <v>0</v>
      </c>
      <c r="AJ632">
        <f>(AS632)</f>
        <v>0</v>
      </c>
      <c r="AK632">
        <v>43.33</v>
      </c>
      <c r="AL632">
        <v>0</v>
      </c>
      <c r="AM632">
        <v>43.33</v>
      </c>
      <c r="AN632">
        <v>26.43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1</v>
      </c>
      <c r="AW632">
        <v>1</v>
      </c>
      <c r="AZ632">
        <v>1</v>
      </c>
      <c r="BA632">
        <v>1</v>
      </c>
      <c r="BB632">
        <v>1</v>
      </c>
      <c r="BC632">
        <v>1</v>
      </c>
      <c r="BD632" t="s">
        <v>3</v>
      </c>
      <c r="BE632" t="s">
        <v>3</v>
      </c>
      <c r="BF632" t="s">
        <v>3</v>
      </c>
      <c r="BG632" t="s">
        <v>3</v>
      </c>
      <c r="BH632">
        <v>0</v>
      </c>
      <c r="BI632">
        <v>4</v>
      </c>
      <c r="BJ632" t="s">
        <v>323</v>
      </c>
      <c r="BM632">
        <v>1</v>
      </c>
      <c r="BN632">
        <v>75371441</v>
      </c>
      <c r="BO632" t="s">
        <v>3</v>
      </c>
      <c r="BP632">
        <v>0</v>
      </c>
      <c r="BQ632">
        <v>1</v>
      </c>
      <c r="BR632">
        <v>0</v>
      </c>
      <c r="BS632">
        <v>1</v>
      </c>
      <c r="BT632">
        <v>1</v>
      </c>
      <c r="BU632">
        <v>1</v>
      </c>
      <c r="BV632">
        <v>1</v>
      </c>
      <c r="BW632">
        <v>1</v>
      </c>
      <c r="BX632">
        <v>1</v>
      </c>
      <c r="BY632" t="s">
        <v>3</v>
      </c>
      <c r="BZ632">
        <v>0</v>
      </c>
      <c r="CA632">
        <v>0</v>
      </c>
      <c r="CB632" t="s">
        <v>3</v>
      </c>
      <c r="CE632">
        <v>0</v>
      </c>
      <c r="CF632">
        <v>0</v>
      </c>
      <c r="CG632">
        <v>0</v>
      </c>
      <c r="CM632">
        <v>0</v>
      </c>
      <c r="CN632" t="s">
        <v>3</v>
      </c>
      <c r="CO632">
        <v>0</v>
      </c>
      <c r="CP632">
        <f>(P632+Q632+S632)</f>
        <v>1341.5</v>
      </c>
      <c r="CQ632">
        <f>(AC632*BC632*AW632)</f>
        <v>0</v>
      </c>
      <c r="CR632">
        <f>(((((ET632*48))*BB632-((EU632*48))*BS632)+AE632*BS632)*AV632)</f>
        <v>2079.84</v>
      </c>
      <c r="CS632">
        <f>(AE632*BS632*AV632)</f>
        <v>1268.6400000000001</v>
      </c>
      <c r="CT632">
        <f>(AF632*BA632*AV632)</f>
        <v>0</v>
      </c>
      <c r="CU632">
        <f>AG632</f>
        <v>0</v>
      </c>
      <c r="CV632">
        <f>(AH632*AV632)</f>
        <v>0</v>
      </c>
      <c r="CW632">
        <f t="shared" si="374"/>
        <v>0</v>
      </c>
      <c r="CX632">
        <f t="shared" si="374"/>
        <v>0</v>
      </c>
      <c r="CY632">
        <f>((S632*BZ632)/100)</f>
        <v>0</v>
      </c>
      <c r="CZ632">
        <f>((S632*CA632)/100)</f>
        <v>0</v>
      </c>
      <c r="DC632" t="s">
        <v>3</v>
      </c>
      <c r="DD632" t="s">
        <v>3</v>
      </c>
      <c r="DE632" t="s">
        <v>324</v>
      </c>
      <c r="DF632" t="s">
        <v>324</v>
      </c>
      <c r="DG632" t="s">
        <v>324</v>
      </c>
      <c r="DH632" t="s">
        <v>3</v>
      </c>
      <c r="DI632" t="s">
        <v>324</v>
      </c>
      <c r="DJ632" t="s">
        <v>324</v>
      </c>
      <c r="DK632" t="s">
        <v>3</v>
      </c>
      <c r="DL632" t="s">
        <v>3</v>
      </c>
      <c r="DM632" t="s">
        <v>3</v>
      </c>
      <c r="DN632">
        <v>0</v>
      </c>
      <c r="DO632">
        <v>0</v>
      </c>
      <c r="DP632">
        <v>1</v>
      </c>
      <c r="DQ632">
        <v>1</v>
      </c>
      <c r="DU632">
        <v>1009</v>
      </c>
      <c r="DV632" t="s">
        <v>68</v>
      </c>
      <c r="DW632" t="s">
        <v>68</v>
      </c>
      <c r="DX632">
        <v>1000</v>
      </c>
      <c r="DZ632" t="s">
        <v>3</v>
      </c>
      <c r="EA632" t="s">
        <v>3</v>
      </c>
      <c r="EB632" t="s">
        <v>3</v>
      </c>
      <c r="EC632" t="s">
        <v>3</v>
      </c>
      <c r="EE632">
        <v>75371446</v>
      </c>
      <c r="EF632">
        <v>1</v>
      </c>
      <c r="EG632" t="s">
        <v>22</v>
      </c>
      <c r="EH632">
        <v>0</v>
      </c>
      <c r="EI632" t="s">
        <v>3</v>
      </c>
      <c r="EJ632">
        <v>4</v>
      </c>
      <c r="EK632">
        <v>1</v>
      </c>
      <c r="EL632" t="s">
        <v>319</v>
      </c>
      <c r="EM632" t="s">
        <v>24</v>
      </c>
      <c r="EO632" t="s">
        <v>3</v>
      </c>
      <c r="EQ632">
        <v>0</v>
      </c>
      <c r="ER632">
        <v>43.33</v>
      </c>
      <c r="ES632">
        <v>0</v>
      </c>
      <c r="ET632">
        <v>43.33</v>
      </c>
      <c r="EU632">
        <v>26.43</v>
      </c>
      <c r="EV632">
        <v>0</v>
      </c>
      <c r="EW632">
        <v>0</v>
      </c>
      <c r="EX632">
        <v>0</v>
      </c>
      <c r="EY632">
        <v>0</v>
      </c>
      <c r="FQ632">
        <v>0</v>
      </c>
      <c r="FR632">
        <f>ROUND(IF(BI632=3,GM632,0),2)</f>
        <v>0</v>
      </c>
      <c r="FS632">
        <v>0</v>
      </c>
      <c r="FX632">
        <v>0</v>
      </c>
      <c r="FY632">
        <v>0</v>
      </c>
      <c r="GA632" t="s">
        <v>3</v>
      </c>
      <c r="GD632">
        <v>1</v>
      </c>
      <c r="GF632">
        <v>134341046</v>
      </c>
      <c r="GG632">
        <v>2</v>
      </c>
      <c r="GH632">
        <v>1</v>
      </c>
      <c r="GI632">
        <v>-2</v>
      </c>
      <c r="GJ632">
        <v>0</v>
      </c>
      <c r="GK632">
        <v>0</v>
      </c>
      <c r="GL632">
        <f>ROUND(IF(AND(BH632=3,BI632=3,FS632&lt;&gt;0),P632,0),2)</f>
        <v>0</v>
      </c>
      <c r="GM632">
        <f>ROUND(O632+X632+Y632,2)+GX632</f>
        <v>1341.5</v>
      </c>
      <c r="GN632">
        <f>IF(OR(BI632=0,BI632=1),GM632-GX632,0)</f>
        <v>0</v>
      </c>
      <c r="GO632">
        <f>IF(BI632=2,GM632-GX632,0)</f>
        <v>0</v>
      </c>
      <c r="GP632">
        <f>IF(BI632=4,GM632-GX632,0)</f>
        <v>1341.5</v>
      </c>
      <c r="GR632">
        <v>0</v>
      </c>
      <c r="GS632">
        <v>3</v>
      </c>
      <c r="GT632">
        <v>0</v>
      </c>
      <c r="GU632" t="s">
        <v>3</v>
      </c>
      <c r="GV632">
        <f>ROUND((GT632),6)</f>
        <v>0</v>
      </c>
      <c r="GW632">
        <v>1</v>
      </c>
      <c r="GX632">
        <f>ROUND(HC632*I632,2)</f>
        <v>0</v>
      </c>
      <c r="HA632">
        <v>0</v>
      </c>
      <c r="HB632">
        <v>0</v>
      </c>
      <c r="HC632">
        <f>GV632*GW632</f>
        <v>0</v>
      </c>
      <c r="HE632" t="s">
        <v>3</v>
      </c>
      <c r="HF632" t="s">
        <v>3</v>
      </c>
      <c r="HM632" t="s">
        <v>3</v>
      </c>
      <c r="HN632" t="s">
        <v>3</v>
      </c>
      <c r="HO632" t="s">
        <v>3</v>
      </c>
      <c r="HP632" t="s">
        <v>3</v>
      </c>
      <c r="HQ632" t="s">
        <v>3</v>
      </c>
      <c r="IK632">
        <v>0</v>
      </c>
    </row>
    <row r="634" spans="1:245" x14ac:dyDescent="0.2">
      <c r="A634" s="2">
        <v>51</v>
      </c>
      <c r="B634" s="2">
        <f>B626</f>
        <v>1</v>
      </c>
      <c r="C634" s="2">
        <f>A626</f>
        <v>4</v>
      </c>
      <c r="D634" s="2">
        <f>ROW(A626)</f>
        <v>626</v>
      </c>
      <c r="E634" s="2"/>
      <c r="F634" s="2" t="str">
        <f>IF(F626&lt;&gt;"",F626,"")</f>
        <v>Новый раздел</v>
      </c>
      <c r="G634" s="2" t="str">
        <f>IF(G626&lt;&gt;"",G626,"")</f>
        <v>Мусор</v>
      </c>
      <c r="H634" s="2">
        <v>0</v>
      </c>
      <c r="I634" s="2"/>
      <c r="J634" s="2"/>
      <c r="K634" s="2"/>
      <c r="L634" s="2"/>
      <c r="M634" s="2"/>
      <c r="N634" s="2"/>
      <c r="O634" s="2">
        <f t="shared" ref="O634:T634" si="375">ROUND(AB634,2)</f>
        <v>1476.55</v>
      </c>
      <c r="P634" s="2">
        <f t="shared" si="375"/>
        <v>0</v>
      </c>
      <c r="Q634" s="2">
        <f t="shared" si="375"/>
        <v>1476.55</v>
      </c>
      <c r="R634" s="2">
        <f t="shared" si="375"/>
        <v>886.82</v>
      </c>
      <c r="S634" s="2">
        <f t="shared" si="375"/>
        <v>0</v>
      </c>
      <c r="T634" s="2">
        <f t="shared" si="375"/>
        <v>0</v>
      </c>
      <c r="U634" s="2">
        <f>AH634</f>
        <v>0</v>
      </c>
      <c r="V634" s="2">
        <f>AI634</f>
        <v>0</v>
      </c>
      <c r="W634" s="2">
        <f>ROUND(AJ634,2)</f>
        <v>0</v>
      </c>
      <c r="X634" s="2">
        <f>ROUND(AK634,2)</f>
        <v>0</v>
      </c>
      <c r="Y634" s="2">
        <f>ROUND(AL634,2)</f>
        <v>0</v>
      </c>
      <c r="Z634" s="2"/>
      <c r="AA634" s="2"/>
      <c r="AB634" s="2">
        <f>ROUND(SUMIF(AA630:AA632,"=75700856",O630:O632),2)</f>
        <v>1476.55</v>
      </c>
      <c r="AC634" s="2">
        <f>ROUND(SUMIF(AA630:AA632,"=75700856",P630:P632),2)</f>
        <v>0</v>
      </c>
      <c r="AD634" s="2">
        <f>ROUND(SUMIF(AA630:AA632,"=75700856",Q630:Q632),2)</f>
        <v>1476.55</v>
      </c>
      <c r="AE634" s="2">
        <f>ROUND(SUMIF(AA630:AA632,"=75700856",R630:R632),2)</f>
        <v>886.82</v>
      </c>
      <c r="AF634" s="2">
        <f>ROUND(SUMIF(AA630:AA632,"=75700856",S630:S632),2)</f>
        <v>0</v>
      </c>
      <c r="AG634" s="2">
        <f>ROUND(SUMIF(AA630:AA632,"=75700856",T630:T632),2)</f>
        <v>0</v>
      </c>
      <c r="AH634" s="2">
        <f>SUMIF(AA630:AA632,"=75700856",U630:U632)</f>
        <v>0</v>
      </c>
      <c r="AI634" s="2">
        <f>SUMIF(AA630:AA632,"=75700856",V630:V632)</f>
        <v>0</v>
      </c>
      <c r="AJ634" s="2">
        <f>ROUND(SUMIF(AA630:AA632,"=75700856",W630:W632),2)</f>
        <v>0</v>
      </c>
      <c r="AK634" s="2">
        <f>ROUND(SUMIF(AA630:AA632,"=75700856",X630:X632),2)</f>
        <v>0</v>
      </c>
      <c r="AL634" s="2">
        <f>ROUND(SUMIF(AA630:AA632,"=75700856",Y630:Y632),2)</f>
        <v>0</v>
      </c>
      <c r="AM634" s="2"/>
      <c r="AN634" s="2"/>
      <c r="AO634" s="2">
        <f t="shared" ref="AO634:BD634" si="376">ROUND(BX634,2)</f>
        <v>0</v>
      </c>
      <c r="AP634" s="2">
        <f t="shared" si="376"/>
        <v>0</v>
      </c>
      <c r="AQ634" s="2">
        <f t="shared" si="376"/>
        <v>0</v>
      </c>
      <c r="AR634" s="2">
        <f t="shared" si="376"/>
        <v>1511.73</v>
      </c>
      <c r="AS634" s="2">
        <f t="shared" si="376"/>
        <v>0</v>
      </c>
      <c r="AT634" s="2">
        <f t="shared" si="376"/>
        <v>0</v>
      </c>
      <c r="AU634" s="2">
        <f t="shared" si="376"/>
        <v>1511.73</v>
      </c>
      <c r="AV634" s="2">
        <f t="shared" si="376"/>
        <v>0</v>
      </c>
      <c r="AW634" s="2">
        <f t="shared" si="376"/>
        <v>0</v>
      </c>
      <c r="AX634" s="2">
        <f t="shared" si="376"/>
        <v>0</v>
      </c>
      <c r="AY634" s="2">
        <f t="shared" si="376"/>
        <v>0</v>
      </c>
      <c r="AZ634" s="2">
        <f t="shared" si="376"/>
        <v>0</v>
      </c>
      <c r="BA634" s="2">
        <f t="shared" si="376"/>
        <v>0</v>
      </c>
      <c r="BB634" s="2">
        <f t="shared" si="376"/>
        <v>0</v>
      </c>
      <c r="BC634" s="2">
        <f t="shared" si="376"/>
        <v>0</v>
      </c>
      <c r="BD634" s="2">
        <f t="shared" si="376"/>
        <v>0</v>
      </c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>
        <f>ROUND(SUMIF(AA630:AA632,"=75700856",FQ630:FQ632),2)</f>
        <v>0</v>
      </c>
      <c r="BY634" s="2">
        <f>ROUND(SUMIF(AA630:AA632,"=75700856",FR630:FR632),2)</f>
        <v>0</v>
      </c>
      <c r="BZ634" s="2">
        <f>ROUND(SUMIF(AA630:AA632,"=75700856",GL630:GL632),2)</f>
        <v>0</v>
      </c>
      <c r="CA634" s="2">
        <f>ROUND(SUMIF(AA630:AA632,"=75700856",GM630:GM632),2)</f>
        <v>1511.73</v>
      </c>
      <c r="CB634" s="2">
        <f>ROUND(SUMIF(AA630:AA632,"=75700856",GN630:GN632),2)</f>
        <v>0</v>
      </c>
      <c r="CC634" s="2">
        <f>ROUND(SUMIF(AA630:AA632,"=75700856",GO630:GO632),2)</f>
        <v>0</v>
      </c>
      <c r="CD634" s="2">
        <f>ROUND(SUMIF(AA630:AA632,"=75700856",GP630:GP632),2)</f>
        <v>1511.73</v>
      </c>
      <c r="CE634" s="2">
        <f>AC634-BX634</f>
        <v>0</v>
      </c>
      <c r="CF634" s="2">
        <f>AC634-BY634</f>
        <v>0</v>
      </c>
      <c r="CG634" s="2">
        <f>BX634-BZ634</f>
        <v>0</v>
      </c>
      <c r="CH634" s="2">
        <f>AC634-BX634-BY634+BZ634</f>
        <v>0</v>
      </c>
      <c r="CI634" s="2">
        <f>BY634-BZ634</f>
        <v>0</v>
      </c>
      <c r="CJ634" s="2">
        <f>ROUND(SUMIF(AA630:AA632,"=75700856",GX630:GX632),2)</f>
        <v>0</v>
      </c>
      <c r="CK634" s="2">
        <f>ROUND(SUMIF(AA630:AA632,"=75700856",GY630:GY632),2)</f>
        <v>0</v>
      </c>
      <c r="CL634" s="2">
        <f>ROUND(SUMIF(AA630:AA632,"=75700856",GZ630:GZ632),2)</f>
        <v>0</v>
      </c>
      <c r="CM634" s="2">
        <f>ROUND(SUMIF(AA630:AA632,"=75700856",HD630:HD632),2)</f>
        <v>0</v>
      </c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3"/>
      <c r="DH634" s="3"/>
      <c r="DI634" s="3"/>
      <c r="DJ634" s="3"/>
      <c r="DK634" s="3"/>
      <c r="DL634" s="3"/>
      <c r="DM634" s="3"/>
      <c r="DN634" s="3"/>
      <c r="DO634" s="3"/>
      <c r="DP634" s="3"/>
      <c r="DQ634" s="3"/>
      <c r="DR634" s="3"/>
      <c r="DS634" s="3"/>
      <c r="DT634" s="3"/>
      <c r="DU634" s="3"/>
      <c r="DV634" s="3"/>
      <c r="DW634" s="3"/>
      <c r="DX634" s="3"/>
      <c r="DY634" s="3"/>
      <c r="DZ634" s="3"/>
      <c r="EA634" s="3"/>
      <c r="EB634" s="3"/>
      <c r="EC634" s="3"/>
      <c r="ED634" s="3"/>
      <c r="EE634" s="3"/>
      <c r="EF634" s="3"/>
      <c r="EG634" s="3"/>
      <c r="EH634" s="3"/>
      <c r="EI634" s="3"/>
      <c r="EJ634" s="3"/>
      <c r="EK634" s="3"/>
      <c r="EL634" s="3"/>
      <c r="EM634" s="3"/>
      <c r="EN634" s="3"/>
      <c r="EO634" s="3"/>
      <c r="EP634" s="3"/>
      <c r="EQ634" s="3"/>
      <c r="ER634" s="3"/>
      <c r="ES634" s="3"/>
      <c r="ET634" s="3"/>
      <c r="EU634" s="3"/>
      <c r="EV634" s="3"/>
      <c r="EW634" s="3"/>
      <c r="EX634" s="3"/>
      <c r="EY634" s="3"/>
      <c r="EZ634" s="3"/>
      <c r="FA634" s="3"/>
      <c r="FB634" s="3"/>
      <c r="FC634" s="3"/>
      <c r="FD634" s="3"/>
      <c r="FE634" s="3"/>
      <c r="FF634" s="3"/>
      <c r="FG634" s="3"/>
      <c r="FH634" s="3"/>
      <c r="FI634" s="3"/>
      <c r="FJ634" s="3"/>
      <c r="FK634" s="3"/>
      <c r="FL634" s="3"/>
      <c r="FM634" s="3"/>
      <c r="FN634" s="3"/>
      <c r="FO634" s="3"/>
      <c r="FP634" s="3"/>
      <c r="FQ634" s="3"/>
      <c r="FR634" s="3"/>
      <c r="FS634" s="3"/>
      <c r="FT634" s="3"/>
      <c r="FU634" s="3"/>
      <c r="FV634" s="3"/>
      <c r="FW634" s="3"/>
      <c r="FX634" s="3"/>
      <c r="FY634" s="3"/>
      <c r="FZ634" s="3"/>
      <c r="GA634" s="3"/>
      <c r="GB634" s="3"/>
      <c r="GC634" s="3"/>
      <c r="GD634" s="3"/>
      <c r="GE634" s="3"/>
      <c r="GF634" s="3"/>
      <c r="GG634" s="3"/>
      <c r="GH634" s="3"/>
      <c r="GI634" s="3"/>
      <c r="GJ634" s="3"/>
      <c r="GK634" s="3"/>
      <c r="GL634" s="3"/>
      <c r="GM634" s="3"/>
      <c r="GN634" s="3"/>
      <c r="GO634" s="3"/>
      <c r="GP634" s="3"/>
      <c r="GQ634" s="3"/>
      <c r="GR634" s="3"/>
      <c r="GS634" s="3"/>
      <c r="GT634" s="3"/>
      <c r="GU634" s="3"/>
      <c r="GV634" s="3"/>
      <c r="GW634" s="3"/>
      <c r="GX634" s="3">
        <v>0</v>
      </c>
    </row>
    <row r="636" spans="1:245" x14ac:dyDescent="0.2">
      <c r="A636" s="4">
        <v>50</v>
      </c>
      <c r="B636" s="4">
        <v>0</v>
      </c>
      <c r="C636" s="4">
        <v>0</v>
      </c>
      <c r="D636" s="4">
        <v>1</v>
      </c>
      <c r="E636" s="4">
        <v>201</v>
      </c>
      <c r="F636" s="4">
        <f>ROUND(Source!O634,O636)</f>
        <v>1476.55</v>
      </c>
      <c r="G636" s="4" t="s">
        <v>74</v>
      </c>
      <c r="H636" s="4" t="s">
        <v>75</v>
      </c>
      <c r="I636" s="4"/>
      <c r="J636" s="4"/>
      <c r="K636" s="4">
        <v>201</v>
      </c>
      <c r="L636" s="4">
        <v>1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1476.55</v>
      </c>
      <c r="X636" s="4">
        <v>1</v>
      </c>
      <c r="Y636" s="4">
        <v>1476.55</v>
      </c>
      <c r="Z636" s="4"/>
      <c r="AA636" s="4"/>
      <c r="AB636" s="4"/>
    </row>
    <row r="637" spans="1:245" x14ac:dyDescent="0.2">
      <c r="A637" s="4">
        <v>50</v>
      </c>
      <c r="B637" s="4">
        <v>0</v>
      </c>
      <c r="C637" s="4">
        <v>0</v>
      </c>
      <c r="D637" s="4">
        <v>1</v>
      </c>
      <c r="E637" s="4">
        <v>202</v>
      </c>
      <c r="F637" s="4">
        <f>ROUND(Source!P634,O637)</f>
        <v>0</v>
      </c>
      <c r="G637" s="4" t="s">
        <v>76</v>
      </c>
      <c r="H637" s="4" t="s">
        <v>77</v>
      </c>
      <c r="I637" s="4"/>
      <c r="J637" s="4"/>
      <c r="K637" s="4">
        <v>202</v>
      </c>
      <c r="L637" s="4">
        <v>2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45" x14ac:dyDescent="0.2">
      <c r="A638" s="4">
        <v>50</v>
      </c>
      <c r="B638" s="4">
        <v>0</v>
      </c>
      <c r="C638" s="4">
        <v>0</v>
      </c>
      <c r="D638" s="4">
        <v>1</v>
      </c>
      <c r="E638" s="4">
        <v>222</v>
      </c>
      <c r="F638" s="4">
        <f>ROUND(Source!AO634,O638)</f>
        <v>0</v>
      </c>
      <c r="G638" s="4" t="s">
        <v>78</v>
      </c>
      <c r="H638" s="4" t="s">
        <v>79</v>
      </c>
      <c r="I638" s="4"/>
      <c r="J638" s="4"/>
      <c r="K638" s="4">
        <v>222</v>
      </c>
      <c r="L638" s="4">
        <v>3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</v>
      </c>
      <c r="X638" s="4">
        <v>1</v>
      </c>
      <c r="Y638" s="4">
        <v>0</v>
      </c>
      <c r="Z638" s="4"/>
      <c r="AA638" s="4"/>
      <c r="AB638" s="4"/>
    </row>
    <row r="639" spans="1:245" x14ac:dyDescent="0.2">
      <c r="A639" s="4">
        <v>50</v>
      </c>
      <c r="B639" s="4">
        <v>0</v>
      </c>
      <c r="C639" s="4">
        <v>0</v>
      </c>
      <c r="D639" s="4">
        <v>1</v>
      </c>
      <c r="E639" s="4">
        <v>225</v>
      </c>
      <c r="F639" s="4">
        <f>ROUND(Source!AV634,O639)</f>
        <v>0</v>
      </c>
      <c r="G639" s="4" t="s">
        <v>80</v>
      </c>
      <c r="H639" s="4" t="s">
        <v>81</v>
      </c>
      <c r="I639" s="4"/>
      <c r="J639" s="4"/>
      <c r="K639" s="4">
        <v>225</v>
      </c>
      <c r="L639" s="4">
        <v>4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45" x14ac:dyDescent="0.2">
      <c r="A640" s="4">
        <v>50</v>
      </c>
      <c r="B640" s="4">
        <v>0</v>
      </c>
      <c r="C640" s="4">
        <v>0</v>
      </c>
      <c r="D640" s="4">
        <v>1</v>
      </c>
      <c r="E640" s="4">
        <v>226</v>
      </c>
      <c r="F640" s="4">
        <f>ROUND(Source!AW634,O640)</f>
        <v>0</v>
      </c>
      <c r="G640" s="4" t="s">
        <v>82</v>
      </c>
      <c r="H640" s="4" t="s">
        <v>83</v>
      </c>
      <c r="I640" s="4"/>
      <c r="J640" s="4"/>
      <c r="K640" s="4">
        <v>226</v>
      </c>
      <c r="L640" s="4">
        <v>5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8" x14ac:dyDescent="0.2">
      <c r="A641" s="4">
        <v>50</v>
      </c>
      <c r="B641" s="4">
        <v>0</v>
      </c>
      <c r="C641" s="4">
        <v>0</v>
      </c>
      <c r="D641" s="4">
        <v>1</v>
      </c>
      <c r="E641" s="4">
        <v>227</v>
      </c>
      <c r="F641" s="4">
        <f>ROUND(Source!AX634,O641)</f>
        <v>0</v>
      </c>
      <c r="G641" s="4" t="s">
        <v>84</v>
      </c>
      <c r="H641" s="4" t="s">
        <v>85</v>
      </c>
      <c r="I641" s="4"/>
      <c r="J641" s="4"/>
      <c r="K641" s="4">
        <v>227</v>
      </c>
      <c r="L641" s="4">
        <v>6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8" x14ac:dyDescent="0.2">
      <c r="A642" s="4">
        <v>50</v>
      </c>
      <c r="B642" s="4">
        <v>0</v>
      </c>
      <c r="C642" s="4">
        <v>0</v>
      </c>
      <c r="D642" s="4">
        <v>1</v>
      </c>
      <c r="E642" s="4">
        <v>228</v>
      </c>
      <c r="F642" s="4">
        <f>ROUND(Source!AY634,O642)</f>
        <v>0</v>
      </c>
      <c r="G642" s="4" t="s">
        <v>86</v>
      </c>
      <c r="H642" s="4" t="s">
        <v>87</v>
      </c>
      <c r="I642" s="4"/>
      <c r="J642" s="4"/>
      <c r="K642" s="4">
        <v>228</v>
      </c>
      <c r="L642" s="4">
        <v>7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8" x14ac:dyDescent="0.2">
      <c r="A643" s="4">
        <v>50</v>
      </c>
      <c r="B643" s="4">
        <v>0</v>
      </c>
      <c r="C643" s="4">
        <v>0</v>
      </c>
      <c r="D643" s="4">
        <v>1</v>
      </c>
      <c r="E643" s="4">
        <v>216</v>
      </c>
      <c r="F643" s="4">
        <f>ROUND(Source!AP634,O643)</f>
        <v>0</v>
      </c>
      <c r="G643" s="4" t="s">
        <v>88</v>
      </c>
      <c r="H643" s="4" t="s">
        <v>89</v>
      </c>
      <c r="I643" s="4"/>
      <c r="J643" s="4"/>
      <c r="K643" s="4">
        <v>216</v>
      </c>
      <c r="L643" s="4">
        <v>8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8" x14ac:dyDescent="0.2">
      <c r="A644" s="4">
        <v>50</v>
      </c>
      <c r="B644" s="4">
        <v>0</v>
      </c>
      <c r="C644" s="4">
        <v>0</v>
      </c>
      <c r="D644" s="4">
        <v>1</v>
      </c>
      <c r="E644" s="4">
        <v>223</v>
      </c>
      <c r="F644" s="4">
        <f>ROUND(Source!AQ634,O644)</f>
        <v>0</v>
      </c>
      <c r="G644" s="4" t="s">
        <v>90</v>
      </c>
      <c r="H644" s="4" t="s">
        <v>91</v>
      </c>
      <c r="I644" s="4"/>
      <c r="J644" s="4"/>
      <c r="K644" s="4">
        <v>223</v>
      </c>
      <c r="L644" s="4">
        <v>9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8" x14ac:dyDescent="0.2">
      <c r="A645" s="4">
        <v>50</v>
      </c>
      <c r="B645" s="4">
        <v>0</v>
      </c>
      <c r="C645" s="4">
        <v>0</v>
      </c>
      <c r="D645" s="4">
        <v>1</v>
      </c>
      <c r="E645" s="4">
        <v>229</v>
      </c>
      <c r="F645" s="4">
        <f>ROUND(Source!AZ634,O645)</f>
        <v>0</v>
      </c>
      <c r="G645" s="4" t="s">
        <v>92</v>
      </c>
      <c r="H645" s="4" t="s">
        <v>93</v>
      </c>
      <c r="I645" s="4"/>
      <c r="J645" s="4"/>
      <c r="K645" s="4">
        <v>229</v>
      </c>
      <c r="L645" s="4">
        <v>10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8" x14ac:dyDescent="0.2">
      <c r="A646" s="4">
        <v>50</v>
      </c>
      <c r="B646" s="4">
        <v>0</v>
      </c>
      <c r="C646" s="4">
        <v>0</v>
      </c>
      <c r="D646" s="4">
        <v>1</v>
      </c>
      <c r="E646" s="4">
        <v>203</v>
      </c>
      <c r="F646" s="4">
        <f>ROUND(Source!Q634,O646)</f>
        <v>1476.55</v>
      </c>
      <c r="G646" s="4" t="s">
        <v>94</v>
      </c>
      <c r="H646" s="4" t="s">
        <v>95</v>
      </c>
      <c r="I646" s="4"/>
      <c r="J646" s="4"/>
      <c r="K646" s="4">
        <v>203</v>
      </c>
      <c r="L646" s="4">
        <v>11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1476.55</v>
      </c>
      <c r="X646" s="4">
        <v>1</v>
      </c>
      <c r="Y646" s="4">
        <v>1476.55</v>
      </c>
      <c r="Z646" s="4"/>
      <c r="AA646" s="4"/>
      <c r="AB646" s="4"/>
    </row>
    <row r="647" spans="1:28" x14ac:dyDescent="0.2">
      <c r="A647" s="4">
        <v>50</v>
      </c>
      <c r="B647" s="4">
        <v>0</v>
      </c>
      <c r="C647" s="4">
        <v>0</v>
      </c>
      <c r="D647" s="4">
        <v>1</v>
      </c>
      <c r="E647" s="4">
        <v>231</v>
      </c>
      <c r="F647" s="4">
        <f>ROUND(Source!BB634,O647)</f>
        <v>0</v>
      </c>
      <c r="G647" s="4" t="s">
        <v>96</v>
      </c>
      <c r="H647" s="4" t="s">
        <v>97</v>
      </c>
      <c r="I647" s="4"/>
      <c r="J647" s="4"/>
      <c r="K647" s="4">
        <v>231</v>
      </c>
      <c r="L647" s="4">
        <v>12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8" x14ac:dyDescent="0.2">
      <c r="A648" s="4">
        <v>50</v>
      </c>
      <c r="B648" s="4">
        <v>0</v>
      </c>
      <c r="C648" s="4">
        <v>0</v>
      </c>
      <c r="D648" s="4">
        <v>1</v>
      </c>
      <c r="E648" s="4">
        <v>204</v>
      </c>
      <c r="F648" s="4">
        <f>ROUND(Source!R634,O648)</f>
        <v>886.82</v>
      </c>
      <c r="G648" s="4" t="s">
        <v>98</v>
      </c>
      <c r="H648" s="4" t="s">
        <v>99</v>
      </c>
      <c r="I648" s="4"/>
      <c r="J648" s="4"/>
      <c r="K648" s="4">
        <v>204</v>
      </c>
      <c r="L648" s="4">
        <v>13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886.82</v>
      </c>
      <c r="X648" s="4">
        <v>1</v>
      </c>
      <c r="Y648" s="4">
        <v>886.82</v>
      </c>
      <c r="Z648" s="4"/>
      <c r="AA648" s="4"/>
      <c r="AB648" s="4"/>
    </row>
    <row r="649" spans="1:28" x14ac:dyDescent="0.2">
      <c r="A649" s="4">
        <v>50</v>
      </c>
      <c r="B649" s="4">
        <v>0</v>
      </c>
      <c r="C649" s="4">
        <v>0</v>
      </c>
      <c r="D649" s="4">
        <v>1</v>
      </c>
      <c r="E649" s="4">
        <v>205</v>
      </c>
      <c r="F649" s="4">
        <f>ROUND(Source!S634,O649)</f>
        <v>0</v>
      </c>
      <c r="G649" s="4" t="s">
        <v>100</v>
      </c>
      <c r="H649" s="4" t="s">
        <v>101</v>
      </c>
      <c r="I649" s="4"/>
      <c r="J649" s="4"/>
      <c r="K649" s="4">
        <v>205</v>
      </c>
      <c r="L649" s="4">
        <v>14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0</v>
      </c>
      <c r="X649" s="4">
        <v>1</v>
      </c>
      <c r="Y649" s="4">
        <v>0</v>
      </c>
      <c r="Z649" s="4"/>
      <c r="AA649" s="4"/>
      <c r="AB649" s="4"/>
    </row>
    <row r="650" spans="1:28" x14ac:dyDescent="0.2">
      <c r="A650" s="4">
        <v>50</v>
      </c>
      <c r="B650" s="4">
        <v>0</v>
      </c>
      <c r="C650" s="4">
        <v>0</v>
      </c>
      <c r="D650" s="4">
        <v>1</v>
      </c>
      <c r="E650" s="4">
        <v>232</v>
      </c>
      <c r="F650" s="4">
        <f>ROUND(Source!BC634,O650)</f>
        <v>0</v>
      </c>
      <c r="G650" s="4" t="s">
        <v>102</v>
      </c>
      <c r="H650" s="4" t="s">
        <v>103</v>
      </c>
      <c r="I650" s="4"/>
      <c r="J650" s="4"/>
      <c r="K650" s="4">
        <v>232</v>
      </c>
      <c r="L650" s="4">
        <v>15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0</v>
      </c>
      <c r="X650" s="4">
        <v>1</v>
      </c>
      <c r="Y650" s="4">
        <v>0</v>
      </c>
      <c r="Z650" s="4"/>
      <c r="AA650" s="4"/>
      <c r="AB650" s="4"/>
    </row>
    <row r="651" spans="1:28" x14ac:dyDescent="0.2">
      <c r="A651" s="4">
        <v>50</v>
      </c>
      <c r="B651" s="4">
        <v>0</v>
      </c>
      <c r="C651" s="4">
        <v>0</v>
      </c>
      <c r="D651" s="4">
        <v>1</v>
      </c>
      <c r="E651" s="4">
        <v>214</v>
      </c>
      <c r="F651" s="4">
        <f>ROUND(Source!AS634,O651)</f>
        <v>0</v>
      </c>
      <c r="G651" s="4" t="s">
        <v>104</v>
      </c>
      <c r="H651" s="4" t="s">
        <v>105</v>
      </c>
      <c r="I651" s="4"/>
      <c r="J651" s="4"/>
      <c r="K651" s="4">
        <v>214</v>
      </c>
      <c r="L651" s="4">
        <v>16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0</v>
      </c>
      <c r="X651" s="4">
        <v>1</v>
      </c>
      <c r="Y651" s="4">
        <v>0</v>
      </c>
      <c r="Z651" s="4"/>
      <c r="AA651" s="4"/>
      <c r="AB651" s="4"/>
    </row>
    <row r="652" spans="1:28" x14ac:dyDescent="0.2">
      <c r="A652" s="4">
        <v>50</v>
      </c>
      <c r="B652" s="4">
        <v>0</v>
      </c>
      <c r="C652" s="4">
        <v>0</v>
      </c>
      <c r="D652" s="4">
        <v>1</v>
      </c>
      <c r="E652" s="4">
        <v>215</v>
      </c>
      <c r="F652" s="4">
        <f>ROUND(Source!AT634,O652)</f>
        <v>0</v>
      </c>
      <c r="G652" s="4" t="s">
        <v>106</v>
      </c>
      <c r="H652" s="4" t="s">
        <v>107</v>
      </c>
      <c r="I652" s="4"/>
      <c r="J652" s="4"/>
      <c r="K652" s="4">
        <v>215</v>
      </c>
      <c r="L652" s="4">
        <v>17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0</v>
      </c>
      <c r="X652" s="4">
        <v>1</v>
      </c>
      <c r="Y652" s="4">
        <v>0</v>
      </c>
      <c r="Z652" s="4"/>
      <c r="AA652" s="4"/>
      <c r="AB652" s="4"/>
    </row>
    <row r="653" spans="1:28" x14ac:dyDescent="0.2">
      <c r="A653" s="4">
        <v>50</v>
      </c>
      <c r="B653" s="4">
        <v>0</v>
      </c>
      <c r="C653" s="4">
        <v>0</v>
      </c>
      <c r="D653" s="4">
        <v>1</v>
      </c>
      <c r="E653" s="4">
        <v>217</v>
      </c>
      <c r="F653" s="4">
        <f>ROUND(Source!AU634,O653)</f>
        <v>1511.73</v>
      </c>
      <c r="G653" s="4" t="s">
        <v>108</v>
      </c>
      <c r="H653" s="4" t="s">
        <v>109</v>
      </c>
      <c r="I653" s="4"/>
      <c r="J653" s="4"/>
      <c r="K653" s="4">
        <v>217</v>
      </c>
      <c r="L653" s="4">
        <v>18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1511.73</v>
      </c>
      <c r="X653" s="4">
        <v>1</v>
      </c>
      <c r="Y653" s="4">
        <v>1511.73</v>
      </c>
      <c r="Z653" s="4"/>
      <c r="AA653" s="4"/>
      <c r="AB653" s="4"/>
    </row>
    <row r="654" spans="1:28" x14ac:dyDescent="0.2">
      <c r="A654" s="4">
        <v>50</v>
      </c>
      <c r="B654" s="4">
        <v>0</v>
      </c>
      <c r="C654" s="4">
        <v>0</v>
      </c>
      <c r="D654" s="4">
        <v>1</v>
      </c>
      <c r="E654" s="4">
        <v>230</v>
      </c>
      <c r="F654" s="4">
        <f>ROUND(Source!BA634,O654)</f>
        <v>0</v>
      </c>
      <c r="G654" s="4" t="s">
        <v>110</v>
      </c>
      <c r="H654" s="4" t="s">
        <v>111</v>
      </c>
      <c r="I654" s="4"/>
      <c r="J654" s="4"/>
      <c r="K654" s="4">
        <v>230</v>
      </c>
      <c r="L654" s="4">
        <v>19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0</v>
      </c>
      <c r="X654" s="4">
        <v>1</v>
      </c>
      <c r="Y654" s="4">
        <v>0</v>
      </c>
      <c r="Z654" s="4"/>
      <c r="AA654" s="4"/>
      <c r="AB654" s="4"/>
    </row>
    <row r="655" spans="1:28" x14ac:dyDescent="0.2">
      <c r="A655" s="4">
        <v>50</v>
      </c>
      <c r="B655" s="4">
        <v>0</v>
      </c>
      <c r="C655" s="4">
        <v>0</v>
      </c>
      <c r="D655" s="4">
        <v>1</v>
      </c>
      <c r="E655" s="4">
        <v>206</v>
      </c>
      <c r="F655" s="4">
        <f>ROUND(Source!T634,O655)</f>
        <v>0</v>
      </c>
      <c r="G655" s="4" t="s">
        <v>112</v>
      </c>
      <c r="H655" s="4" t="s">
        <v>113</v>
      </c>
      <c r="I655" s="4"/>
      <c r="J655" s="4"/>
      <c r="K655" s="4">
        <v>206</v>
      </c>
      <c r="L655" s="4">
        <v>20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8" x14ac:dyDescent="0.2">
      <c r="A656" s="4">
        <v>50</v>
      </c>
      <c r="B656" s="4">
        <v>0</v>
      </c>
      <c r="C656" s="4">
        <v>0</v>
      </c>
      <c r="D656" s="4">
        <v>1</v>
      </c>
      <c r="E656" s="4">
        <v>207</v>
      </c>
      <c r="F656" s="4">
        <f>Source!U634</f>
        <v>0</v>
      </c>
      <c r="G656" s="4" t="s">
        <v>114</v>
      </c>
      <c r="H656" s="4" t="s">
        <v>115</v>
      </c>
      <c r="I656" s="4"/>
      <c r="J656" s="4"/>
      <c r="K656" s="4">
        <v>207</v>
      </c>
      <c r="L656" s="4">
        <v>21</v>
      </c>
      <c r="M656" s="4">
        <v>3</v>
      </c>
      <c r="N656" s="4" t="s">
        <v>3</v>
      </c>
      <c r="O656" s="4">
        <v>-1</v>
      </c>
      <c r="P656" s="4"/>
      <c r="Q656" s="4"/>
      <c r="R656" s="4"/>
      <c r="S656" s="4"/>
      <c r="T656" s="4"/>
      <c r="U656" s="4"/>
      <c r="V656" s="4"/>
      <c r="W656" s="4">
        <v>0</v>
      </c>
      <c r="X656" s="4">
        <v>1</v>
      </c>
      <c r="Y656" s="4">
        <v>0</v>
      </c>
      <c r="Z656" s="4"/>
      <c r="AA656" s="4"/>
      <c r="AB656" s="4"/>
    </row>
    <row r="657" spans="1:206" x14ac:dyDescent="0.2">
      <c r="A657" s="4">
        <v>50</v>
      </c>
      <c r="B657" s="4">
        <v>0</v>
      </c>
      <c r="C657" s="4">
        <v>0</v>
      </c>
      <c r="D657" s="4">
        <v>1</v>
      </c>
      <c r="E657" s="4">
        <v>208</v>
      </c>
      <c r="F657" s="4">
        <f>Source!V634</f>
        <v>0</v>
      </c>
      <c r="G657" s="4" t="s">
        <v>116</v>
      </c>
      <c r="H657" s="4" t="s">
        <v>117</v>
      </c>
      <c r="I657" s="4"/>
      <c r="J657" s="4"/>
      <c r="K657" s="4">
        <v>208</v>
      </c>
      <c r="L657" s="4">
        <v>22</v>
      </c>
      <c r="M657" s="4">
        <v>3</v>
      </c>
      <c r="N657" s="4" t="s">
        <v>3</v>
      </c>
      <c r="O657" s="4">
        <v>-1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206" x14ac:dyDescent="0.2">
      <c r="A658" s="4">
        <v>50</v>
      </c>
      <c r="B658" s="4">
        <v>0</v>
      </c>
      <c r="C658" s="4">
        <v>0</v>
      </c>
      <c r="D658" s="4">
        <v>1</v>
      </c>
      <c r="E658" s="4">
        <v>209</v>
      </c>
      <c r="F658" s="4">
        <f>ROUND(Source!W634,O658)</f>
        <v>0</v>
      </c>
      <c r="G658" s="4" t="s">
        <v>118</v>
      </c>
      <c r="H658" s="4" t="s">
        <v>119</v>
      </c>
      <c r="I658" s="4"/>
      <c r="J658" s="4"/>
      <c r="K658" s="4">
        <v>209</v>
      </c>
      <c r="L658" s="4">
        <v>23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06" x14ac:dyDescent="0.2">
      <c r="A659" s="4">
        <v>50</v>
      </c>
      <c r="B659" s="4">
        <v>0</v>
      </c>
      <c r="C659" s="4">
        <v>0</v>
      </c>
      <c r="D659" s="4">
        <v>1</v>
      </c>
      <c r="E659" s="4">
        <v>233</v>
      </c>
      <c r="F659" s="4">
        <f>ROUND(Source!BD634,O659)</f>
        <v>0</v>
      </c>
      <c r="G659" s="4" t="s">
        <v>120</v>
      </c>
      <c r="H659" s="4" t="s">
        <v>121</v>
      </c>
      <c r="I659" s="4"/>
      <c r="J659" s="4"/>
      <c r="K659" s="4">
        <v>233</v>
      </c>
      <c r="L659" s="4">
        <v>24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06" x14ac:dyDescent="0.2">
      <c r="A660" s="4">
        <v>50</v>
      </c>
      <c r="B660" s="4">
        <v>0</v>
      </c>
      <c r="C660" s="4">
        <v>0</v>
      </c>
      <c r="D660" s="4">
        <v>1</v>
      </c>
      <c r="E660" s="4">
        <v>210</v>
      </c>
      <c r="F660" s="4">
        <f>ROUND(Source!X634,O660)</f>
        <v>0</v>
      </c>
      <c r="G660" s="4" t="s">
        <v>122</v>
      </c>
      <c r="H660" s="4" t="s">
        <v>123</v>
      </c>
      <c r="I660" s="4"/>
      <c r="J660" s="4"/>
      <c r="K660" s="4">
        <v>210</v>
      </c>
      <c r="L660" s="4">
        <v>25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06" x14ac:dyDescent="0.2">
      <c r="A661" s="4">
        <v>50</v>
      </c>
      <c r="B661" s="4">
        <v>0</v>
      </c>
      <c r="C661" s="4">
        <v>0</v>
      </c>
      <c r="D661" s="4">
        <v>1</v>
      </c>
      <c r="E661" s="4">
        <v>211</v>
      </c>
      <c r="F661" s="4">
        <f>ROUND(Source!Y634,O661)</f>
        <v>0</v>
      </c>
      <c r="G661" s="4" t="s">
        <v>124</v>
      </c>
      <c r="H661" s="4" t="s">
        <v>125</v>
      </c>
      <c r="I661" s="4"/>
      <c r="J661" s="4"/>
      <c r="K661" s="4">
        <v>211</v>
      </c>
      <c r="L661" s="4">
        <v>26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06" x14ac:dyDescent="0.2">
      <c r="A662" s="4">
        <v>50</v>
      </c>
      <c r="B662" s="4">
        <v>0</v>
      </c>
      <c r="C662" s="4">
        <v>0</v>
      </c>
      <c r="D662" s="4">
        <v>1</v>
      </c>
      <c r="E662" s="4">
        <v>224</v>
      </c>
      <c r="F662" s="4">
        <f>ROUND(Source!AR634,O662)</f>
        <v>1511.73</v>
      </c>
      <c r="G662" s="4" t="s">
        <v>126</v>
      </c>
      <c r="H662" s="4" t="s">
        <v>127</v>
      </c>
      <c r="I662" s="4"/>
      <c r="J662" s="4"/>
      <c r="K662" s="4">
        <v>224</v>
      </c>
      <c r="L662" s="4">
        <v>27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1511.73</v>
      </c>
      <c r="X662" s="4">
        <v>1</v>
      </c>
      <c r="Y662" s="4">
        <v>1511.73</v>
      </c>
      <c r="Z662" s="4"/>
      <c r="AA662" s="4"/>
      <c r="AB662" s="4"/>
    </row>
    <row r="664" spans="1:206" x14ac:dyDescent="0.2">
      <c r="A664" s="2">
        <v>51</v>
      </c>
      <c r="B664" s="2">
        <f>B20</f>
        <v>1</v>
      </c>
      <c r="C664" s="2">
        <f>A20</f>
        <v>3</v>
      </c>
      <c r="D664" s="2">
        <f>ROW(A20)</f>
        <v>20</v>
      </c>
      <c r="E664" s="2"/>
      <c r="F664" s="2" t="str">
        <f>IF(F20&lt;&gt;"",F20,"")</f>
        <v/>
      </c>
      <c r="G664" s="2" t="str">
        <f>IF(G20&lt;&gt;"",G20,"")</f>
        <v>Новая локальная смета</v>
      </c>
      <c r="H664" s="2">
        <v>0</v>
      </c>
      <c r="I664" s="2"/>
      <c r="J664" s="2"/>
      <c r="K664" s="2"/>
      <c r="L664" s="2"/>
      <c r="M664" s="2"/>
      <c r="N664" s="2"/>
      <c r="O664" s="2">
        <f t="shared" ref="O664:T664" si="377">ROUND(O239+O558+O596+O634+AB664,2)</f>
        <v>596808.9</v>
      </c>
      <c r="P664" s="2">
        <f t="shared" si="377"/>
        <v>408070.45</v>
      </c>
      <c r="Q664" s="2">
        <f t="shared" si="377"/>
        <v>23908.95</v>
      </c>
      <c r="R664" s="2">
        <f t="shared" si="377"/>
        <v>12276.9</v>
      </c>
      <c r="S664" s="2">
        <f t="shared" si="377"/>
        <v>164829.5</v>
      </c>
      <c r="T664" s="2">
        <f t="shared" si="377"/>
        <v>0</v>
      </c>
      <c r="U664" s="2">
        <f>U239+U558+U596+U634+AH664</f>
        <v>339.69718900000004</v>
      </c>
      <c r="V664" s="2">
        <f>V239+V558+V596+V634+AI664</f>
        <v>0</v>
      </c>
      <c r="W664" s="2">
        <f>ROUND(W239+W558+W596+W634+AJ664,2)</f>
        <v>0</v>
      </c>
      <c r="X664" s="2">
        <f>ROUND(X239+X558+X596+X634+AK664,2)</f>
        <v>115380.67</v>
      </c>
      <c r="Y664" s="2">
        <f>ROUND(Y239+Y558+Y596+Y634+AL664,2)</f>
        <v>16482.98</v>
      </c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>
        <f t="shared" ref="AO664:BD664" si="378">ROUND(AO239+AO558+AO596+AO634+BX664,2)</f>
        <v>0</v>
      </c>
      <c r="AP664" s="2">
        <f t="shared" si="378"/>
        <v>0</v>
      </c>
      <c r="AQ664" s="2">
        <f t="shared" si="378"/>
        <v>0</v>
      </c>
      <c r="AR664" s="2">
        <f t="shared" si="378"/>
        <v>741009.02</v>
      </c>
      <c r="AS664" s="2">
        <f t="shared" si="378"/>
        <v>0</v>
      </c>
      <c r="AT664" s="2">
        <f t="shared" si="378"/>
        <v>0</v>
      </c>
      <c r="AU664" s="2">
        <f t="shared" si="378"/>
        <v>741009.02</v>
      </c>
      <c r="AV664" s="2">
        <f t="shared" si="378"/>
        <v>408070.45</v>
      </c>
      <c r="AW664" s="2">
        <f t="shared" si="378"/>
        <v>408070.45</v>
      </c>
      <c r="AX664" s="2">
        <f t="shared" si="378"/>
        <v>0</v>
      </c>
      <c r="AY664" s="2">
        <f t="shared" si="378"/>
        <v>408070.45</v>
      </c>
      <c r="AZ664" s="2">
        <f t="shared" si="378"/>
        <v>0</v>
      </c>
      <c r="BA664" s="2">
        <f t="shared" si="378"/>
        <v>0</v>
      </c>
      <c r="BB664" s="2">
        <f t="shared" si="378"/>
        <v>0</v>
      </c>
      <c r="BC664" s="2">
        <f t="shared" si="378"/>
        <v>0</v>
      </c>
      <c r="BD664" s="2">
        <f t="shared" si="378"/>
        <v>0</v>
      </c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3"/>
      <c r="DH664" s="3"/>
      <c r="DI664" s="3"/>
      <c r="DJ664" s="3"/>
      <c r="DK664" s="3"/>
      <c r="DL664" s="3"/>
      <c r="DM664" s="3"/>
      <c r="DN664" s="3"/>
      <c r="DO664" s="3"/>
      <c r="DP664" s="3"/>
      <c r="DQ664" s="3"/>
      <c r="DR664" s="3"/>
      <c r="DS664" s="3"/>
      <c r="DT664" s="3"/>
      <c r="DU664" s="3"/>
      <c r="DV664" s="3"/>
      <c r="DW664" s="3"/>
      <c r="DX664" s="3"/>
      <c r="DY664" s="3"/>
      <c r="DZ664" s="3"/>
      <c r="EA664" s="3"/>
      <c r="EB664" s="3"/>
      <c r="EC664" s="3"/>
      <c r="ED664" s="3"/>
      <c r="EE664" s="3"/>
      <c r="EF664" s="3"/>
      <c r="EG664" s="3"/>
      <c r="EH664" s="3"/>
      <c r="EI664" s="3"/>
      <c r="EJ664" s="3"/>
      <c r="EK664" s="3"/>
      <c r="EL664" s="3"/>
      <c r="EM664" s="3"/>
      <c r="EN664" s="3"/>
      <c r="EO664" s="3"/>
      <c r="EP664" s="3"/>
      <c r="EQ664" s="3"/>
      <c r="ER664" s="3"/>
      <c r="ES664" s="3"/>
      <c r="ET664" s="3"/>
      <c r="EU664" s="3"/>
      <c r="EV664" s="3"/>
      <c r="EW664" s="3"/>
      <c r="EX664" s="3"/>
      <c r="EY664" s="3"/>
      <c r="EZ664" s="3"/>
      <c r="FA664" s="3"/>
      <c r="FB664" s="3"/>
      <c r="FC664" s="3"/>
      <c r="FD664" s="3"/>
      <c r="FE664" s="3"/>
      <c r="FF664" s="3"/>
      <c r="FG664" s="3"/>
      <c r="FH664" s="3"/>
      <c r="FI664" s="3"/>
      <c r="FJ664" s="3"/>
      <c r="FK664" s="3"/>
      <c r="FL664" s="3"/>
      <c r="FM664" s="3"/>
      <c r="FN664" s="3"/>
      <c r="FO664" s="3"/>
      <c r="FP664" s="3"/>
      <c r="FQ664" s="3"/>
      <c r="FR664" s="3"/>
      <c r="FS664" s="3"/>
      <c r="FT664" s="3"/>
      <c r="FU664" s="3"/>
      <c r="FV664" s="3"/>
      <c r="FW664" s="3"/>
      <c r="FX664" s="3"/>
      <c r="FY664" s="3"/>
      <c r="FZ664" s="3"/>
      <c r="GA664" s="3"/>
      <c r="GB664" s="3"/>
      <c r="GC664" s="3"/>
      <c r="GD664" s="3"/>
      <c r="GE664" s="3"/>
      <c r="GF664" s="3"/>
      <c r="GG664" s="3"/>
      <c r="GH664" s="3"/>
      <c r="GI664" s="3"/>
      <c r="GJ664" s="3"/>
      <c r="GK664" s="3"/>
      <c r="GL664" s="3"/>
      <c r="GM664" s="3"/>
      <c r="GN664" s="3"/>
      <c r="GO664" s="3"/>
      <c r="GP664" s="3"/>
      <c r="GQ664" s="3"/>
      <c r="GR664" s="3"/>
      <c r="GS664" s="3"/>
      <c r="GT664" s="3"/>
      <c r="GU664" s="3"/>
      <c r="GV664" s="3"/>
      <c r="GW664" s="3"/>
      <c r="GX664" s="3">
        <v>0</v>
      </c>
    </row>
    <row r="666" spans="1:206" x14ac:dyDescent="0.2">
      <c r="A666" s="4">
        <v>50</v>
      </c>
      <c r="B666" s="4">
        <v>0</v>
      </c>
      <c r="C666" s="4">
        <v>0</v>
      </c>
      <c r="D666" s="4">
        <v>1</v>
      </c>
      <c r="E666" s="4">
        <v>201</v>
      </c>
      <c r="F666" s="4">
        <f>ROUND(Source!O664,O666)</f>
        <v>596808.9</v>
      </c>
      <c r="G666" s="4" t="s">
        <v>74</v>
      </c>
      <c r="H666" s="4" t="s">
        <v>75</v>
      </c>
      <c r="I666" s="4"/>
      <c r="J666" s="4"/>
      <c r="K666" s="4">
        <v>201</v>
      </c>
      <c r="L666" s="4">
        <v>1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596808.9</v>
      </c>
      <c r="X666" s="4">
        <v>1</v>
      </c>
      <c r="Y666" s="4">
        <v>596808.9</v>
      </c>
      <c r="Z666" s="4"/>
      <c r="AA666" s="4"/>
      <c r="AB666" s="4"/>
    </row>
    <row r="667" spans="1:206" x14ac:dyDescent="0.2">
      <c r="A667" s="4">
        <v>50</v>
      </c>
      <c r="B667" s="4">
        <v>0</v>
      </c>
      <c r="C667" s="4">
        <v>0</v>
      </c>
      <c r="D667" s="4">
        <v>1</v>
      </c>
      <c r="E667" s="4">
        <v>202</v>
      </c>
      <c r="F667" s="4">
        <f>ROUND(Source!P664,O667)</f>
        <v>408070.45</v>
      </c>
      <c r="G667" s="4" t="s">
        <v>76</v>
      </c>
      <c r="H667" s="4" t="s">
        <v>77</v>
      </c>
      <c r="I667" s="4"/>
      <c r="J667" s="4"/>
      <c r="K667" s="4">
        <v>202</v>
      </c>
      <c r="L667" s="4">
        <v>2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408070.45</v>
      </c>
      <c r="X667" s="4">
        <v>1</v>
      </c>
      <c r="Y667" s="4">
        <v>408070.45</v>
      </c>
      <c r="Z667" s="4"/>
      <c r="AA667" s="4"/>
      <c r="AB667" s="4"/>
    </row>
    <row r="668" spans="1:206" x14ac:dyDescent="0.2">
      <c r="A668" s="4">
        <v>50</v>
      </c>
      <c r="B668" s="4">
        <v>0</v>
      </c>
      <c r="C668" s="4">
        <v>0</v>
      </c>
      <c r="D668" s="4">
        <v>1</v>
      </c>
      <c r="E668" s="4">
        <v>222</v>
      </c>
      <c r="F668" s="4">
        <f>ROUND(Source!AO664,O668)</f>
        <v>0</v>
      </c>
      <c r="G668" s="4" t="s">
        <v>78</v>
      </c>
      <c r="H668" s="4" t="s">
        <v>79</v>
      </c>
      <c r="I668" s="4"/>
      <c r="J668" s="4"/>
      <c r="K668" s="4">
        <v>222</v>
      </c>
      <c r="L668" s="4">
        <v>3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06" x14ac:dyDescent="0.2">
      <c r="A669" s="4">
        <v>50</v>
      </c>
      <c r="B669" s="4">
        <v>0</v>
      </c>
      <c r="C669" s="4">
        <v>0</v>
      </c>
      <c r="D669" s="4">
        <v>1</v>
      </c>
      <c r="E669" s="4">
        <v>225</v>
      </c>
      <c r="F669" s="4">
        <f>ROUND(Source!AV664,O669)</f>
        <v>408070.45</v>
      </c>
      <c r="G669" s="4" t="s">
        <v>80</v>
      </c>
      <c r="H669" s="4" t="s">
        <v>81</v>
      </c>
      <c r="I669" s="4"/>
      <c r="J669" s="4"/>
      <c r="K669" s="4">
        <v>225</v>
      </c>
      <c r="L669" s="4">
        <v>4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408070.45</v>
      </c>
      <c r="X669" s="4">
        <v>1</v>
      </c>
      <c r="Y669" s="4">
        <v>408070.45</v>
      </c>
      <c r="Z669" s="4"/>
      <c r="AA669" s="4"/>
      <c r="AB669" s="4"/>
    </row>
    <row r="670" spans="1:206" x14ac:dyDescent="0.2">
      <c r="A670" s="4">
        <v>50</v>
      </c>
      <c r="B670" s="4">
        <v>0</v>
      </c>
      <c r="C670" s="4">
        <v>0</v>
      </c>
      <c r="D670" s="4">
        <v>1</v>
      </c>
      <c r="E670" s="4">
        <v>226</v>
      </c>
      <c r="F670" s="4">
        <f>ROUND(Source!AW664,O670)</f>
        <v>408070.45</v>
      </c>
      <c r="G670" s="4" t="s">
        <v>82</v>
      </c>
      <c r="H670" s="4" t="s">
        <v>83</v>
      </c>
      <c r="I670" s="4"/>
      <c r="J670" s="4"/>
      <c r="K670" s="4">
        <v>226</v>
      </c>
      <c r="L670" s="4">
        <v>5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408070.45</v>
      </c>
      <c r="X670" s="4">
        <v>1</v>
      </c>
      <c r="Y670" s="4">
        <v>408070.45</v>
      </c>
      <c r="Z670" s="4"/>
      <c r="AA670" s="4"/>
      <c r="AB670" s="4"/>
    </row>
    <row r="671" spans="1:206" x14ac:dyDescent="0.2">
      <c r="A671" s="4">
        <v>50</v>
      </c>
      <c r="B671" s="4">
        <v>0</v>
      </c>
      <c r="C671" s="4">
        <v>0</v>
      </c>
      <c r="D671" s="4">
        <v>1</v>
      </c>
      <c r="E671" s="4">
        <v>227</v>
      </c>
      <c r="F671" s="4">
        <f>ROUND(Source!AX664,O671)</f>
        <v>0</v>
      </c>
      <c r="G671" s="4" t="s">
        <v>84</v>
      </c>
      <c r="H671" s="4" t="s">
        <v>85</v>
      </c>
      <c r="I671" s="4"/>
      <c r="J671" s="4"/>
      <c r="K671" s="4">
        <v>227</v>
      </c>
      <c r="L671" s="4">
        <v>6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06" x14ac:dyDescent="0.2">
      <c r="A672" s="4">
        <v>50</v>
      </c>
      <c r="B672" s="4">
        <v>0</v>
      </c>
      <c r="C672" s="4">
        <v>0</v>
      </c>
      <c r="D672" s="4">
        <v>1</v>
      </c>
      <c r="E672" s="4">
        <v>228</v>
      </c>
      <c r="F672" s="4">
        <f>ROUND(Source!AY664,O672)</f>
        <v>408070.45</v>
      </c>
      <c r="G672" s="4" t="s">
        <v>86</v>
      </c>
      <c r="H672" s="4" t="s">
        <v>87</v>
      </c>
      <c r="I672" s="4"/>
      <c r="J672" s="4"/>
      <c r="K672" s="4">
        <v>228</v>
      </c>
      <c r="L672" s="4">
        <v>7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408070.45</v>
      </c>
      <c r="X672" s="4">
        <v>1</v>
      </c>
      <c r="Y672" s="4">
        <v>408070.45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216</v>
      </c>
      <c r="F673" s="4">
        <f>ROUND(Source!AP664,O673)</f>
        <v>0</v>
      </c>
      <c r="G673" s="4" t="s">
        <v>88</v>
      </c>
      <c r="H673" s="4" t="s">
        <v>89</v>
      </c>
      <c r="I673" s="4"/>
      <c r="J673" s="4"/>
      <c r="K673" s="4">
        <v>216</v>
      </c>
      <c r="L673" s="4">
        <v>8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223</v>
      </c>
      <c r="F674" s="4">
        <f>ROUND(Source!AQ664,O674)</f>
        <v>0</v>
      </c>
      <c r="G674" s="4" t="s">
        <v>90</v>
      </c>
      <c r="H674" s="4" t="s">
        <v>91</v>
      </c>
      <c r="I674" s="4"/>
      <c r="J674" s="4"/>
      <c r="K674" s="4">
        <v>223</v>
      </c>
      <c r="L674" s="4">
        <v>9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229</v>
      </c>
      <c r="F675" s="4">
        <f>ROUND(Source!AZ664,O675)</f>
        <v>0</v>
      </c>
      <c r="G675" s="4" t="s">
        <v>92</v>
      </c>
      <c r="H675" s="4" t="s">
        <v>93</v>
      </c>
      <c r="I675" s="4"/>
      <c r="J675" s="4"/>
      <c r="K675" s="4">
        <v>229</v>
      </c>
      <c r="L675" s="4">
        <v>10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203</v>
      </c>
      <c r="F676" s="4">
        <f>ROUND(Source!Q664,O676)</f>
        <v>23908.95</v>
      </c>
      <c r="G676" s="4" t="s">
        <v>94</v>
      </c>
      <c r="H676" s="4" t="s">
        <v>95</v>
      </c>
      <c r="I676" s="4"/>
      <c r="J676" s="4"/>
      <c r="K676" s="4">
        <v>203</v>
      </c>
      <c r="L676" s="4">
        <v>11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23908.95</v>
      </c>
      <c r="X676" s="4">
        <v>1</v>
      </c>
      <c r="Y676" s="4">
        <v>23908.95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231</v>
      </c>
      <c r="F677" s="4">
        <f>ROUND(Source!BB664,O677)</f>
        <v>0</v>
      </c>
      <c r="G677" s="4" t="s">
        <v>96</v>
      </c>
      <c r="H677" s="4" t="s">
        <v>97</v>
      </c>
      <c r="I677" s="4"/>
      <c r="J677" s="4"/>
      <c r="K677" s="4">
        <v>231</v>
      </c>
      <c r="L677" s="4">
        <v>12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204</v>
      </c>
      <c r="F678" s="4">
        <f>ROUND(Source!R664,O678)</f>
        <v>12276.9</v>
      </c>
      <c r="G678" s="4" t="s">
        <v>98</v>
      </c>
      <c r="H678" s="4" t="s">
        <v>99</v>
      </c>
      <c r="I678" s="4"/>
      <c r="J678" s="4"/>
      <c r="K678" s="4">
        <v>204</v>
      </c>
      <c r="L678" s="4">
        <v>13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12276.9</v>
      </c>
      <c r="X678" s="4">
        <v>1</v>
      </c>
      <c r="Y678" s="4">
        <v>12276.9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205</v>
      </c>
      <c r="F679" s="4">
        <f>ROUND(Source!S664,O679)</f>
        <v>164829.5</v>
      </c>
      <c r="G679" s="4" t="s">
        <v>100</v>
      </c>
      <c r="H679" s="4" t="s">
        <v>101</v>
      </c>
      <c r="I679" s="4"/>
      <c r="J679" s="4"/>
      <c r="K679" s="4">
        <v>205</v>
      </c>
      <c r="L679" s="4">
        <v>14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164829.5</v>
      </c>
      <c r="X679" s="4">
        <v>1</v>
      </c>
      <c r="Y679" s="4">
        <v>164829.5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232</v>
      </c>
      <c r="F680" s="4">
        <f>ROUND(Source!BC664,O680)</f>
        <v>0</v>
      </c>
      <c r="G680" s="4" t="s">
        <v>102</v>
      </c>
      <c r="H680" s="4" t="s">
        <v>103</v>
      </c>
      <c r="I680" s="4"/>
      <c r="J680" s="4"/>
      <c r="K680" s="4">
        <v>232</v>
      </c>
      <c r="L680" s="4">
        <v>15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214</v>
      </c>
      <c r="F681" s="4">
        <f>ROUND(Source!AS664,O681)</f>
        <v>0</v>
      </c>
      <c r="G681" s="4" t="s">
        <v>104</v>
      </c>
      <c r="H681" s="4" t="s">
        <v>105</v>
      </c>
      <c r="I681" s="4"/>
      <c r="J681" s="4"/>
      <c r="K681" s="4">
        <v>214</v>
      </c>
      <c r="L681" s="4">
        <v>16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215</v>
      </c>
      <c r="F682" s="4">
        <f>ROUND(Source!AT664,O682)</f>
        <v>0</v>
      </c>
      <c r="G682" s="4" t="s">
        <v>106</v>
      </c>
      <c r="H682" s="4" t="s">
        <v>107</v>
      </c>
      <c r="I682" s="4"/>
      <c r="J682" s="4"/>
      <c r="K682" s="4">
        <v>215</v>
      </c>
      <c r="L682" s="4">
        <v>17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8" x14ac:dyDescent="0.2">
      <c r="A683" s="4">
        <v>50</v>
      </c>
      <c r="B683" s="4">
        <v>0</v>
      </c>
      <c r="C683" s="4">
        <v>0</v>
      </c>
      <c r="D683" s="4">
        <v>1</v>
      </c>
      <c r="E683" s="4">
        <v>217</v>
      </c>
      <c r="F683" s="4">
        <f>ROUND(Source!AU664,O683)</f>
        <v>741009.02</v>
      </c>
      <c r="G683" s="4" t="s">
        <v>108</v>
      </c>
      <c r="H683" s="4" t="s">
        <v>109</v>
      </c>
      <c r="I683" s="4"/>
      <c r="J683" s="4"/>
      <c r="K683" s="4">
        <v>217</v>
      </c>
      <c r="L683" s="4">
        <v>18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741009.02</v>
      </c>
      <c r="X683" s="4">
        <v>1</v>
      </c>
      <c r="Y683" s="4">
        <v>741009.02</v>
      </c>
      <c r="Z683" s="4"/>
      <c r="AA683" s="4"/>
      <c r="AB683" s="4"/>
    </row>
    <row r="684" spans="1:28" x14ac:dyDescent="0.2">
      <c r="A684" s="4">
        <v>50</v>
      </c>
      <c r="B684" s="4">
        <v>0</v>
      </c>
      <c r="C684" s="4">
        <v>0</v>
      </c>
      <c r="D684" s="4">
        <v>1</v>
      </c>
      <c r="E684" s="4">
        <v>230</v>
      </c>
      <c r="F684" s="4">
        <f>ROUND(Source!BA664,O684)</f>
        <v>0</v>
      </c>
      <c r="G684" s="4" t="s">
        <v>110</v>
      </c>
      <c r="H684" s="4" t="s">
        <v>111</v>
      </c>
      <c r="I684" s="4"/>
      <c r="J684" s="4"/>
      <c r="K684" s="4">
        <v>230</v>
      </c>
      <c r="L684" s="4">
        <v>19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0</v>
      </c>
      <c r="X684" s="4">
        <v>1</v>
      </c>
      <c r="Y684" s="4">
        <v>0</v>
      </c>
      <c r="Z684" s="4"/>
      <c r="AA684" s="4"/>
      <c r="AB684" s="4"/>
    </row>
    <row r="685" spans="1:28" x14ac:dyDescent="0.2">
      <c r="A685" s="4">
        <v>50</v>
      </c>
      <c r="B685" s="4">
        <v>0</v>
      </c>
      <c r="C685" s="4">
        <v>0</v>
      </c>
      <c r="D685" s="4">
        <v>1</v>
      </c>
      <c r="E685" s="4">
        <v>206</v>
      </c>
      <c r="F685" s="4">
        <f>ROUND(Source!T664,O685)</f>
        <v>0</v>
      </c>
      <c r="G685" s="4" t="s">
        <v>112</v>
      </c>
      <c r="H685" s="4" t="s">
        <v>113</v>
      </c>
      <c r="I685" s="4"/>
      <c r="J685" s="4"/>
      <c r="K685" s="4">
        <v>206</v>
      </c>
      <c r="L685" s="4">
        <v>20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6" spans="1:28" x14ac:dyDescent="0.2">
      <c r="A686" s="4">
        <v>50</v>
      </c>
      <c r="B686" s="4">
        <v>0</v>
      </c>
      <c r="C686" s="4">
        <v>0</v>
      </c>
      <c r="D686" s="4">
        <v>1</v>
      </c>
      <c r="E686" s="4">
        <v>207</v>
      </c>
      <c r="F686" s="4">
        <f>Source!U664</f>
        <v>339.69718900000004</v>
      </c>
      <c r="G686" s="4" t="s">
        <v>114</v>
      </c>
      <c r="H686" s="4" t="s">
        <v>115</v>
      </c>
      <c r="I686" s="4"/>
      <c r="J686" s="4"/>
      <c r="K686" s="4">
        <v>207</v>
      </c>
      <c r="L686" s="4">
        <v>21</v>
      </c>
      <c r="M686" s="4">
        <v>3</v>
      </c>
      <c r="N686" s="4" t="s">
        <v>3</v>
      </c>
      <c r="O686" s="4">
        <v>-1</v>
      </c>
      <c r="P686" s="4"/>
      <c r="Q686" s="4"/>
      <c r="R686" s="4"/>
      <c r="S686" s="4"/>
      <c r="T686" s="4"/>
      <c r="U686" s="4"/>
      <c r="V686" s="4"/>
      <c r="W686" s="4">
        <v>339.69718899999998</v>
      </c>
      <c r="X686" s="4">
        <v>1</v>
      </c>
      <c r="Y686" s="4">
        <v>339.69718899999998</v>
      </c>
      <c r="Z686" s="4"/>
      <c r="AA686" s="4"/>
      <c r="AB686" s="4"/>
    </row>
    <row r="687" spans="1:28" x14ac:dyDescent="0.2">
      <c r="A687" s="4">
        <v>50</v>
      </c>
      <c r="B687" s="4">
        <v>0</v>
      </c>
      <c r="C687" s="4">
        <v>0</v>
      </c>
      <c r="D687" s="4">
        <v>1</v>
      </c>
      <c r="E687" s="4">
        <v>208</v>
      </c>
      <c r="F687" s="4">
        <f>Source!V664</f>
        <v>0</v>
      </c>
      <c r="G687" s="4" t="s">
        <v>116</v>
      </c>
      <c r="H687" s="4" t="s">
        <v>117</v>
      </c>
      <c r="I687" s="4"/>
      <c r="J687" s="4"/>
      <c r="K687" s="4">
        <v>208</v>
      </c>
      <c r="L687" s="4">
        <v>22</v>
      </c>
      <c r="M687" s="4">
        <v>3</v>
      </c>
      <c r="N687" s="4" t="s">
        <v>3</v>
      </c>
      <c r="O687" s="4">
        <v>-1</v>
      </c>
      <c r="P687" s="4"/>
      <c r="Q687" s="4"/>
      <c r="R687" s="4"/>
      <c r="S687" s="4"/>
      <c r="T687" s="4"/>
      <c r="U687" s="4"/>
      <c r="V687" s="4"/>
      <c r="W687" s="4">
        <v>0</v>
      </c>
      <c r="X687" s="4">
        <v>1</v>
      </c>
      <c r="Y687" s="4">
        <v>0</v>
      </c>
      <c r="Z687" s="4"/>
      <c r="AA687" s="4"/>
      <c r="AB687" s="4"/>
    </row>
    <row r="688" spans="1:28" x14ac:dyDescent="0.2">
      <c r="A688" s="4">
        <v>50</v>
      </c>
      <c r="B688" s="4">
        <v>0</v>
      </c>
      <c r="C688" s="4">
        <v>0</v>
      </c>
      <c r="D688" s="4">
        <v>1</v>
      </c>
      <c r="E688" s="4">
        <v>209</v>
      </c>
      <c r="F688" s="4">
        <f>ROUND(Source!W664,O688)</f>
        <v>0</v>
      </c>
      <c r="G688" s="4" t="s">
        <v>118</v>
      </c>
      <c r="H688" s="4" t="s">
        <v>119</v>
      </c>
      <c r="I688" s="4"/>
      <c r="J688" s="4"/>
      <c r="K688" s="4">
        <v>209</v>
      </c>
      <c r="L688" s="4">
        <v>23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06" x14ac:dyDescent="0.2">
      <c r="A689" s="4">
        <v>50</v>
      </c>
      <c r="B689" s="4">
        <v>0</v>
      </c>
      <c r="C689" s="4">
        <v>0</v>
      </c>
      <c r="D689" s="4">
        <v>1</v>
      </c>
      <c r="E689" s="4">
        <v>233</v>
      </c>
      <c r="F689" s="4">
        <f>ROUND(Source!BD664,O689)</f>
        <v>0</v>
      </c>
      <c r="G689" s="4" t="s">
        <v>120</v>
      </c>
      <c r="H689" s="4" t="s">
        <v>121</v>
      </c>
      <c r="I689" s="4"/>
      <c r="J689" s="4"/>
      <c r="K689" s="4">
        <v>233</v>
      </c>
      <c r="L689" s="4">
        <v>24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06" x14ac:dyDescent="0.2">
      <c r="A690" s="4">
        <v>50</v>
      </c>
      <c r="B690" s="4">
        <v>0</v>
      </c>
      <c r="C690" s="4">
        <v>0</v>
      </c>
      <c r="D690" s="4">
        <v>1</v>
      </c>
      <c r="E690" s="4">
        <v>210</v>
      </c>
      <c r="F690" s="4">
        <f>ROUND(Source!X664,O690)</f>
        <v>115380.67</v>
      </c>
      <c r="G690" s="4" t="s">
        <v>122</v>
      </c>
      <c r="H690" s="4" t="s">
        <v>123</v>
      </c>
      <c r="I690" s="4"/>
      <c r="J690" s="4"/>
      <c r="K690" s="4">
        <v>210</v>
      </c>
      <c r="L690" s="4">
        <v>25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115380.67</v>
      </c>
      <c r="X690" s="4">
        <v>1</v>
      </c>
      <c r="Y690" s="4">
        <v>115380.67</v>
      </c>
      <c r="Z690" s="4"/>
      <c r="AA690" s="4"/>
      <c r="AB690" s="4"/>
    </row>
    <row r="691" spans="1:206" x14ac:dyDescent="0.2">
      <c r="A691" s="4">
        <v>50</v>
      </c>
      <c r="B691" s="4">
        <v>0</v>
      </c>
      <c r="C691" s="4">
        <v>0</v>
      </c>
      <c r="D691" s="4">
        <v>1</v>
      </c>
      <c r="E691" s="4">
        <v>211</v>
      </c>
      <c r="F691" s="4">
        <f>ROUND(Source!Y664,O691)</f>
        <v>16482.98</v>
      </c>
      <c r="G691" s="4" t="s">
        <v>124</v>
      </c>
      <c r="H691" s="4" t="s">
        <v>125</v>
      </c>
      <c r="I691" s="4"/>
      <c r="J691" s="4"/>
      <c r="K691" s="4">
        <v>211</v>
      </c>
      <c r="L691" s="4">
        <v>26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16482.98</v>
      </c>
      <c r="X691" s="4">
        <v>1</v>
      </c>
      <c r="Y691" s="4">
        <v>16482.98</v>
      </c>
      <c r="Z691" s="4"/>
      <c r="AA691" s="4"/>
      <c r="AB691" s="4"/>
    </row>
    <row r="692" spans="1:206" x14ac:dyDescent="0.2">
      <c r="A692" s="4">
        <v>50</v>
      </c>
      <c r="B692" s="4">
        <v>0</v>
      </c>
      <c r="C692" s="4">
        <v>0</v>
      </c>
      <c r="D692" s="4">
        <v>1</v>
      </c>
      <c r="E692" s="4">
        <v>224</v>
      </c>
      <c r="F692" s="4">
        <f>ROUND(Source!AR664,O692)</f>
        <v>741009.02</v>
      </c>
      <c r="G692" s="4" t="s">
        <v>126</v>
      </c>
      <c r="H692" s="4" t="s">
        <v>127</v>
      </c>
      <c r="I692" s="4"/>
      <c r="J692" s="4"/>
      <c r="K692" s="4">
        <v>224</v>
      </c>
      <c r="L692" s="4">
        <v>27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741009.02</v>
      </c>
      <c r="X692" s="4">
        <v>1</v>
      </c>
      <c r="Y692" s="4">
        <v>741009.02</v>
      </c>
      <c r="Z692" s="4"/>
      <c r="AA692" s="4"/>
      <c r="AB692" s="4"/>
    </row>
    <row r="694" spans="1:206" x14ac:dyDescent="0.2">
      <c r="A694" s="2">
        <v>51</v>
      </c>
      <c r="B694" s="2">
        <f>B12</f>
        <v>730</v>
      </c>
      <c r="C694" s="2">
        <f>A12</f>
        <v>1</v>
      </c>
      <c r="D694" s="2">
        <f>ROW(A12)</f>
        <v>12</v>
      </c>
      <c r="E694" s="2"/>
      <c r="F694" s="2" t="str">
        <f>IF(F12&lt;&gt;"",F12,"")</f>
        <v>Новый объект</v>
      </c>
      <c r="G694" s="2" t="str">
        <f>IF(G12&lt;&gt;"",G12,"")</f>
        <v>ГБОУ Школа №1440. Крылатские холмы д. 15к1 (в ценах на 01.04.2025 г)</v>
      </c>
      <c r="H694" s="2">
        <v>0</v>
      </c>
      <c r="I694" s="2"/>
      <c r="J694" s="2"/>
      <c r="K694" s="2"/>
      <c r="L694" s="2"/>
      <c r="M694" s="2"/>
      <c r="N694" s="2"/>
      <c r="O694" s="2">
        <f t="shared" ref="O694:T694" si="379">ROUND(O664,2)</f>
        <v>596808.9</v>
      </c>
      <c r="P694" s="2">
        <f t="shared" si="379"/>
        <v>408070.45</v>
      </c>
      <c r="Q694" s="2">
        <f t="shared" si="379"/>
        <v>23908.95</v>
      </c>
      <c r="R694" s="2">
        <f t="shared" si="379"/>
        <v>12276.9</v>
      </c>
      <c r="S694" s="2">
        <f t="shared" si="379"/>
        <v>164829.5</v>
      </c>
      <c r="T694" s="2">
        <f t="shared" si="379"/>
        <v>0</v>
      </c>
      <c r="U694" s="2">
        <f>U664</f>
        <v>339.69718900000004</v>
      </c>
      <c r="V694" s="2">
        <f>V664</f>
        <v>0</v>
      </c>
      <c r="W694" s="2">
        <f>ROUND(W664,2)</f>
        <v>0</v>
      </c>
      <c r="X694" s="2">
        <f>ROUND(X664,2)</f>
        <v>115380.67</v>
      </c>
      <c r="Y694" s="2">
        <f>ROUND(Y664,2)</f>
        <v>16482.98</v>
      </c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>
        <f t="shared" ref="AO694:BD694" si="380">ROUND(AO664,2)</f>
        <v>0</v>
      </c>
      <c r="AP694" s="2">
        <f t="shared" si="380"/>
        <v>0</v>
      </c>
      <c r="AQ694" s="2">
        <f t="shared" si="380"/>
        <v>0</v>
      </c>
      <c r="AR694" s="2">
        <f t="shared" si="380"/>
        <v>741009.02</v>
      </c>
      <c r="AS694" s="2">
        <f t="shared" si="380"/>
        <v>0</v>
      </c>
      <c r="AT694" s="2">
        <f t="shared" si="380"/>
        <v>0</v>
      </c>
      <c r="AU694" s="2">
        <f t="shared" si="380"/>
        <v>741009.02</v>
      </c>
      <c r="AV694" s="2">
        <f t="shared" si="380"/>
        <v>408070.45</v>
      </c>
      <c r="AW694" s="2">
        <f t="shared" si="380"/>
        <v>408070.45</v>
      </c>
      <c r="AX694" s="2">
        <f t="shared" si="380"/>
        <v>0</v>
      </c>
      <c r="AY694" s="2">
        <f t="shared" si="380"/>
        <v>408070.45</v>
      </c>
      <c r="AZ694" s="2">
        <f t="shared" si="380"/>
        <v>0</v>
      </c>
      <c r="BA694" s="2">
        <f t="shared" si="380"/>
        <v>0</v>
      </c>
      <c r="BB694" s="2">
        <f t="shared" si="380"/>
        <v>0</v>
      </c>
      <c r="BC694" s="2">
        <f t="shared" si="380"/>
        <v>0</v>
      </c>
      <c r="BD694" s="2">
        <f t="shared" si="380"/>
        <v>0</v>
      </c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3"/>
      <c r="DH694" s="3"/>
      <c r="DI694" s="3"/>
      <c r="DJ694" s="3"/>
      <c r="DK694" s="3"/>
      <c r="DL694" s="3"/>
      <c r="DM694" s="3"/>
      <c r="DN694" s="3"/>
      <c r="DO694" s="3"/>
      <c r="DP694" s="3"/>
      <c r="DQ694" s="3"/>
      <c r="DR694" s="3"/>
      <c r="DS694" s="3"/>
      <c r="DT694" s="3"/>
      <c r="DU694" s="3"/>
      <c r="DV694" s="3"/>
      <c r="DW694" s="3"/>
      <c r="DX694" s="3"/>
      <c r="DY694" s="3"/>
      <c r="DZ694" s="3"/>
      <c r="EA694" s="3"/>
      <c r="EB694" s="3"/>
      <c r="EC694" s="3"/>
      <c r="ED694" s="3"/>
      <c r="EE694" s="3"/>
      <c r="EF694" s="3"/>
      <c r="EG694" s="3"/>
      <c r="EH694" s="3"/>
      <c r="EI694" s="3"/>
      <c r="EJ694" s="3"/>
      <c r="EK694" s="3"/>
      <c r="EL694" s="3"/>
      <c r="EM694" s="3"/>
      <c r="EN694" s="3"/>
      <c r="EO694" s="3"/>
      <c r="EP694" s="3"/>
      <c r="EQ694" s="3"/>
      <c r="ER694" s="3"/>
      <c r="ES694" s="3"/>
      <c r="ET694" s="3"/>
      <c r="EU694" s="3"/>
      <c r="EV694" s="3"/>
      <c r="EW694" s="3"/>
      <c r="EX694" s="3"/>
      <c r="EY694" s="3"/>
      <c r="EZ694" s="3"/>
      <c r="FA694" s="3"/>
      <c r="FB694" s="3"/>
      <c r="FC694" s="3"/>
      <c r="FD694" s="3"/>
      <c r="FE694" s="3"/>
      <c r="FF694" s="3"/>
      <c r="FG694" s="3"/>
      <c r="FH694" s="3"/>
      <c r="FI694" s="3"/>
      <c r="FJ694" s="3"/>
      <c r="FK694" s="3"/>
      <c r="FL694" s="3"/>
      <c r="FM694" s="3"/>
      <c r="FN694" s="3"/>
      <c r="FO694" s="3"/>
      <c r="FP694" s="3"/>
      <c r="FQ694" s="3"/>
      <c r="FR694" s="3"/>
      <c r="FS694" s="3"/>
      <c r="FT694" s="3"/>
      <c r="FU694" s="3"/>
      <c r="FV694" s="3"/>
      <c r="FW694" s="3"/>
      <c r="FX694" s="3"/>
      <c r="FY694" s="3"/>
      <c r="FZ694" s="3"/>
      <c r="GA694" s="3"/>
      <c r="GB694" s="3"/>
      <c r="GC694" s="3"/>
      <c r="GD694" s="3"/>
      <c r="GE694" s="3"/>
      <c r="GF694" s="3"/>
      <c r="GG694" s="3"/>
      <c r="GH694" s="3"/>
      <c r="GI694" s="3"/>
      <c r="GJ694" s="3"/>
      <c r="GK694" s="3"/>
      <c r="GL694" s="3"/>
      <c r="GM694" s="3"/>
      <c r="GN694" s="3"/>
      <c r="GO694" s="3"/>
      <c r="GP694" s="3"/>
      <c r="GQ694" s="3"/>
      <c r="GR694" s="3"/>
      <c r="GS694" s="3"/>
      <c r="GT694" s="3"/>
      <c r="GU694" s="3"/>
      <c r="GV694" s="3"/>
      <c r="GW694" s="3"/>
      <c r="GX694" s="3">
        <v>0</v>
      </c>
    </row>
    <row r="696" spans="1:206" x14ac:dyDescent="0.2">
      <c r="A696" s="4">
        <v>50</v>
      </c>
      <c r="B696" s="4">
        <v>0</v>
      </c>
      <c r="C696" s="4">
        <v>0</v>
      </c>
      <c r="D696" s="4">
        <v>1</v>
      </c>
      <c r="E696" s="4">
        <v>201</v>
      </c>
      <c r="F696" s="4">
        <f>ROUND(Source!O694,O696)</f>
        <v>596808.9</v>
      </c>
      <c r="G696" s="4" t="s">
        <v>74</v>
      </c>
      <c r="H696" s="4" t="s">
        <v>75</v>
      </c>
      <c r="I696" s="4"/>
      <c r="J696" s="4"/>
      <c r="K696" s="4">
        <v>201</v>
      </c>
      <c r="L696" s="4">
        <v>1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596808.9</v>
      </c>
      <c r="X696" s="4">
        <v>1</v>
      </c>
      <c r="Y696" s="4">
        <v>596808.9</v>
      </c>
      <c r="Z696" s="4"/>
      <c r="AA696" s="4"/>
      <c r="AB696" s="4"/>
    </row>
    <row r="697" spans="1:206" x14ac:dyDescent="0.2">
      <c r="A697" s="4">
        <v>50</v>
      </c>
      <c r="B697" s="4">
        <v>0</v>
      </c>
      <c r="C697" s="4">
        <v>0</v>
      </c>
      <c r="D697" s="4">
        <v>1</v>
      </c>
      <c r="E697" s="4">
        <v>202</v>
      </c>
      <c r="F697" s="4">
        <f>ROUND(Source!P694,O697)</f>
        <v>408070.45</v>
      </c>
      <c r="G697" s="4" t="s">
        <v>76</v>
      </c>
      <c r="H697" s="4" t="s">
        <v>77</v>
      </c>
      <c r="I697" s="4"/>
      <c r="J697" s="4"/>
      <c r="K697" s="4">
        <v>202</v>
      </c>
      <c r="L697" s="4">
        <v>2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408070.45</v>
      </c>
      <c r="X697" s="4">
        <v>1</v>
      </c>
      <c r="Y697" s="4">
        <v>408070.45</v>
      </c>
      <c r="Z697" s="4"/>
      <c r="AA697" s="4"/>
      <c r="AB697" s="4"/>
    </row>
    <row r="698" spans="1:206" x14ac:dyDescent="0.2">
      <c r="A698" s="4">
        <v>50</v>
      </c>
      <c r="B698" s="4">
        <v>0</v>
      </c>
      <c r="C698" s="4">
        <v>0</v>
      </c>
      <c r="D698" s="4">
        <v>1</v>
      </c>
      <c r="E698" s="4">
        <v>222</v>
      </c>
      <c r="F698" s="4">
        <f>ROUND(Source!AO694,O698)</f>
        <v>0</v>
      </c>
      <c r="G698" s="4" t="s">
        <v>78</v>
      </c>
      <c r="H698" s="4" t="s">
        <v>79</v>
      </c>
      <c r="I698" s="4"/>
      <c r="J698" s="4"/>
      <c r="K698" s="4">
        <v>222</v>
      </c>
      <c r="L698" s="4">
        <v>3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06" x14ac:dyDescent="0.2">
      <c r="A699" s="4">
        <v>50</v>
      </c>
      <c r="B699" s="4">
        <v>0</v>
      </c>
      <c r="C699" s="4">
        <v>0</v>
      </c>
      <c r="D699" s="4">
        <v>1</v>
      </c>
      <c r="E699" s="4">
        <v>225</v>
      </c>
      <c r="F699" s="4">
        <f>ROUND(Source!AV694,O699)</f>
        <v>408070.45</v>
      </c>
      <c r="G699" s="4" t="s">
        <v>80</v>
      </c>
      <c r="H699" s="4" t="s">
        <v>81</v>
      </c>
      <c r="I699" s="4"/>
      <c r="J699" s="4"/>
      <c r="K699" s="4">
        <v>225</v>
      </c>
      <c r="L699" s="4">
        <v>4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408070.45</v>
      </c>
      <c r="X699" s="4">
        <v>1</v>
      </c>
      <c r="Y699" s="4">
        <v>408070.45</v>
      </c>
      <c r="Z699" s="4"/>
      <c r="AA699" s="4"/>
      <c r="AB699" s="4"/>
    </row>
    <row r="700" spans="1:206" x14ac:dyDescent="0.2">
      <c r="A700" s="4">
        <v>50</v>
      </c>
      <c r="B700" s="4">
        <v>0</v>
      </c>
      <c r="C700" s="4">
        <v>0</v>
      </c>
      <c r="D700" s="4">
        <v>1</v>
      </c>
      <c r="E700" s="4">
        <v>226</v>
      </c>
      <c r="F700" s="4">
        <f>ROUND(Source!AW694,O700)</f>
        <v>408070.45</v>
      </c>
      <c r="G700" s="4" t="s">
        <v>82</v>
      </c>
      <c r="H700" s="4" t="s">
        <v>83</v>
      </c>
      <c r="I700" s="4"/>
      <c r="J700" s="4"/>
      <c r="K700" s="4">
        <v>226</v>
      </c>
      <c r="L700" s="4">
        <v>5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408070.45</v>
      </c>
      <c r="X700" s="4">
        <v>1</v>
      </c>
      <c r="Y700" s="4">
        <v>408070.45</v>
      </c>
      <c r="Z700" s="4"/>
      <c r="AA700" s="4"/>
      <c r="AB700" s="4"/>
    </row>
    <row r="701" spans="1:206" x14ac:dyDescent="0.2">
      <c r="A701" s="4">
        <v>50</v>
      </c>
      <c r="B701" s="4">
        <v>0</v>
      </c>
      <c r="C701" s="4">
        <v>0</v>
      </c>
      <c r="D701" s="4">
        <v>1</v>
      </c>
      <c r="E701" s="4">
        <v>227</v>
      </c>
      <c r="F701" s="4">
        <f>ROUND(Source!AX694,O701)</f>
        <v>0</v>
      </c>
      <c r="G701" s="4" t="s">
        <v>84</v>
      </c>
      <c r="H701" s="4" t="s">
        <v>85</v>
      </c>
      <c r="I701" s="4"/>
      <c r="J701" s="4"/>
      <c r="K701" s="4">
        <v>227</v>
      </c>
      <c r="L701" s="4">
        <v>6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06" x14ac:dyDescent="0.2">
      <c r="A702" s="4">
        <v>50</v>
      </c>
      <c r="B702" s="4">
        <v>0</v>
      </c>
      <c r="C702" s="4">
        <v>0</v>
      </c>
      <c r="D702" s="4">
        <v>1</v>
      </c>
      <c r="E702" s="4">
        <v>228</v>
      </c>
      <c r="F702" s="4">
        <f>ROUND(Source!AY694,O702)</f>
        <v>408070.45</v>
      </c>
      <c r="G702" s="4" t="s">
        <v>86</v>
      </c>
      <c r="H702" s="4" t="s">
        <v>87</v>
      </c>
      <c r="I702" s="4"/>
      <c r="J702" s="4"/>
      <c r="K702" s="4">
        <v>228</v>
      </c>
      <c r="L702" s="4">
        <v>7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408070.45</v>
      </c>
      <c r="X702" s="4">
        <v>1</v>
      </c>
      <c r="Y702" s="4">
        <v>408070.45</v>
      </c>
      <c r="Z702" s="4"/>
      <c r="AA702" s="4"/>
      <c r="AB702" s="4"/>
    </row>
    <row r="703" spans="1:206" x14ac:dyDescent="0.2">
      <c r="A703" s="4">
        <v>50</v>
      </c>
      <c r="B703" s="4">
        <v>0</v>
      </c>
      <c r="C703" s="4">
        <v>0</v>
      </c>
      <c r="D703" s="4">
        <v>1</v>
      </c>
      <c r="E703" s="4">
        <v>216</v>
      </c>
      <c r="F703" s="4">
        <f>ROUND(Source!AP694,O703)</f>
        <v>0</v>
      </c>
      <c r="G703" s="4" t="s">
        <v>88</v>
      </c>
      <c r="H703" s="4" t="s">
        <v>89</v>
      </c>
      <c r="I703" s="4"/>
      <c r="J703" s="4"/>
      <c r="K703" s="4">
        <v>216</v>
      </c>
      <c r="L703" s="4">
        <v>8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06" x14ac:dyDescent="0.2">
      <c r="A704" s="4">
        <v>50</v>
      </c>
      <c r="B704" s="4">
        <v>0</v>
      </c>
      <c r="C704" s="4">
        <v>0</v>
      </c>
      <c r="D704" s="4">
        <v>1</v>
      </c>
      <c r="E704" s="4">
        <v>223</v>
      </c>
      <c r="F704" s="4">
        <f>ROUND(Source!AQ694,O704)</f>
        <v>0</v>
      </c>
      <c r="G704" s="4" t="s">
        <v>90</v>
      </c>
      <c r="H704" s="4" t="s">
        <v>91</v>
      </c>
      <c r="I704" s="4"/>
      <c r="J704" s="4"/>
      <c r="K704" s="4">
        <v>223</v>
      </c>
      <c r="L704" s="4">
        <v>9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229</v>
      </c>
      <c r="F705" s="4">
        <f>ROUND(Source!AZ694,O705)</f>
        <v>0</v>
      </c>
      <c r="G705" s="4" t="s">
        <v>92</v>
      </c>
      <c r="H705" s="4" t="s">
        <v>93</v>
      </c>
      <c r="I705" s="4"/>
      <c r="J705" s="4"/>
      <c r="K705" s="4">
        <v>229</v>
      </c>
      <c r="L705" s="4">
        <v>10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203</v>
      </c>
      <c r="F706" s="4">
        <f>ROUND(Source!Q694,O706)</f>
        <v>23908.95</v>
      </c>
      <c r="G706" s="4" t="s">
        <v>94</v>
      </c>
      <c r="H706" s="4" t="s">
        <v>95</v>
      </c>
      <c r="I706" s="4"/>
      <c r="J706" s="4"/>
      <c r="K706" s="4">
        <v>203</v>
      </c>
      <c r="L706" s="4">
        <v>11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23908.95</v>
      </c>
      <c r="X706" s="4">
        <v>1</v>
      </c>
      <c r="Y706" s="4">
        <v>23908.95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231</v>
      </c>
      <c r="F707" s="4">
        <f>ROUND(Source!BB694,O707)</f>
        <v>0</v>
      </c>
      <c r="G707" s="4" t="s">
        <v>96</v>
      </c>
      <c r="H707" s="4" t="s">
        <v>97</v>
      </c>
      <c r="I707" s="4"/>
      <c r="J707" s="4"/>
      <c r="K707" s="4">
        <v>231</v>
      </c>
      <c r="L707" s="4">
        <v>12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204</v>
      </c>
      <c r="F708" s="4">
        <f>ROUND(Source!R694,O708)</f>
        <v>12276.9</v>
      </c>
      <c r="G708" s="4" t="s">
        <v>98</v>
      </c>
      <c r="H708" s="4" t="s">
        <v>99</v>
      </c>
      <c r="I708" s="4"/>
      <c r="J708" s="4"/>
      <c r="K708" s="4">
        <v>204</v>
      </c>
      <c r="L708" s="4">
        <v>13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12276.9</v>
      </c>
      <c r="X708" s="4">
        <v>1</v>
      </c>
      <c r="Y708" s="4">
        <v>12276.9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205</v>
      </c>
      <c r="F709" s="4">
        <f>ROUND(Source!S694,O709)</f>
        <v>164829.5</v>
      </c>
      <c r="G709" s="4" t="s">
        <v>100</v>
      </c>
      <c r="H709" s="4" t="s">
        <v>101</v>
      </c>
      <c r="I709" s="4"/>
      <c r="J709" s="4"/>
      <c r="K709" s="4">
        <v>205</v>
      </c>
      <c r="L709" s="4">
        <v>14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164829.5</v>
      </c>
      <c r="X709" s="4">
        <v>1</v>
      </c>
      <c r="Y709" s="4">
        <v>164829.5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232</v>
      </c>
      <c r="F710" s="4">
        <f>ROUND(Source!BC694,O710)</f>
        <v>0</v>
      </c>
      <c r="G710" s="4" t="s">
        <v>102</v>
      </c>
      <c r="H710" s="4" t="s">
        <v>103</v>
      </c>
      <c r="I710" s="4"/>
      <c r="J710" s="4"/>
      <c r="K710" s="4">
        <v>232</v>
      </c>
      <c r="L710" s="4">
        <v>15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214</v>
      </c>
      <c r="F711" s="4">
        <f>ROUND(Source!AS694,O711)</f>
        <v>0</v>
      </c>
      <c r="G711" s="4" t="s">
        <v>104</v>
      </c>
      <c r="H711" s="4" t="s">
        <v>105</v>
      </c>
      <c r="I711" s="4"/>
      <c r="J711" s="4"/>
      <c r="K711" s="4">
        <v>214</v>
      </c>
      <c r="L711" s="4">
        <v>16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215</v>
      </c>
      <c r="F712" s="4">
        <f>ROUND(Source!AT694,O712)</f>
        <v>0</v>
      </c>
      <c r="G712" s="4" t="s">
        <v>106</v>
      </c>
      <c r="H712" s="4" t="s">
        <v>107</v>
      </c>
      <c r="I712" s="4"/>
      <c r="J712" s="4"/>
      <c r="K712" s="4">
        <v>215</v>
      </c>
      <c r="L712" s="4">
        <v>17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217</v>
      </c>
      <c r="F713" s="4">
        <f>ROUND(Source!AU694,O713)</f>
        <v>741009.02</v>
      </c>
      <c r="G713" s="4" t="s">
        <v>108</v>
      </c>
      <c r="H713" s="4" t="s">
        <v>109</v>
      </c>
      <c r="I713" s="4"/>
      <c r="J713" s="4"/>
      <c r="K713" s="4">
        <v>217</v>
      </c>
      <c r="L713" s="4">
        <v>18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741009.02</v>
      </c>
      <c r="X713" s="4">
        <v>1</v>
      </c>
      <c r="Y713" s="4">
        <v>741009.02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230</v>
      </c>
      <c r="F714" s="4">
        <f>ROUND(Source!BA694,O714)</f>
        <v>0</v>
      </c>
      <c r="G714" s="4" t="s">
        <v>110</v>
      </c>
      <c r="H714" s="4" t="s">
        <v>111</v>
      </c>
      <c r="I714" s="4"/>
      <c r="J714" s="4"/>
      <c r="K714" s="4">
        <v>230</v>
      </c>
      <c r="L714" s="4">
        <v>19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206</v>
      </c>
      <c r="F715" s="4">
        <f>ROUND(Source!T694,O715)</f>
        <v>0</v>
      </c>
      <c r="G715" s="4" t="s">
        <v>112</v>
      </c>
      <c r="H715" s="4" t="s">
        <v>113</v>
      </c>
      <c r="I715" s="4"/>
      <c r="J715" s="4"/>
      <c r="K715" s="4">
        <v>206</v>
      </c>
      <c r="L715" s="4">
        <v>20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0</v>
      </c>
      <c r="X715" s="4">
        <v>1</v>
      </c>
      <c r="Y715" s="4">
        <v>0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207</v>
      </c>
      <c r="F716" s="4">
        <f>Source!U694</f>
        <v>339.69718900000004</v>
      </c>
      <c r="G716" s="4" t="s">
        <v>114</v>
      </c>
      <c r="H716" s="4" t="s">
        <v>115</v>
      </c>
      <c r="I716" s="4"/>
      <c r="J716" s="4"/>
      <c r="K716" s="4">
        <v>207</v>
      </c>
      <c r="L716" s="4">
        <v>21</v>
      </c>
      <c r="M716" s="4">
        <v>3</v>
      </c>
      <c r="N716" s="4" t="s">
        <v>3</v>
      </c>
      <c r="O716" s="4">
        <v>-1</v>
      </c>
      <c r="P716" s="4"/>
      <c r="Q716" s="4"/>
      <c r="R716" s="4"/>
      <c r="S716" s="4"/>
      <c r="T716" s="4"/>
      <c r="U716" s="4"/>
      <c r="V716" s="4"/>
      <c r="W716" s="4">
        <v>339.69718899999998</v>
      </c>
      <c r="X716" s="4">
        <v>1</v>
      </c>
      <c r="Y716" s="4">
        <v>339.69718899999998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208</v>
      </c>
      <c r="F717" s="4">
        <f>Source!V694</f>
        <v>0</v>
      </c>
      <c r="G717" s="4" t="s">
        <v>116</v>
      </c>
      <c r="H717" s="4" t="s">
        <v>117</v>
      </c>
      <c r="I717" s="4"/>
      <c r="J717" s="4"/>
      <c r="K717" s="4">
        <v>208</v>
      </c>
      <c r="L717" s="4">
        <v>22</v>
      </c>
      <c r="M717" s="4">
        <v>3</v>
      </c>
      <c r="N717" s="4" t="s">
        <v>3</v>
      </c>
      <c r="O717" s="4">
        <v>-1</v>
      </c>
      <c r="P717" s="4"/>
      <c r="Q717" s="4"/>
      <c r="R717" s="4"/>
      <c r="S717" s="4"/>
      <c r="T717" s="4"/>
      <c r="U717" s="4"/>
      <c r="V717" s="4"/>
      <c r="W717" s="4">
        <v>0</v>
      </c>
      <c r="X717" s="4">
        <v>1</v>
      </c>
      <c r="Y717" s="4">
        <v>0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209</v>
      </c>
      <c r="F718" s="4">
        <f>ROUND(Source!W694,O718)</f>
        <v>0</v>
      </c>
      <c r="G718" s="4" t="s">
        <v>118</v>
      </c>
      <c r="H718" s="4" t="s">
        <v>119</v>
      </c>
      <c r="I718" s="4"/>
      <c r="J718" s="4"/>
      <c r="K718" s="4">
        <v>209</v>
      </c>
      <c r="L718" s="4">
        <v>23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233</v>
      </c>
      <c r="F719" s="4">
        <f>ROUND(Source!BD694,O719)</f>
        <v>0</v>
      </c>
      <c r="G719" s="4" t="s">
        <v>120</v>
      </c>
      <c r="H719" s="4" t="s">
        <v>121</v>
      </c>
      <c r="I719" s="4"/>
      <c r="J719" s="4"/>
      <c r="K719" s="4">
        <v>233</v>
      </c>
      <c r="L719" s="4">
        <v>24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210</v>
      </c>
      <c r="F720" s="4">
        <f>ROUND(Source!X694,O720)</f>
        <v>115380.67</v>
      </c>
      <c r="G720" s="4" t="s">
        <v>122</v>
      </c>
      <c r="H720" s="4" t="s">
        <v>123</v>
      </c>
      <c r="I720" s="4"/>
      <c r="J720" s="4"/>
      <c r="K720" s="4">
        <v>210</v>
      </c>
      <c r="L720" s="4">
        <v>25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115380.67</v>
      </c>
      <c r="X720" s="4">
        <v>1</v>
      </c>
      <c r="Y720" s="4">
        <v>115380.67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211</v>
      </c>
      <c r="F721" s="4">
        <f>ROUND(Source!Y694,O721)</f>
        <v>16482.98</v>
      </c>
      <c r="G721" s="4" t="s">
        <v>124</v>
      </c>
      <c r="H721" s="4" t="s">
        <v>125</v>
      </c>
      <c r="I721" s="4"/>
      <c r="J721" s="4"/>
      <c r="K721" s="4">
        <v>211</v>
      </c>
      <c r="L721" s="4">
        <v>26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16482.98</v>
      </c>
      <c r="X721" s="4">
        <v>1</v>
      </c>
      <c r="Y721" s="4">
        <v>16482.98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224</v>
      </c>
      <c r="F722" s="4">
        <f>ROUND(Source!AR694,O722)</f>
        <v>741009.02</v>
      </c>
      <c r="G722" s="4" t="s">
        <v>126</v>
      </c>
      <c r="H722" s="4" t="s">
        <v>127</v>
      </c>
      <c r="I722" s="4"/>
      <c r="J722" s="4"/>
      <c r="K722" s="4">
        <v>224</v>
      </c>
      <c r="L722" s="4">
        <v>27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741009.02</v>
      </c>
      <c r="X722" s="4">
        <v>1</v>
      </c>
      <c r="Y722" s="4">
        <v>741009.02</v>
      </c>
      <c r="Z722" s="4"/>
      <c r="AA722" s="4"/>
      <c r="AB722" s="4"/>
    </row>
    <row r="723" spans="1:28" x14ac:dyDescent="0.2">
      <c r="A723" s="4">
        <v>50</v>
      </c>
      <c r="B723" s="4">
        <v>1</v>
      </c>
      <c r="C723" s="4">
        <v>0</v>
      </c>
      <c r="D723" s="4">
        <v>2</v>
      </c>
      <c r="E723" s="4">
        <v>0</v>
      </c>
      <c r="F723" s="4">
        <f>ROUND(F722*0.2,O723)</f>
        <v>148201.79999999999</v>
      </c>
      <c r="G723" s="4" t="s">
        <v>325</v>
      </c>
      <c r="H723" s="4" t="s">
        <v>326</v>
      </c>
      <c r="I723" s="4"/>
      <c r="J723" s="4"/>
      <c r="K723" s="4">
        <v>212</v>
      </c>
      <c r="L723" s="4">
        <v>28</v>
      </c>
      <c r="M723" s="4">
        <v>0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148201.79999999999</v>
      </c>
      <c r="X723" s="4">
        <v>1</v>
      </c>
      <c r="Y723" s="4">
        <v>148201.79999999999</v>
      </c>
      <c r="Z723" s="4"/>
      <c r="AA723" s="4"/>
      <c r="AB723" s="4"/>
    </row>
    <row r="724" spans="1:28" x14ac:dyDescent="0.2">
      <c r="A724" s="4">
        <v>50</v>
      </c>
      <c r="B724" s="4">
        <v>1</v>
      </c>
      <c r="C724" s="4">
        <v>0</v>
      </c>
      <c r="D724" s="4">
        <v>2</v>
      </c>
      <c r="E724" s="4">
        <v>213</v>
      </c>
      <c r="F724" s="4">
        <f>ROUND(F722+F723,O724)</f>
        <v>889210.82</v>
      </c>
      <c r="G724" s="4" t="s">
        <v>327</v>
      </c>
      <c r="H724" s="4" t="s">
        <v>328</v>
      </c>
      <c r="I724" s="4"/>
      <c r="J724" s="4"/>
      <c r="K724" s="4">
        <v>212</v>
      </c>
      <c r="L724" s="4">
        <v>29</v>
      </c>
      <c r="M724" s="4">
        <v>0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889210.82</v>
      </c>
      <c r="X724" s="4">
        <v>1</v>
      </c>
      <c r="Y724" s="4">
        <v>889210.82</v>
      </c>
      <c r="Z724" s="4"/>
      <c r="AA724" s="4"/>
      <c r="AB724" s="4"/>
    </row>
    <row r="725" spans="1:28" x14ac:dyDescent="0.2">
      <c r="A725" s="4">
        <v>50</v>
      </c>
      <c r="B725" s="4">
        <v>1</v>
      </c>
      <c r="C725" s="4">
        <v>0</v>
      </c>
      <c r="D725" s="4">
        <v>2</v>
      </c>
      <c r="E725" s="4">
        <v>0</v>
      </c>
      <c r="F725" s="4">
        <f>ROUND(0,O725)</f>
        <v>0</v>
      </c>
      <c r="G725" s="4" t="s">
        <v>17</v>
      </c>
      <c r="H725" s="4" t="s">
        <v>329</v>
      </c>
      <c r="I725" s="4"/>
      <c r="J725" s="4"/>
      <c r="K725" s="4">
        <v>212</v>
      </c>
      <c r="L725" s="4">
        <v>31</v>
      </c>
      <c r="M725" s="4">
        <v>0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0</v>
      </c>
      <c r="X725" s="4">
        <v>1</v>
      </c>
      <c r="Y725" s="4">
        <v>0</v>
      </c>
      <c r="Z725" s="4"/>
      <c r="AA725" s="4"/>
      <c r="AB725" s="4"/>
    </row>
    <row r="728" spans="1:28" x14ac:dyDescent="0.2">
      <c r="A728">
        <v>-1</v>
      </c>
    </row>
    <row r="730" spans="1:28" x14ac:dyDescent="0.2">
      <c r="A730" s="3">
        <v>75</v>
      </c>
      <c r="B730" s="3" t="s">
        <v>330</v>
      </c>
      <c r="C730" s="3">
        <v>2025</v>
      </c>
      <c r="D730" s="3">
        <v>2</v>
      </c>
      <c r="E730" s="3">
        <v>0</v>
      </c>
      <c r="F730" s="3"/>
      <c r="G730" s="3">
        <v>0</v>
      </c>
      <c r="H730" s="3">
        <v>1</v>
      </c>
      <c r="I730" s="3">
        <v>0</v>
      </c>
      <c r="J730" s="3">
        <v>1</v>
      </c>
      <c r="K730" s="3">
        <v>78</v>
      </c>
      <c r="L730" s="3">
        <v>30</v>
      </c>
      <c r="M730" s="3">
        <v>0</v>
      </c>
      <c r="N730" s="3">
        <v>75700856</v>
      </c>
      <c r="O730" s="3">
        <v>1</v>
      </c>
    </row>
    <row r="734" spans="1:28" x14ac:dyDescent="0.2">
      <c r="A734">
        <v>65</v>
      </c>
      <c r="C734">
        <v>1</v>
      </c>
      <c r="D734">
        <v>0</v>
      </c>
      <c r="E73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331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75700856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ROUND((Source!F681)/1000,2)</f>
        <v>0</v>
      </c>
      <c r="F16" s="6">
        <f>ROUND((Source!F682)/1000,2)</f>
        <v>0</v>
      </c>
      <c r="G16" s="6">
        <f>ROUND((Source!F673)/1000,2)</f>
        <v>0</v>
      </c>
      <c r="H16" s="6">
        <f>ROUND((Source!F683)/1000+(Source!F684)/1000,2)</f>
        <v>741.01</v>
      </c>
      <c r="I16" s="6">
        <f>E16+F16+G16+H16</f>
        <v>741.01</v>
      </c>
      <c r="J16" s="6">
        <f>ROUND((Source!F679+Source!F678)/1000,2)</f>
        <v>177.11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596808.9</v>
      </c>
      <c r="AU16" s="6">
        <v>408070.45</v>
      </c>
      <c r="AV16" s="6">
        <v>0</v>
      </c>
      <c r="AW16" s="6">
        <v>0</v>
      </c>
      <c r="AX16" s="6">
        <v>0</v>
      </c>
      <c r="AY16" s="6">
        <v>23908.95</v>
      </c>
      <c r="AZ16" s="6">
        <v>12276.9</v>
      </c>
      <c r="BA16" s="6">
        <v>164829.5</v>
      </c>
      <c r="BB16" s="6">
        <v>0</v>
      </c>
      <c r="BC16" s="6">
        <v>0</v>
      </c>
      <c r="BD16" s="6">
        <v>741009.02</v>
      </c>
      <c r="BE16" s="6">
        <v>0</v>
      </c>
      <c r="BF16" s="6">
        <v>339.69718899999998</v>
      </c>
      <c r="BG16" s="6">
        <v>0</v>
      </c>
      <c r="BH16" s="6">
        <v>0</v>
      </c>
      <c r="BI16" s="6">
        <v>115380.67</v>
      </c>
      <c r="BJ16" s="6">
        <v>16482.98</v>
      </c>
      <c r="BK16" s="6">
        <v>741009.02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741.01</v>
      </c>
      <c r="I18" s="7">
        <f>SUMIF(A16:A17,3,I16:I17)</f>
        <v>741.01</v>
      </c>
      <c r="J18" s="7">
        <f>SUMIF(A16:A17,3,J16:J17)</f>
        <v>177.11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596808.9</v>
      </c>
      <c r="G20" s="4" t="s">
        <v>74</v>
      </c>
      <c r="H20" s="4" t="s">
        <v>75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408070.45</v>
      </c>
      <c r="G21" s="4" t="s">
        <v>76</v>
      </c>
      <c r="H21" s="4" t="s">
        <v>77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78</v>
      </c>
      <c r="H22" s="4" t="s">
        <v>79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408070.45</v>
      </c>
      <c r="G23" s="4" t="s">
        <v>80</v>
      </c>
      <c r="H23" s="4" t="s">
        <v>81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408070.45</v>
      </c>
      <c r="G24" s="4" t="s">
        <v>82</v>
      </c>
      <c r="H24" s="4" t="s">
        <v>83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84</v>
      </c>
      <c r="H25" s="4" t="s">
        <v>85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408070.45</v>
      </c>
      <c r="G26" s="4" t="s">
        <v>86</v>
      </c>
      <c r="H26" s="4" t="s">
        <v>87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88</v>
      </c>
      <c r="H27" s="4" t="s">
        <v>89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90</v>
      </c>
      <c r="H28" s="4" t="s">
        <v>91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92</v>
      </c>
      <c r="H29" s="4" t="s">
        <v>93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23908.95</v>
      </c>
      <c r="G30" s="4" t="s">
        <v>94</v>
      </c>
      <c r="H30" s="4" t="s">
        <v>95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96</v>
      </c>
      <c r="H31" s="4" t="s">
        <v>97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12276.9</v>
      </c>
      <c r="G32" s="4" t="s">
        <v>98</v>
      </c>
      <c r="H32" s="4" t="s">
        <v>99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164829.5</v>
      </c>
      <c r="G33" s="4" t="s">
        <v>100</v>
      </c>
      <c r="H33" s="4" t="s">
        <v>101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102</v>
      </c>
      <c r="H34" s="4" t="s">
        <v>103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104</v>
      </c>
      <c r="H35" s="4" t="s">
        <v>105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106</v>
      </c>
      <c r="H36" s="4" t="s">
        <v>107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741009.02</v>
      </c>
      <c r="G37" s="4" t="s">
        <v>108</v>
      </c>
      <c r="H37" s="4" t="s">
        <v>109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110</v>
      </c>
      <c r="H38" s="4" t="s">
        <v>111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112</v>
      </c>
      <c r="H39" s="4" t="s">
        <v>113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339.69718899999998</v>
      </c>
      <c r="G40" s="4" t="s">
        <v>114</v>
      </c>
      <c r="H40" s="4" t="s">
        <v>115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116</v>
      </c>
      <c r="H41" s="4" t="s">
        <v>117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118</v>
      </c>
      <c r="H42" s="4" t="s">
        <v>119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120</v>
      </c>
      <c r="H43" s="4" t="s">
        <v>121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115380.67</v>
      </c>
      <c r="G44" s="4" t="s">
        <v>122</v>
      </c>
      <c r="H44" s="4" t="s">
        <v>123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16482.98</v>
      </c>
      <c r="G45" s="4" t="s">
        <v>124</v>
      </c>
      <c r="H45" s="4" t="s">
        <v>125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741009.02</v>
      </c>
      <c r="G46" s="4" t="s">
        <v>126</v>
      </c>
      <c r="H46" s="4" t="s">
        <v>127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148201.79999999999</v>
      </c>
      <c r="G47" s="4" t="s">
        <v>325</v>
      </c>
      <c r="H47" s="4" t="s">
        <v>326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889210.82</v>
      </c>
      <c r="G48" s="4" t="s">
        <v>327</v>
      </c>
      <c r="H48" s="4" t="s">
        <v>328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0</v>
      </c>
      <c r="G49" s="4" t="s">
        <v>17</v>
      </c>
      <c r="H49" s="4" t="s">
        <v>329</v>
      </c>
      <c r="I49" s="4"/>
      <c r="J49" s="4"/>
      <c r="K49" s="4">
        <v>212</v>
      </c>
      <c r="L49" s="4">
        <v>31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330</v>
      </c>
      <c r="C54" s="3">
        <v>2025</v>
      </c>
      <c r="D54" s="3">
        <v>2</v>
      </c>
      <c r="E54" s="3">
        <v>0</v>
      </c>
      <c r="F54" s="3"/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75700856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1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ROW(Source!A32)</f>
        <v>32</v>
      </c>
      <c r="B1">
        <v>75700856</v>
      </c>
      <c r="C1">
        <v>75701025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332</v>
      </c>
      <c r="J1" t="s">
        <v>3</v>
      </c>
      <c r="K1" t="s">
        <v>333</v>
      </c>
      <c r="L1">
        <v>1191</v>
      </c>
      <c r="N1">
        <v>1013</v>
      </c>
      <c r="O1" t="s">
        <v>334</v>
      </c>
      <c r="P1" t="s">
        <v>334</v>
      </c>
      <c r="Q1">
        <v>1</v>
      </c>
      <c r="W1">
        <v>0</v>
      </c>
      <c r="X1">
        <v>476480486</v>
      </c>
      <c r="Y1">
        <f t="shared" ref="Y1:Y32" si="0">AT1</f>
        <v>3.13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3.13</v>
      </c>
      <c r="AU1" t="s">
        <v>3</v>
      </c>
      <c r="AV1">
        <v>1</v>
      </c>
      <c r="AW1">
        <v>2</v>
      </c>
      <c r="AX1">
        <v>75702295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2.8170000000000001E-2</v>
      </c>
      <c r="CW1">
        <v>0</v>
      </c>
      <c r="CX1">
        <f>ROUND(Y1*Source!I32,9)</f>
        <v>2.8170000000000001E-2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64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ROW(Source!A32)</f>
        <v>32</v>
      </c>
      <c r="B2">
        <v>75700856</v>
      </c>
      <c r="C2">
        <v>75701025</v>
      </c>
      <c r="D2">
        <v>75388550</v>
      </c>
      <c r="E2">
        <v>1</v>
      </c>
      <c r="F2">
        <v>1</v>
      </c>
      <c r="G2">
        <v>39</v>
      </c>
      <c r="H2">
        <v>2</v>
      </c>
      <c r="I2" t="s">
        <v>335</v>
      </c>
      <c r="J2" t="s">
        <v>336</v>
      </c>
      <c r="K2" t="s">
        <v>337</v>
      </c>
      <c r="L2">
        <v>1368</v>
      </c>
      <c r="N2">
        <v>1011</v>
      </c>
      <c r="O2" t="s">
        <v>338</v>
      </c>
      <c r="P2" t="s">
        <v>338</v>
      </c>
      <c r="Q2">
        <v>1</v>
      </c>
      <c r="W2">
        <v>0</v>
      </c>
      <c r="X2">
        <v>-247555338</v>
      </c>
      <c r="Y2">
        <f t="shared" si="0"/>
        <v>1</v>
      </c>
      <c r="AA2">
        <v>0</v>
      </c>
      <c r="AB2">
        <v>7.44</v>
      </c>
      <c r="AC2">
        <v>0.01</v>
      </c>
      <c r="AD2">
        <v>0</v>
      </c>
      <c r="AE2">
        <v>0</v>
      </c>
      <c r="AF2">
        <v>7.44</v>
      </c>
      <c r="AG2">
        <v>0.01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1</v>
      </c>
      <c r="AU2" t="s">
        <v>3</v>
      </c>
      <c r="AV2">
        <v>0</v>
      </c>
      <c r="AW2">
        <v>2</v>
      </c>
      <c r="AX2">
        <v>75702296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ROUND(Y2*Source!I32*DO2,9)</f>
        <v>0</v>
      </c>
      <c r="CX2">
        <f>ROUND(Y2*Source!I32,9)</f>
        <v>8.9999999999999993E-3</v>
      </c>
      <c r="CY2">
        <f>AB2</f>
        <v>7.44</v>
      </c>
      <c r="CZ2">
        <f>AF2</f>
        <v>7.44</v>
      </c>
      <c r="DA2">
        <f>AJ2</f>
        <v>1</v>
      </c>
      <c r="DB2">
        <f t="shared" si="1"/>
        <v>7.44</v>
      </c>
      <c r="DC2">
        <f t="shared" si="2"/>
        <v>0.01</v>
      </c>
      <c r="DD2" t="s">
        <v>3</v>
      </c>
      <c r="DE2" t="s">
        <v>3</v>
      </c>
      <c r="DF2">
        <f t="shared" si="3"/>
        <v>0</v>
      </c>
      <c r="DG2">
        <f t="shared" si="4"/>
        <v>7.0000000000000007E-2</v>
      </c>
      <c r="DH2">
        <f t="shared" si="5"/>
        <v>0</v>
      </c>
      <c r="DI2">
        <f t="shared" si="6"/>
        <v>0</v>
      </c>
      <c r="DJ2">
        <f>DG2</f>
        <v>7.0000000000000007E-2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ROW(Source!A33)</f>
        <v>33</v>
      </c>
      <c r="B3">
        <v>75700856</v>
      </c>
      <c r="C3">
        <v>75701030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332</v>
      </c>
      <c r="J3" t="s">
        <v>3</v>
      </c>
      <c r="K3" t="s">
        <v>333</v>
      </c>
      <c r="L3">
        <v>1191</v>
      </c>
      <c r="N3">
        <v>1013</v>
      </c>
      <c r="O3" t="s">
        <v>334</v>
      </c>
      <c r="P3" t="s">
        <v>334</v>
      </c>
      <c r="Q3">
        <v>1</v>
      </c>
      <c r="W3">
        <v>0</v>
      </c>
      <c r="X3">
        <v>476480486</v>
      </c>
      <c r="Y3">
        <f t="shared" si="0"/>
        <v>2.78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2.78</v>
      </c>
      <c r="AU3" t="s">
        <v>3</v>
      </c>
      <c r="AV3">
        <v>1</v>
      </c>
      <c r="AW3">
        <v>2</v>
      </c>
      <c r="AX3">
        <v>75702297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ROUND(AT3*Source!I33*AH3*AL3,2)</f>
        <v>0</v>
      </c>
      <c r="CV3">
        <f>ROUND(Y3*Source!I33,9)</f>
        <v>0.89932999999999996</v>
      </c>
      <c r="CW3">
        <v>0</v>
      </c>
      <c r="CX3">
        <f>ROUND(Y3*Source!I33,9)</f>
        <v>0.89932999999999996</v>
      </c>
      <c r="CY3">
        <f>AD3</f>
        <v>0</v>
      </c>
      <c r="CZ3">
        <f>AH3</f>
        <v>0</v>
      </c>
      <c r="DA3">
        <f>AL3</f>
        <v>1</v>
      </c>
      <c r="DB3">
        <f t="shared" si="1"/>
        <v>0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ROW(Source!A33)</f>
        <v>33</v>
      </c>
      <c r="B4">
        <v>75700856</v>
      </c>
      <c r="C4">
        <v>75701030</v>
      </c>
      <c r="D4">
        <v>75388550</v>
      </c>
      <c r="E4">
        <v>1</v>
      </c>
      <c r="F4">
        <v>1</v>
      </c>
      <c r="G4">
        <v>39</v>
      </c>
      <c r="H4">
        <v>2</v>
      </c>
      <c r="I4" t="s">
        <v>335</v>
      </c>
      <c r="J4" t="s">
        <v>336</v>
      </c>
      <c r="K4" t="s">
        <v>337</v>
      </c>
      <c r="L4">
        <v>1368</v>
      </c>
      <c r="N4">
        <v>1011</v>
      </c>
      <c r="O4" t="s">
        <v>338</v>
      </c>
      <c r="P4" t="s">
        <v>338</v>
      </c>
      <c r="Q4">
        <v>1</v>
      </c>
      <c r="W4">
        <v>0</v>
      </c>
      <c r="X4">
        <v>-247555338</v>
      </c>
      <c r="Y4">
        <f t="shared" si="0"/>
        <v>0.34</v>
      </c>
      <c r="AA4">
        <v>0</v>
      </c>
      <c r="AB4">
        <v>7.44</v>
      </c>
      <c r="AC4">
        <v>0.01</v>
      </c>
      <c r="AD4">
        <v>0</v>
      </c>
      <c r="AE4">
        <v>0</v>
      </c>
      <c r="AF4">
        <v>7.44</v>
      </c>
      <c r="AG4">
        <v>0.01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0.34</v>
      </c>
      <c r="AU4" t="s">
        <v>3</v>
      </c>
      <c r="AV4">
        <v>0</v>
      </c>
      <c r="AW4">
        <v>2</v>
      </c>
      <c r="AX4">
        <v>75702298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ROUND(Y4*Source!I33*DO4,9)</f>
        <v>0</v>
      </c>
      <c r="CX4">
        <f>ROUND(Y4*Source!I33,9)</f>
        <v>0.10999</v>
      </c>
      <c r="CY4">
        <f>AB4</f>
        <v>7.44</v>
      </c>
      <c r="CZ4">
        <f>AF4</f>
        <v>7.44</v>
      </c>
      <c r="DA4">
        <f>AJ4</f>
        <v>1</v>
      </c>
      <c r="DB4">
        <f t="shared" si="1"/>
        <v>2.5299999999999998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0.82</v>
      </c>
      <c r="DH4">
        <f t="shared" si="5"/>
        <v>0</v>
      </c>
      <c r="DI4">
        <f t="shared" si="6"/>
        <v>0</v>
      </c>
      <c r="DJ4">
        <f>DG4</f>
        <v>0.82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ROW(Source!A34)</f>
        <v>34</v>
      </c>
      <c r="B5">
        <v>75700856</v>
      </c>
      <c r="C5">
        <v>75701035</v>
      </c>
      <c r="D5">
        <v>75386788</v>
      </c>
      <c r="E5">
        <v>39</v>
      </c>
      <c r="F5">
        <v>1</v>
      </c>
      <c r="G5">
        <v>39</v>
      </c>
      <c r="H5">
        <v>1</v>
      </c>
      <c r="I5" t="s">
        <v>332</v>
      </c>
      <c r="J5" t="s">
        <v>3</v>
      </c>
      <c r="K5" t="s">
        <v>333</v>
      </c>
      <c r="L5">
        <v>1191</v>
      </c>
      <c r="N5">
        <v>1013</v>
      </c>
      <c r="O5" t="s">
        <v>334</v>
      </c>
      <c r="P5" t="s">
        <v>334</v>
      </c>
      <c r="Q5">
        <v>1</v>
      </c>
      <c r="W5">
        <v>0</v>
      </c>
      <c r="X5">
        <v>476480486</v>
      </c>
      <c r="Y5">
        <f t="shared" si="0"/>
        <v>11.39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11.39</v>
      </c>
      <c r="AU5" t="s">
        <v>3</v>
      </c>
      <c r="AV5">
        <v>1</v>
      </c>
      <c r="AW5">
        <v>2</v>
      </c>
      <c r="AX5">
        <v>75702299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ROUND(AT5*Source!I34*AH5*AL5,2)</f>
        <v>0</v>
      </c>
      <c r="CV5">
        <f>ROUND(Y5*Source!I34,9)</f>
        <v>6.3897899999999996</v>
      </c>
      <c r="CW5">
        <v>0</v>
      </c>
      <c r="CX5">
        <f>ROUND(Y5*Source!I34,9)</f>
        <v>6.3897899999999996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ROW(Source!A34)</f>
        <v>34</v>
      </c>
      <c r="B6">
        <v>75700856</v>
      </c>
      <c r="C6">
        <v>75701035</v>
      </c>
      <c r="D6">
        <v>75386789</v>
      </c>
      <c r="E6">
        <v>39</v>
      </c>
      <c r="F6">
        <v>1</v>
      </c>
      <c r="G6">
        <v>39</v>
      </c>
      <c r="H6">
        <v>3</v>
      </c>
      <c r="I6" t="s">
        <v>339</v>
      </c>
      <c r="J6" t="s">
        <v>3</v>
      </c>
      <c r="K6" t="s">
        <v>340</v>
      </c>
      <c r="L6">
        <v>1348</v>
      </c>
      <c r="N6">
        <v>1009</v>
      </c>
      <c r="O6" t="s">
        <v>68</v>
      </c>
      <c r="P6" t="s">
        <v>68</v>
      </c>
      <c r="Q6">
        <v>1000</v>
      </c>
      <c r="W6">
        <v>0</v>
      </c>
      <c r="X6">
        <v>1489638031</v>
      </c>
      <c r="Y6">
        <f t="shared" si="0"/>
        <v>0.47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0.47</v>
      </c>
      <c r="AU6" t="s">
        <v>3</v>
      </c>
      <c r="AV6">
        <v>0</v>
      </c>
      <c r="AW6">
        <v>2</v>
      </c>
      <c r="AX6">
        <v>75702300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ROUND(Y6*Source!I34,9)</f>
        <v>0.26367000000000002</v>
      </c>
      <c r="CY6">
        <f>AA6</f>
        <v>0</v>
      </c>
      <c r="CZ6">
        <f>AE6</f>
        <v>0</v>
      </c>
      <c r="DA6">
        <f>AI6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ROW(Source!A35)</f>
        <v>35</v>
      </c>
      <c r="B7">
        <v>75700856</v>
      </c>
      <c r="C7">
        <v>75701040</v>
      </c>
      <c r="D7">
        <v>75386788</v>
      </c>
      <c r="E7">
        <v>39</v>
      </c>
      <c r="F7">
        <v>1</v>
      </c>
      <c r="G7">
        <v>39</v>
      </c>
      <c r="H7">
        <v>1</v>
      </c>
      <c r="I7" t="s">
        <v>332</v>
      </c>
      <c r="J7" t="s">
        <v>3</v>
      </c>
      <c r="K7" t="s">
        <v>333</v>
      </c>
      <c r="L7">
        <v>1191</v>
      </c>
      <c r="N7">
        <v>1013</v>
      </c>
      <c r="O7" t="s">
        <v>334</v>
      </c>
      <c r="P7" t="s">
        <v>334</v>
      </c>
      <c r="Q7">
        <v>1</v>
      </c>
      <c r="W7">
        <v>0</v>
      </c>
      <c r="X7">
        <v>476480486</v>
      </c>
      <c r="Y7">
        <f t="shared" si="0"/>
        <v>37.97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37.97</v>
      </c>
      <c r="AU7" t="s">
        <v>3</v>
      </c>
      <c r="AV7">
        <v>1</v>
      </c>
      <c r="AW7">
        <v>2</v>
      </c>
      <c r="AX7">
        <v>75702301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ROUND(AT7*Source!I35*AH7*AL7,2)</f>
        <v>0</v>
      </c>
      <c r="CV7">
        <f>ROUND(Y7*Source!I35,9)</f>
        <v>21.301169999999999</v>
      </c>
      <c r="CW7">
        <v>0</v>
      </c>
      <c r="CX7">
        <f>ROUND(Y7*Source!I35,9)</f>
        <v>21.301169999999999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ROW(Source!A35)</f>
        <v>35</v>
      </c>
      <c r="B8">
        <v>75700856</v>
      </c>
      <c r="C8">
        <v>75701040</v>
      </c>
      <c r="D8">
        <v>75388182</v>
      </c>
      <c r="E8">
        <v>1</v>
      </c>
      <c r="F8">
        <v>1</v>
      </c>
      <c r="G8">
        <v>39</v>
      </c>
      <c r="H8">
        <v>2</v>
      </c>
      <c r="I8" t="s">
        <v>341</v>
      </c>
      <c r="J8" t="s">
        <v>342</v>
      </c>
      <c r="K8" t="s">
        <v>343</v>
      </c>
      <c r="L8">
        <v>1368</v>
      </c>
      <c r="N8">
        <v>1011</v>
      </c>
      <c r="O8" t="s">
        <v>338</v>
      </c>
      <c r="P8" t="s">
        <v>338</v>
      </c>
      <c r="Q8">
        <v>1</v>
      </c>
      <c r="W8">
        <v>0</v>
      </c>
      <c r="X8">
        <v>64700738</v>
      </c>
      <c r="Y8">
        <f t="shared" si="0"/>
        <v>3</v>
      </c>
      <c r="AA8">
        <v>0</v>
      </c>
      <c r="AB8">
        <v>56.19</v>
      </c>
      <c r="AC8">
        <v>0.31</v>
      </c>
      <c r="AD8">
        <v>0</v>
      </c>
      <c r="AE8">
        <v>0</v>
      </c>
      <c r="AF8">
        <v>56.19</v>
      </c>
      <c r="AG8">
        <v>0.31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3</v>
      </c>
      <c r="AU8" t="s">
        <v>3</v>
      </c>
      <c r="AV8">
        <v>0</v>
      </c>
      <c r="AW8">
        <v>2</v>
      </c>
      <c r="AX8">
        <v>75702302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f>ROUND(Y8*Source!I35*DO8,9)</f>
        <v>0</v>
      </c>
      <c r="CX8">
        <f>ROUND(Y8*Source!I35,9)</f>
        <v>1.6830000000000001</v>
      </c>
      <c r="CY8">
        <f>AB8</f>
        <v>56.19</v>
      </c>
      <c r="CZ8">
        <f>AF8</f>
        <v>56.19</v>
      </c>
      <c r="DA8">
        <f>AJ8</f>
        <v>1</v>
      </c>
      <c r="DB8">
        <f t="shared" si="1"/>
        <v>168.57</v>
      </c>
      <c r="DC8">
        <f t="shared" si="2"/>
        <v>0.93</v>
      </c>
      <c r="DD8" t="s">
        <v>3</v>
      </c>
      <c r="DE8" t="s">
        <v>3</v>
      </c>
      <c r="DF8">
        <f t="shared" si="3"/>
        <v>0</v>
      </c>
      <c r="DG8">
        <f t="shared" si="4"/>
        <v>94.57</v>
      </c>
      <c r="DH8">
        <f t="shared" si="5"/>
        <v>0.52</v>
      </c>
      <c r="DI8">
        <f t="shared" si="6"/>
        <v>0</v>
      </c>
      <c r="DJ8">
        <f>DG8</f>
        <v>94.57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ROW(Source!A35)</f>
        <v>35</v>
      </c>
      <c r="B9">
        <v>75700856</v>
      </c>
      <c r="C9">
        <v>75701040</v>
      </c>
      <c r="D9">
        <v>75388586</v>
      </c>
      <c r="E9">
        <v>1</v>
      </c>
      <c r="F9">
        <v>1</v>
      </c>
      <c r="G9">
        <v>39</v>
      </c>
      <c r="H9">
        <v>2</v>
      </c>
      <c r="I9" t="s">
        <v>344</v>
      </c>
      <c r="J9" t="s">
        <v>345</v>
      </c>
      <c r="K9" t="s">
        <v>346</v>
      </c>
      <c r="L9">
        <v>1368</v>
      </c>
      <c r="N9">
        <v>1011</v>
      </c>
      <c r="O9" t="s">
        <v>338</v>
      </c>
      <c r="P9" t="s">
        <v>338</v>
      </c>
      <c r="Q9">
        <v>1</v>
      </c>
      <c r="W9">
        <v>0</v>
      </c>
      <c r="X9">
        <v>-684189830</v>
      </c>
      <c r="Y9">
        <f t="shared" si="0"/>
        <v>4.1500000000000004</v>
      </c>
      <c r="AA9">
        <v>0</v>
      </c>
      <c r="AB9">
        <v>10.7</v>
      </c>
      <c r="AC9">
        <v>1.91</v>
      </c>
      <c r="AD9">
        <v>0</v>
      </c>
      <c r="AE9">
        <v>0</v>
      </c>
      <c r="AF9">
        <v>10.7</v>
      </c>
      <c r="AG9">
        <v>1.91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4.1500000000000004</v>
      </c>
      <c r="AU9" t="s">
        <v>3</v>
      </c>
      <c r="AV9">
        <v>0</v>
      </c>
      <c r="AW9">
        <v>2</v>
      </c>
      <c r="AX9">
        <v>75702303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ROUND(Y9*Source!I35*DO9,9)</f>
        <v>0</v>
      </c>
      <c r="CX9">
        <f>ROUND(Y9*Source!I35,9)</f>
        <v>2.3281499999999999</v>
      </c>
      <c r="CY9">
        <f>AB9</f>
        <v>10.7</v>
      </c>
      <c r="CZ9">
        <f>AF9</f>
        <v>10.7</v>
      </c>
      <c r="DA9">
        <f>AJ9</f>
        <v>1</v>
      </c>
      <c r="DB9">
        <f t="shared" si="1"/>
        <v>44.41</v>
      </c>
      <c r="DC9">
        <f t="shared" si="2"/>
        <v>7.93</v>
      </c>
      <c r="DD9" t="s">
        <v>3</v>
      </c>
      <c r="DE9" t="s">
        <v>3</v>
      </c>
      <c r="DF9">
        <f t="shared" si="3"/>
        <v>0</v>
      </c>
      <c r="DG9">
        <f t="shared" si="4"/>
        <v>24.91</v>
      </c>
      <c r="DH9">
        <f t="shared" si="5"/>
        <v>4.45</v>
      </c>
      <c r="DI9">
        <f t="shared" si="6"/>
        <v>0</v>
      </c>
      <c r="DJ9">
        <f>DG9</f>
        <v>24.91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ROW(Source!A35)</f>
        <v>35</v>
      </c>
      <c r="B10">
        <v>75700856</v>
      </c>
      <c r="C10">
        <v>75701040</v>
      </c>
      <c r="D10">
        <v>75387866</v>
      </c>
      <c r="E10">
        <v>1</v>
      </c>
      <c r="F10">
        <v>1</v>
      </c>
      <c r="G10">
        <v>39</v>
      </c>
      <c r="H10">
        <v>2</v>
      </c>
      <c r="I10" t="s">
        <v>347</v>
      </c>
      <c r="J10" t="s">
        <v>348</v>
      </c>
      <c r="K10" t="s">
        <v>349</v>
      </c>
      <c r="L10">
        <v>1368</v>
      </c>
      <c r="N10">
        <v>1011</v>
      </c>
      <c r="O10" t="s">
        <v>338</v>
      </c>
      <c r="P10" t="s">
        <v>338</v>
      </c>
      <c r="Q10">
        <v>1</v>
      </c>
      <c r="W10">
        <v>0</v>
      </c>
      <c r="X10">
        <v>2002913998</v>
      </c>
      <c r="Y10">
        <f t="shared" si="0"/>
        <v>0.02</v>
      </c>
      <c r="AA10">
        <v>0</v>
      </c>
      <c r="AB10">
        <v>1472.88</v>
      </c>
      <c r="AC10">
        <v>893.16</v>
      </c>
      <c r="AD10">
        <v>0</v>
      </c>
      <c r="AE10">
        <v>0</v>
      </c>
      <c r="AF10">
        <v>1472.88</v>
      </c>
      <c r="AG10">
        <v>893.16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0.02</v>
      </c>
      <c r="AU10" t="s">
        <v>3</v>
      </c>
      <c r="AV10">
        <v>0</v>
      </c>
      <c r="AW10">
        <v>2</v>
      </c>
      <c r="AX10">
        <v>75702304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ROUND(Y10*Source!I35*DO10,9)</f>
        <v>0</v>
      </c>
      <c r="CX10">
        <f>ROUND(Y10*Source!I35,9)</f>
        <v>1.1220000000000001E-2</v>
      </c>
      <c r="CY10">
        <f>AB10</f>
        <v>1472.88</v>
      </c>
      <c r="CZ10">
        <f>AF10</f>
        <v>1472.88</v>
      </c>
      <c r="DA10">
        <f>AJ10</f>
        <v>1</v>
      </c>
      <c r="DB10">
        <f t="shared" si="1"/>
        <v>29.46</v>
      </c>
      <c r="DC10">
        <f t="shared" si="2"/>
        <v>17.86</v>
      </c>
      <c r="DD10" t="s">
        <v>3</v>
      </c>
      <c r="DE10" t="s">
        <v>3</v>
      </c>
      <c r="DF10">
        <f t="shared" si="3"/>
        <v>0</v>
      </c>
      <c r="DG10">
        <f t="shared" si="4"/>
        <v>16.53</v>
      </c>
      <c r="DH10">
        <f t="shared" si="5"/>
        <v>10.02</v>
      </c>
      <c r="DI10">
        <f t="shared" si="6"/>
        <v>0</v>
      </c>
      <c r="DJ10">
        <f>DG10</f>
        <v>16.53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ROW(Source!A35)</f>
        <v>35</v>
      </c>
      <c r="B11">
        <v>75700856</v>
      </c>
      <c r="C11">
        <v>75701040</v>
      </c>
      <c r="D11">
        <v>75390588</v>
      </c>
      <c r="E11">
        <v>1</v>
      </c>
      <c r="F11">
        <v>1</v>
      </c>
      <c r="G11">
        <v>39</v>
      </c>
      <c r="H11">
        <v>3</v>
      </c>
      <c r="I11" t="s">
        <v>350</v>
      </c>
      <c r="J11" t="s">
        <v>351</v>
      </c>
      <c r="K11" t="s">
        <v>352</v>
      </c>
      <c r="L11">
        <v>1339</v>
      </c>
      <c r="N11">
        <v>1007</v>
      </c>
      <c r="O11" t="s">
        <v>353</v>
      </c>
      <c r="P11" t="s">
        <v>353</v>
      </c>
      <c r="Q11">
        <v>1</v>
      </c>
      <c r="W11">
        <v>0</v>
      </c>
      <c r="X11">
        <v>973433911</v>
      </c>
      <c r="Y11">
        <f t="shared" si="0"/>
        <v>0.30199999999999999</v>
      </c>
      <c r="AA11">
        <v>49.83</v>
      </c>
      <c r="AB11">
        <v>0</v>
      </c>
      <c r="AC11">
        <v>0</v>
      </c>
      <c r="AD11">
        <v>0</v>
      </c>
      <c r="AE11">
        <v>49.83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0.30199999999999999</v>
      </c>
      <c r="AU11" t="s">
        <v>3</v>
      </c>
      <c r="AV11">
        <v>0</v>
      </c>
      <c r="AW11">
        <v>2</v>
      </c>
      <c r="AX11">
        <v>75702305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ROUND(Y11*Source!I35,9)</f>
        <v>0.16942199999999999</v>
      </c>
      <c r="CY11">
        <f>AA11</f>
        <v>49.83</v>
      </c>
      <c r="CZ11">
        <f>AE11</f>
        <v>49.83</v>
      </c>
      <c r="DA11">
        <f>AI11</f>
        <v>1</v>
      </c>
      <c r="DB11">
        <f t="shared" si="1"/>
        <v>15.05</v>
      </c>
      <c r="DC11">
        <f t="shared" si="2"/>
        <v>0</v>
      </c>
      <c r="DD11" t="s">
        <v>3</v>
      </c>
      <c r="DE11" t="s">
        <v>3</v>
      </c>
      <c r="DF11">
        <f t="shared" si="3"/>
        <v>8.44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8.44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ROW(Source!A35)</f>
        <v>35</v>
      </c>
      <c r="B12">
        <v>75700856</v>
      </c>
      <c r="C12">
        <v>75701040</v>
      </c>
      <c r="D12">
        <v>75390808</v>
      </c>
      <c r="E12">
        <v>1</v>
      </c>
      <c r="F12">
        <v>1</v>
      </c>
      <c r="G12">
        <v>39</v>
      </c>
      <c r="H12">
        <v>3</v>
      </c>
      <c r="I12" t="s">
        <v>354</v>
      </c>
      <c r="J12" t="s">
        <v>355</v>
      </c>
      <c r="K12" t="s">
        <v>356</v>
      </c>
      <c r="L12">
        <v>1327</v>
      </c>
      <c r="N12">
        <v>1005</v>
      </c>
      <c r="O12" t="s">
        <v>132</v>
      </c>
      <c r="P12" t="s">
        <v>132</v>
      </c>
      <c r="Q12">
        <v>1</v>
      </c>
      <c r="W12">
        <v>0</v>
      </c>
      <c r="X12">
        <v>1627923774</v>
      </c>
      <c r="Y12">
        <f t="shared" si="0"/>
        <v>10</v>
      </c>
      <c r="AA12">
        <v>10.62</v>
      </c>
      <c r="AB12">
        <v>0</v>
      </c>
      <c r="AC12">
        <v>0</v>
      </c>
      <c r="AD12">
        <v>0</v>
      </c>
      <c r="AE12">
        <v>10.62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10</v>
      </c>
      <c r="AU12" t="s">
        <v>3</v>
      </c>
      <c r="AV12">
        <v>0</v>
      </c>
      <c r="AW12">
        <v>2</v>
      </c>
      <c r="AX12">
        <v>75702306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ROUND(Y12*Source!I35,9)</f>
        <v>5.61</v>
      </c>
      <c r="CY12">
        <f>AA12</f>
        <v>10.62</v>
      </c>
      <c r="CZ12">
        <f>AE12</f>
        <v>10.62</v>
      </c>
      <c r="DA12">
        <f>AI12</f>
        <v>1</v>
      </c>
      <c r="DB12">
        <f t="shared" si="1"/>
        <v>106.2</v>
      </c>
      <c r="DC12">
        <f t="shared" si="2"/>
        <v>0</v>
      </c>
      <c r="DD12" t="s">
        <v>3</v>
      </c>
      <c r="DE12" t="s">
        <v>3</v>
      </c>
      <c r="DF12">
        <f t="shared" si="3"/>
        <v>59.58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DF12</f>
        <v>59.58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ROW(Source!A35)</f>
        <v>35</v>
      </c>
      <c r="B13">
        <v>75700856</v>
      </c>
      <c r="C13">
        <v>75701040</v>
      </c>
      <c r="D13">
        <v>75389157</v>
      </c>
      <c r="E13">
        <v>1</v>
      </c>
      <c r="F13">
        <v>1</v>
      </c>
      <c r="G13">
        <v>39</v>
      </c>
      <c r="H13">
        <v>3</v>
      </c>
      <c r="I13" t="s">
        <v>357</v>
      </c>
      <c r="J13" t="s">
        <v>358</v>
      </c>
      <c r="K13" t="s">
        <v>359</v>
      </c>
      <c r="L13">
        <v>1346</v>
      </c>
      <c r="N13">
        <v>1009</v>
      </c>
      <c r="O13" t="s">
        <v>63</v>
      </c>
      <c r="P13" t="s">
        <v>63</v>
      </c>
      <c r="Q13">
        <v>1</v>
      </c>
      <c r="W13">
        <v>0</v>
      </c>
      <c r="X13">
        <v>1856405498</v>
      </c>
      <c r="Y13">
        <f t="shared" si="0"/>
        <v>20</v>
      </c>
      <c r="AA13">
        <v>915.75</v>
      </c>
      <c r="AB13">
        <v>0</v>
      </c>
      <c r="AC13">
        <v>0</v>
      </c>
      <c r="AD13">
        <v>0</v>
      </c>
      <c r="AE13">
        <v>915.75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20</v>
      </c>
      <c r="AU13" t="s">
        <v>3</v>
      </c>
      <c r="AV13">
        <v>0</v>
      </c>
      <c r="AW13">
        <v>2</v>
      </c>
      <c r="AX13">
        <v>75702307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ROUND(Y13*Source!I35,9)</f>
        <v>11.22</v>
      </c>
      <c r="CY13">
        <f>AA13</f>
        <v>915.75</v>
      </c>
      <c r="CZ13">
        <f>AE13</f>
        <v>915.75</v>
      </c>
      <c r="DA13">
        <f>AI13</f>
        <v>1</v>
      </c>
      <c r="DB13">
        <f t="shared" si="1"/>
        <v>18315</v>
      </c>
      <c r="DC13">
        <f t="shared" si="2"/>
        <v>0</v>
      </c>
      <c r="DD13" t="s">
        <v>3</v>
      </c>
      <c r="DE13" t="s">
        <v>3</v>
      </c>
      <c r="DF13">
        <f t="shared" si="3"/>
        <v>10274.719999999999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10274.719999999999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ROW(Source!A35)</f>
        <v>35</v>
      </c>
      <c r="B14">
        <v>75700856</v>
      </c>
      <c r="C14">
        <v>75701040</v>
      </c>
      <c r="D14">
        <v>75391767</v>
      </c>
      <c r="E14">
        <v>1</v>
      </c>
      <c r="F14">
        <v>1</v>
      </c>
      <c r="G14">
        <v>39</v>
      </c>
      <c r="H14">
        <v>3</v>
      </c>
      <c r="I14" t="s">
        <v>360</v>
      </c>
      <c r="J14" t="s">
        <v>361</v>
      </c>
      <c r="K14" t="s">
        <v>362</v>
      </c>
      <c r="L14">
        <v>1348</v>
      </c>
      <c r="N14">
        <v>1009</v>
      </c>
      <c r="O14" t="s">
        <v>68</v>
      </c>
      <c r="P14" t="s">
        <v>68</v>
      </c>
      <c r="Q14">
        <v>1000</v>
      </c>
      <c r="W14">
        <v>0</v>
      </c>
      <c r="X14">
        <v>837212414</v>
      </c>
      <c r="Y14">
        <f t="shared" si="0"/>
        <v>0.84199999999999997</v>
      </c>
      <c r="AA14">
        <v>37996.660000000003</v>
      </c>
      <c r="AB14">
        <v>0</v>
      </c>
      <c r="AC14">
        <v>0</v>
      </c>
      <c r="AD14">
        <v>0</v>
      </c>
      <c r="AE14">
        <v>37996.660000000003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0.84199999999999997</v>
      </c>
      <c r="AU14" t="s">
        <v>3</v>
      </c>
      <c r="AV14">
        <v>0</v>
      </c>
      <c r="AW14">
        <v>2</v>
      </c>
      <c r="AX14">
        <v>75702308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ROUND(Y14*Source!I35,9)</f>
        <v>0.472362</v>
      </c>
      <c r="CY14">
        <f>AA14</f>
        <v>37996.660000000003</v>
      </c>
      <c r="CZ14">
        <f>AE14</f>
        <v>37996.660000000003</v>
      </c>
      <c r="DA14">
        <f>AI14</f>
        <v>1</v>
      </c>
      <c r="DB14">
        <f t="shared" si="1"/>
        <v>31993.19</v>
      </c>
      <c r="DC14">
        <f t="shared" si="2"/>
        <v>0</v>
      </c>
      <c r="DD14" t="s">
        <v>3</v>
      </c>
      <c r="DE14" t="s">
        <v>3</v>
      </c>
      <c r="DF14">
        <f t="shared" si="3"/>
        <v>17948.18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17948.18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ROW(Source!A36)</f>
        <v>36</v>
      </c>
      <c r="B15">
        <v>75700856</v>
      </c>
      <c r="C15">
        <v>75701057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332</v>
      </c>
      <c r="J15" t="s">
        <v>3</v>
      </c>
      <c r="K15" t="s">
        <v>333</v>
      </c>
      <c r="L15">
        <v>1191</v>
      </c>
      <c r="N15">
        <v>1013</v>
      </c>
      <c r="O15" t="s">
        <v>334</v>
      </c>
      <c r="P15" t="s">
        <v>334</v>
      </c>
      <c r="Q15">
        <v>1</v>
      </c>
      <c r="W15">
        <v>0</v>
      </c>
      <c r="X15">
        <v>476480486</v>
      </c>
      <c r="Y15">
        <f t="shared" si="0"/>
        <v>60.04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60.04</v>
      </c>
      <c r="AU15" t="s">
        <v>3</v>
      </c>
      <c r="AV15">
        <v>1</v>
      </c>
      <c r="AW15">
        <v>2</v>
      </c>
      <c r="AX15">
        <v>75702309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ROUND(AT15*Source!I36*AH15*AL15,2)</f>
        <v>0</v>
      </c>
      <c r="CV15">
        <f>ROUND(Y15*Source!I36,9)</f>
        <v>33.68244</v>
      </c>
      <c r="CW15">
        <v>0</v>
      </c>
      <c r="CX15">
        <f>ROUND(Y15*Source!I36,9)</f>
        <v>33.68244</v>
      </c>
      <c r="CY15">
        <f>AD15</f>
        <v>0</v>
      </c>
      <c r="CZ15">
        <f>AH15</f>
        <v>0</v>
      </c>
      <c r="DA15">
        <f>AL15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ROW(Source!A36)</f>
        <v>36</v>
      </c>
      <c r="B16">
        <v>75700856</v>
      </c>
      <c r="C16">
        <v>75701057</v>
      </c>
      <c r="D16">
        <v>75388182</v>
      </c>
      <c r="E16">
        <v>1</v>
      </c>
      <c r="F16">
        <v>1</v>
      </c>
      <c r="G16">
        <v>39</v>
      </c>
      <c r="H16">
        <v>2</v>
      </c>
      <c r="I16" t="s">
        <v>341</v>
      </c>
      <c r="J16" t="s">
        <v>342</v>
      </c>
      <c r="K16" t="s">
        <v>343</v>
      </c>
      <c r="L16">
        <v>1368</v>
      </c>
      <c r="N16">
        <v>1011</v>
      </c>
      <c r="O16" t="s">
        <v>338</v>
      </c>
      <c r="P16" t="s">
        <v>338</v>
      </c>
      <c r="Q16">
        <v>1</v>
      </c>
      <c r="W16">
        <v>0</v>
      </c>
      <c r="X16">
        <v>64700738</v>
      </c>
      <c r="Y16">
        <f t="shared" si="0"/>
        <v>6.64</v>
      </c>
      <c r="AA16">
        <v>0</v>
      </c>
      <c r="AB16">
        <v>56.19</v>
      </c>
      <c r="AC16">
        <v>0.31</v>
      </c>
      <c r="AD16">
        <v>0</v>
      </c>
      <c r="AE16">
        <v>0</v>
      </c>
      <c r="AF16">
        <v>56.19</v>
      </c>
      <c r="AG16">
        <v>0.31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6.64</v>
      </c>
      <c r="AU16" t="s">
        <v>3</v>
      </c>
      <c r="AV16">
        <v>0</v>
      </c>
      <c r="AW16">
        <v>2</v>
      </c>
      <c r="AX16">
        <v>75702310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ROUND(Y16*Source!I36*DO16,9)</f>
        <v>0</v>
      </c>
      <c r="CX16">
        <f>ROUND(Y16*Source!I36,9)</f>
        <v>3.7250399999999999</v>
      </c>
      <c r="CY16">
        <f>AB16</f>
        <v>56.19</v>
      </c>
      <c r="CZ16">
        <f>AF16</f>
        <v>56.19</v>
      </c>
      <c r="DA16">
        <f>AJ16</f>
        <v>1</v>
      </c>
      <c r="DB16">
        <f t="shared" si="1"/>
        <v>373.1</v>
      </c>
      <c r="DC16">
        <f t="shared" si="2"/>
        <v>2.06</v>
      </c>
      <c r="DD16" t="s">
        <v>3</v>
      </c>
      <c r="DE16" t="s">
        <v>3</v>
      </c>
      <c r="DF16">
        <f t="shared" si="3"/>
        <v>0</v>
      </c>
      <c r="DG16">
        <f t="shared" si="4"/>
        <v>209.31</v>
      </c>
      <c r="DH16">
        <f t="shared" si="5"/>
        <v>1.1499999999999999</v>
      </c>
      <c r="DI16">
        <f t="shared" si="6"/>
        <v>0</v>
      </c>
      <c r="DJ16">
        <f>DG16</f>
        <v>209.31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ROW(Source!A36)</f>
        <v>36</v>
      </c>
      <c r="B17">
        <v>75700856</v>
      </c>
      <c r="C17">
        <v>75701057</v>
      </c>
      <c r="D17">
        <v>75388325</v>
      </c>
      <c r="E17">
        <v>1</v>
      </c>
      <c r="F17">
        <v>1</v>
      </c>
      <c r="G17">
        <v>39</v>
      </c>
      <c r="H17">
        <v>2</v>
      </c>
      <c r="I17" t="s">
        <v>363</v>
      </c>
      <c r="J17" t="s">
        <v>364</v>
      </c>
      <c r="K17" t="s">
        <v>365</v>
      </c>
      <c r="L17">
        <v>1368</v>
      </c>
      <c r="N17">
        <v>1011</v>
      </c>
      <c r="O17" t="s">
        <v>338</v>
      </c>
      <c r="P17" t="s">
        <v>338</v>
      </c>
      <c r="Q17">
        <v>1</v>
      </c>
      <c r="W17">
        <v>0</v>
      </c>
      <c r="X17">
        <v>-476797040</v>
      </c>
      <c r="Y17">
        <f t="shared" si="0"/>
        <v>4.7</v>
      </c>
      <c r="AA17">
        <v>0</v>
      </c>
      <c r="AB17">
        <v>10.02</v>
      </c>
      <c r="AC17">
        <v>0</v>
      </c>
      <c r="AD17">
        <v>0</v>
      </c>
      <c r="AE17">
        <v>0</v>
      </c>
      <c r="AF17">
        <v>10.02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4.7</v>
      </c>
      <c r="AU17" t="s">
        <v>3</v>
      </c>
      <c r="AV17">
        <v>0</v>
      </c>
      <c r="AW17">
        <v>2</v>
      </c>
      <c r="AX17">
        <v>75702311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ROUND(Y17*Source!I36*DO17,9)</f>
        <v>0</v>
      </c>
      <c r="CX17">
        <f>ROUND(Y17*Source!I36,9)</f>
        <v>2.6366999999999998</v>
      </c>
      <c r="CY17">
        <f>AB17</f>
        <v>10.02</v>
      </c>
      <c r="CZ17">
        <f>AF17</f>
        <v>10.02</v>
      </c>
      <c r="DA17">
        <f>AJ17</f>
        <v>1</v>
      </c>
      <c r="DB17">
        <f t="shared" si="1"/>
        <v>47.09</v>
      </c>
      <c r="DC17">
        <f t="shared" si="2"/>
        <v>0</v>
      </c>
      <c r="DD17" t="s">
        <v>3</v>
      </c>
      <c r="DE17" t="s">
        <v>3</v>
      </c>
      <c r="DF17">
        <f t="shared" si="3"/>
        <v>0</v>
      </c>
      <c r="DG17">
        <f t="shared" si="4"/>
        <v>26.42</v>
      </c>
      <c r="DH17">
        <f t="shared" si="5"/>
        <v>0</v>
      </c>
      <c r="DI17">
        <f t="shared" si="6"/>
        <v>0</v>
      </c>
      <c r="DJ17">
        <f>DG17</f>
        <v>26.42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ROW(Source!A36)</f>
        <v>36</v>
      </c>
      <c r="B18">
        <v>75700856</v>
      </c>
      <c r="C18">
        <v>75701057</v>
      </c>
      <c r="D18">
        <v>75388524</v>
      </c>
      <c r="E18">
        <v>1</v>
      </c>
      <c r="F18">
        <v>1</v>
      </c>
      <c r="G18">
        <v>39</v>
      </c>
      <c r="H18">
        <v>2</v>
      </c>
      <c r="I18" t="s">
        <v>366</v>
      </c>
      <c r="J18" t="s">
        <v>367</v>
      </c>
      <c r="K18" t="s">
        <v>368</v>
      </c>
      <c r="L18">
        <v>1368</v>
      </c>
      <c r="N18">
        <v>1011</v>
      </c>
      <c r="O18" t="s">
        <v>338</v>
      </c>
      <c r="P18" t="s">
        <v>338</v>
      </c>
      <c r="Q18">
        <v>1</v>
      </c>
      <c r="W18">
        <v>0</v>
      </c>
      <c r="X18">
        <v>-1279016800</v>
      </c>
      <c r="Y18">
        <f t="shared" si="0"/>
        <v>1.5</v>
      </c>
      <c r="AA18">
        <v>0</v>
      </c>
      <c r="AB18">
        <v>3.57</v>
      </c>
      <c r="AC18">
        <v>0.01</v>
      </c>
      <c r="AD18">
        <v>0</v>
      </c>
      <c r="AE18">
        <v>0</v>
      </c>
      <c r="AF18">
        <v>3.57</v>
      </c>
      <c r="AG18">
        <v>0.01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1.5</v>
      </c>
      <c r="AU18" t="s">
        <v>3</v>
      </c>
      <c r="AV18">
        <v>0</v>
      </c>
      <c r="AW18">
        <v>2</v>
      </c>
      <c r="AX18">
        <v>75702312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f>ROUND(Y18*Source!I36*DO18,9)</f>
        <v>0</v>
      </c>
      <c r="CX18">
        <f>ROUND(Y18*Source!I36,9)</f>
        <v>0.84150000000000003</v>
      </c>
      <c r="CY18">
        <f>AB18</f>
        <v>3.57</v>
      </c>
      <c r="CZ18">
        <f>AF18</f>
        <v>3.57</v>
      </c>
      <c r="DA18">
        <f>AJ18</f>
        <v>1</v>
      </c>
      <c r="DB18">
        <f t="shared" si="1"/>
        <v>5.36</v>
      </c>
      <c r="DC18">
        <f t="shared" si="2"/>
        <v>0.02</v>
      </c>
      <c r="DD18" t="s">
        <v>3</v>
      </c>
      <c r="DE18" t="s">
        <v>3</v>
      </c>
      <c r="DF18">
        <f t="shared" si="3"/>
        <v>0</v>
      </c>
      <c r="DG18">
        <f t="shared" si="4"/>
        <v>3</v>
      </c>
      <c r="DH18">
        <f t="shared" si="5"/>
        <v>0.01</v>
      </c>
      <c r="DI18">
        <f t="shared" si="6"/>
        <v>0</v>
      </c>
      <c r="DJ18">
        <f>DG18</f>
        <v>3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ROW(Source!A36)</f>
        <v>36</v>
      </c>
      <c r="B19">
        <v>75700856</v>
      </c>
      <c r="C19">
        <v>75701057</v>
      </c>
      <c r="D19">
        <v>75390660</v>
      </c>
      <c r="E19">
        <v>1</v>
      </c>
      <c r="F19">
        <v>1</v>
      </c>
      <c r="G19">
        <v>39</v>
      </c>
      <c r="H19">
        <v>3</v>
      </c>
      <c r="I19" t="s">
        <v>369</v>
      </c>
      <c r="J19" t="s">
        <v>370</v>
      </c>
      <c r="K19" t="s">
        <v>371</v>
      </c>
      <c r="L19">
        <v>1346</v>
      </c>
      <c r="N19">
        <v>1009</v>
      </c>
      <c r="O19" t="s">
        <v>63</v>
      </c>
      <c r="P19" t="s">
        <v>63</v>
      </c>
      <c r="Q19">
        <v>1</v>
      </c>
      <c r="W19">
        <v>0</v>
      </c>
      <c r="X19">
        <v>713614851</v>
      </c>
      <c r="Y19">
        <f t="shared" si="0"/>
        <v>36.049999999999997</v>
      </c>
      <c r="AA19">
        <v>221.14</v>
      </c>
      <c r="AB19">
        <v>0</v>
      </c>
      <c r="AC19">
        <v>0</v>
      </c>
      <c r="AD19">
        <v>0</v>
      </c>
      <c r="AE19">
        <v>221.14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36.049999999999997</v>
      </c>
      <c r="AU19" t="s">
        <v>3</v>
      </c>
      <c r="AV19">
        <v>0</v>
      </c>
      <c r="AW19">
        <v>2</v>
      </c>
      <c r="AX19">
        <v>75702313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ROUND(Y19*Source!I36,9)</f>
        <v>20.224049999999998</v>
      </c>
      <c r="CY19">
        <f>AA19</f>
        <v>221.14</v>
      </c>
      <c r="CZ19">
        <f>AE19</f>
        <v>221.14</v>
      </c>
      <c r="DA19">
        <f>AI19</f>
        <v>1</v>
      </c>
      <c r="DB19">
        <f t="shared" si="1"/>
        <v>7972.1</v>
      </c>
      <c r="DC19">
        <f t="shared" si="2"/>
        <v>0</v>
      </c>
      <c r="DD19" t="s">
        <v>3</v>
      </c>
      <c r="DE19" t="s">
        <v>3</v>
      </c>
      <c r="DF19">
        <f t="shared" si="3"/>
        <v>4472.3500000000004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4472.3500000000004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ROW(Source!A36)</f>
        <v>36</v>
      </c>
      <c r="B20">
        <v>75700856</v>
      </c>
      <c r="C20">
        <v>75701057</v>
      </c>
      <c r="D20">
        <v>75391078</v>
      </c>
      <c r="E20">
        <v>1</v>
      </c>
      <c r="F20">
        <v>1</v>
      </c>
      <c r="G20">
        <v>39</v>
      </c>
      <c r="H20">
        <v>3</v>
      </c>
      <c r="I20" t="s">
        <v>372</v>
      </c>
      <c r="J20" t="s">
        <v>373</v>
      </c>
      <c r="K20" t="s">
        <v>374</v>
      </c>
      <c r="L20">
        <v>1327</v>
      </c>
      <c r="N20">
        <v>1005</v>
      </c>
      <c r="O20" t="s">
        <v>132</v>
      </c>
      <c r="P20" t="s">
        <v>132</v>
      </c>
      <c r="Q20">
        <v>1</v>
      </c>
      <c r="W20">
        <v>0</v>
      </c>
      <c r="X20">
        <v>-1901445925</v>
      </c>
      <c r="Y20">
        <f t="shared" si="0"/>
        <v>107</v>
      </c>
      <c r="AA20">
        <v>1117.3499999999999</v>
      </c>
      <c r="AB20">
        <v>0</v>
      </c>
      <c r="AC20">
        <v>0</v>
      </c>
      <c r="AD20">
        <v>0</v>
      </c>
      <c r="AE20">
        <v>1117.3499999999999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107</v>
      </c>
      <c r="AU20" t="s">
        <v>3</v>
      </c>
      <c r="AV20">
        <v>0</v>
      </c>
      <c r="AW20">
        <v>2</v>
      </c>
      <c r="AX20">
        <v>75702314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ROUND(Y20*Source!I36,9)</f>
        <v>60.027000000000001</v>
      </c>
      <c r="CY20">
        <f>AA20</f>
        <v>1117.3499999999999</v>
      </c>
      <c r="CZ20">
        <f>AE20</f>
        <v>1117.3499999999999</v>
      </c>
      <c r="DA20">
        <f>AI20</f>
        <v>1</v>
      </c>
      <c r="DB20">
        <f t="shared" si="1"/>
        <v>119556.45</v>
      </c>
      <c r="DC20">
        <f t="shared" si="2"/>
        <v>0</v>
      </c>
      <c r="DD20" t="s">
        <v>3</v>
      </c>
      <c r="DE20" t="s">
        <v>3</v>
      </c>
      <c r="DF20">
        <f t="shared" si="3"/>
        <v>67071.17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67071.17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ROW(Source!A36)</f>
        <v>36</v>
      </c>
      <c r="B21">
        <v>75700856</v>
      </c>
      <c r="C21">
        <v>75701057</v>
      </c>
      <c r="D21">
        <v>75391090</v>
      </c>
      <c r="E21">
        <v>1</v>
      </c>
      <c r="F21">
        <v>1</v>
      </c>
      <c r="G21">
        <v>39</v>
      </c>
      <c r="H21">
        <v>3</v>
      </c>
      <c r="I21" t="s">
        <v>375</v>
      </c>
      <c r="J21" t="s">
        <v>376</v>
      </c>
      <c r="K21" t="s">
        <v>377</v>
      </c>
      <c r="L21">
        <v>1301</v>
      </c>
      <c r="N21">
        <v>1003</v>
      </c>
      <c r="O21" t="s">
        <v>49</v>
      </c>
      <c r="P21" t="s">
        <v>49</v>
      </c>
      <c r="Q21">
        <v>1</v>
      </c>
      <c r="W21">
        <v>0</v>
      </c>
      <c r="X21">
        <v>-1400349757</v>
      </c>
      <c r="Y21">
        <f t="shared" si="0"/>
        <v>60</v>
      </c>
      <c r="AA21">
        <v>57.6</v>
      </c>
      <c r="AB21">
        <v>0</v>
      </c>
      <c r="AC21">
        <v>0</v>
      </c>
      <c r="AD21">
        <v>0</v>
      </c>
      <c r="AE21">
        <v>57.6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60</v>
      </c>
      <c r="AU21" t="s">
        <v>3</v>
      </c>
      <c r="AV21">
        <v>0</v>
      </c>
      <c r="AW21">
        <v>2</v>
      </c>
      <c r="AX21">
        <v>75702315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ROUND(Y21*Source!I36,9)</f>
        <v>33.659999999999997</v>
      </c>
      <c r="CY21">
        <f>AA21</f>
        <v>57.6</v>
      </c>
      <c r="CZ21">
        <f>AE21</f>
        <v>57.6</v>
      </c>
      <c r="DA21">
        <f>AI21</f>
        <v>1</v>
      </c>
      <c r="DB21">
        <f t="shared" si="1"/>
        <v>3456</v>
      </c>
      <c r="DC21">
        <f t="shared" si="2"/>
        <v>0</v>
      </c>
      <c r="DD21" t="s">
        <v>3</v>
      </c>
      <c r="DE21" t="s">
        <v>3</v>
      </c>
      <c r="DF21">
        <f t="shared" si="3"/>
        <v>1938.82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1938.82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ROW(Source!A36)</f>
        <v>36</v>
      </c>
      <c r="B22">
        <v>75700856</v>
      </c>
      <c r="C22">
        <v>75701057</v>
      </c>
      <c r="D22">
        <v>75389139</v>
      </c>
      <c r="E22">
        <v>1</v>
      </c>
      <c r="F22">
        <v>1</v>
      </c>
      <c r="G22">
        <v>39</v>
      </c>
      <c r="H22">
        <v>3</v>
      </c>
      <c r="I22" t="s">
        <v>378</v>
      </c>
      <c r="J22" t="s">
        <v>379</v>
      </c>
      <c r="K22" t="s">
        <v>380</v>
      </c>
      <c r="L22">
        <v>1346</v>
      </c>
      <c r="N22">
        <v>1009</v>
      </c>
      <c r="O22" t="s">
        <v>63</v>
      </c>
      <c r="P22" t="s">
        <v>63</v>
      </c>
      <c r="Q22">
        <v>1</v>
      </c>
      <c r="W22">
        <v>0</v>
      </c>
      <c r="X22">
        <v>538144241</v>
      </c>
      <c r="Y22">
        <f t="shared" si="0"/>
        <v>10.3</v>
      </c>
      <c r="AA22">
        <v>138.59</v>
      </c>
      <c r="AB22">
        <v>0</v>
      </c>
      <c r="AC22">
        <v>0</v>
      </c>
      <c r="AD22">
        <v>0</v>
      </c>
      <c r="AE22">
        <v>138.59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10.3</v>
      </c>
      <c r="AU22" t="s">
        <v>3</v>
      </c>
      <c r="AV22">
        <v>0</v>
      </c>
      <c r="AW22">
        <v>2</v>
      </c>
      <c r="AX22">
        <v>75702316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ROUND(Y22*Source!I36,9)</f>
        <v>5.7782999999999998</v>
      </c>
      <c r="CY22">
        <f>AA22</f>
        <v>138.59</v>
      </c>
      <c r="CZ22">
        <f>AE22</f>
        <v>138.59</v>
      </c>
      <c r="DA22">
        <f>AI22</f>
        <v>1</v>
      </c>
      <c r="DB22">
        <f t="shared" si="1"/>
        <v>1427.48</v>
      </c>
      <c r="DC22">
        <f t="shared" si="2"/>
        <v>0</v>
      </c>
      <c r="DD22" t="s">
        <v>3</v>
      </c>
      <c r="DE22" t="s">
        <v>3</v>
      </c>
      <c r="DF22">
        <f t="shared" si="3"/>
        <v>800.81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DF22</f>
        <v>800.81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ROW(Source!A37)</f>
        <v>37</v>
      </c>
      <c r="B23">
        <v>75700856</v>
      </c>
      <c r="C23">
        <v>75701074</v>
      </c>
      <c r="D23">
        <v>75386788</v>
      </c>
      <c r="E23">
        <v>39</v>
      </c>
      <c r="F23">
        <v>1</v>
      </c>
      <c r="G23">
        <v>39</v>
      </c>
      <c r="H23">
        <v>1</v>
      </c>
      <c r="I23" t="s">
        <v>332</v>
      </c>
      <c r="J23" t="s">
        <v>3</v>
      </c>
      <c r="K23" t="s">
        <v>333</v>
      </c>
      <c r="L23">
        <v>1191</v>
      </c>
      <c r="N23">
        <v>1013</v>
      </c>
      <c r="O23" t="s">
        <v>334</v>
      </c>
      <c r="P23" t="s">
        <v>334</v>
      </c>
      <c r="Q23">
        <v>1</v>
      </c>
      <c r="W23">
        <v>0</v>
      </c>
      <c r="X23">
        <v>476480486</v>
      </c>
      <c r="Y23">
        <f t="shared" si="0"/>
        <v>8.8000000000000007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8.8000000000000007</v>
      </c>
      <c r="AU23" t="s">
        <v>3</v>
      </c>
      <c r="AV23">
        <v>1</v>
      </c>
      <c r="AW23">
        <v>2</v>
      </c>
      <c r="AX23">
        <v>75702317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U23">
        <f>ROUND(AT23*Source!I37*AH23*AL23,2)</f>
        <v>0</v>
      </c>
      <c r="CV23">
        <f>ROUND(Y23*Source!I37,9)</f>
        <v>2.9039999999999999</v>
      </c>
      <c r="CW23">
        <v>0</v>
      </c>
      <c r="CX23">
        <f>ROUND(Y23*Source!I37,9)</f>
        <v>2.9039999999999999</v>
      </c>
      <c r="CY23">
        <f>AD23</f>
        <v>0</v>
      </c>
      <c r="CZ23">
        <f>AH23</f>
        <v>0</v>
      </c>
      <c r="DA23">
        <f>AL23</f>
        <v>1</v>
      </c>
      <c r="DB23">
        <f t="shared" si="1"/>
        <v>0</v>
      </c>
      <c r="DC23">
        <f t="shared" si="2"/>
        <v>0</v>
      </c>
      <c r="DD23" t="s">
        <v>3</v>
      </c>
      <c r="DE23" t="s">
        <v>3</v>
      </c>
      <c r="DF23">
        <f t="shared" si="3"/>
        <v>0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ROW(Source!A37)</f>
        <v>37</v>
      </c>
      <c r="B24">
        <v>75700856</v>
      </c>
      <c r="C24">
        <v>75701074</v>
      </c>
      <c r="D24">
        <v>75389672</v>
      </c>
      <c r="E24">
        <v>1</v>
      </c>
      <c r="F24">
        <v>1</v>
      </c>
      <c r="G24">
        <v>39</v>
      </c>
      <c r="H24">
        <v>3</v>
      </c>
      <c r="I24" t="s">
        <v>381</v>
      </c>
      <c r="J24" t="s">
        <v>382</v>
      </c>
      <c r="K24" t="s">
        <v>383</v>
      </c>
      <c r="L24">
        <v>1348</v>
      </c>
      <c r="N24">
        <v>1009</v>
      </c>
      <c r="O24" t="s">
        <v>68</v>
      </c>
      <c r="P24" t="s">
        <v>68</v>
      </c>
      <c r="Q24">
        <v>1000</v>
      </c>
      <c r="W24">
        <v>0</v>
      </c>
      <c r="X24">
        <v>-799169102</v>
      </c>
      <c r="Y24">
        <f t="shared" si="0"/>
        <v>4.2000000000000002E-4</v>
      </c>
      <c r="AA24">
        <v>95976.83</v>
      </c>
      <c r="AB24">
        <v>0</v>
      </c>
      <c r="AC24">
        <v>0</v>
      </c>
      <c r="AD24">
        <v>0</v>
      </c>
      <c r="AE24">
        <v>95976.83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4.2000000000000002E-4</v>
      </c>
      <c r="AU24" t="s">
        <v>3</v>
      </c>
      <c r="AV24">
        <v>0</v>
      </c>
      <c r="AW24">
        <v>2</v>
      </c>
      <c r="AX24">
        <v>75702318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ROUND(Y24*Source!I37,9)</f>
        <v>1.3860000000000001E-4</v>
      </c>
      <c r="CY24">
        <f>AA24</f>
        <v>95976.83</v>
      </c>
      <c r="CZ24">
        <f>AE24</f>
        <v>95976.83</v>
      </c>
      <c r="DA24">
        <f>AI24</f>
        <v>1</v>
      </c>
      <c r="DB24">
        <f t="shared" si="1"/>
        <v>40.31</v>
      </c>
      <c r="DC24">
        <f t="shared" si="2"/>
        <v>0</v>
      </c>
      <c r="DD24" t="s">
        <v>3</v>
      </c>
      <c r="DE24" t="s">
        <v>3</v>
      </c>
      <c r="DF24">
        <f t="shared" si="3"/>
        <v>13.3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13.3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ROW(Source!A37)</f>
        <v>37</v>
      </c>
      <c r="B25">
        <v>75700856</v>
      </c>
      <c r="C25">
        <v>75701074</v>
      </c>
      <c r="D25">
        <v>75393932</v>
      </c>
      <c r="E25">
        <v>1</v>
      </c>
      <c r="F25">
        <v>1</v>
      </c>
      <c r="G25">
        <v>39</v>
      </c>
      <c r="H25">
        <v>3</v>
      </c>
      <c r="I25" t="s">
        <v>53</v>
      </c>
      <c r="J25" t="s">
        <v>55</v>
      </c>
      <c r="K25" t="s">
        <v>54</v>
      </c>
      <c r="L25">
        <v>1301</v>
      </c>
      <c r="N25">
        <v>1003</v>
      </c>
      <c r="O25" t="s">
        <v>49</v>
      </c>
      <c r="P25" t="s">
        <v>49</v>
      </c>
      <c r="Q25">
        <v>1</v>
      </c>
      <c r="W25">
        <v>1</v>
      </c>
      <c r="X25">
        <v>-621127235</v>
      </c>
      <c r="Y25">
        <f t="shared" si="0"/>
        <v>-105</v>
      </c>
      <c r="AA25">
        <v>37.29</v>
      </c>
      <c r="AB25">
        <v>0</v>
      </c>
      <c r="AC25">
        <v>0</v>
      </c>
      <c r="AD25">
        <v>0</v>
      </c>
      <c r="AE25">
        <v>37.29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0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-105</v>
      </c>
      <c r="AU25" t="s">
        <v>3</v>
      </c>
      <c r="AV25">
        <v>0</v>
      </c>
      <c r="AW25">
        <v>2</v>
      </c>
      <c r="AX25">
        <v>75702319</v>
      </c>
      <c r="AY25">
        <v>1</v>
      </c>
      <c r="AZ25">
        <v>6144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ROUND(Y25*Source!I37,9)</f>
        <v>-34.65</v>
      </c>
      <c r="CY25">
        <f>AA25</f>
        <v>37.29</v>
      </c>
      <c r="CZ25">
        <f>AE25</f>
        <v>37.29</v>
      </c>
      <c r="DA25">
        <f>AI25</f>
        <v>1</v>
      </c>
      <c r="DB25">
        <f t="shared" si="1"/>
        <v>-3915.45</v>
      </c>
      <c r="DC25">
        <f t="shared" si="2"/>
        <v>0</v>
      </c>
      <c r="DD25" t="s">
        <v>3</v>
      </c>
      <c r="DE25" t="s">
        <v>3</v>
      </c>
      <c r="DF25">
        <f t="shared" si="3"/>
        <v>-1292.0999999999999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DF25</f>
        <v>-1292.0999999999999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ROW(Source!A37)</f>
        <v>37</v>
      </c>
      <c r="B26">
        <v>75700856</v>
      </c>
      <c r="C26">
        <v>75701074</v>
      </c>
      <c r="D26">
        <v>0</v>
      </c>
      <c r="E26">
        <v>39</v>
      </c>
      <c r="F26">
        <v>1</v>
      </c>
      <c r="G26">
        <v>39</v>
      </c>
      <c r="H26">
        <v>3</v>
      </c>
      <c r="I26" t="s">
        <v>47</v>
      </c>
      <c r="J26" t="s">
        <v>3</v>
      </c>
      <c r="K26" t="s">
        <v>48</v>
      </c>
      <c r="L26">
        <v>1301</v>
      </c>
      <c r="N26">
        <v>1003</v>
      </c>
      <c r="O26" t="s">
        <v>49</v>
      </c>
      <c r="P26" t="s">
        <v>49</v>
      </c>
      <c r="Q26">
        <v>1</v>
      </c>
      <c r="W26">
        <v>0</v>
      </c>
      <c r="X26">
        <v>1643166817</v>
      </c>
      <c r="Y26">
        <f t="shared" si="0"/>
        <v>105</v>
      </c>
      <c r="AA26">
        <v>87.13</v>
      </c>
      <c r="AB26">
        <v>0</v>
      </c>
      <c r="AC26">
        <v>0</v>
      </c>
      <c r="AD26">
        <v>0</v>
      </c>
      <c r="AE26">
        <v>87.13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1</v>
      </c>
      <c r="AQ26">
        <v>0</v>
      </c>
      <c r="AR26">
        <v>0</v>
      </c>
      <c r="AS26" t="s">
        <v>3</v>
      </c>
      <c r="AT26">
        <v>105</v>
      </c>
      <c r="AU26" t="s">
        <v>3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ROUND(Y26*Source!I37,9)</f>
        <v>34.65</v>
      </c>
      <c r="CY26">
        <f>AA26</f>
        <v>87.13</v>
      </c>
      <c r="CZ26">
        <f>AE26</f>
        <v>87.13</v>
      </c>
      <c r="DA26">
        <f>AI26</f>
        <v>1</v>
      </c>
      <c r="DB26">
        <f t="shared" si="1"/>
        <v>9148.65</v>
      </c>
      <c r="DC26">
        <f t="shared" si="2"/>
        <v>0</v>
      </c>
      <c r="DD26" t="s">
        <v>3</v>
      </c>
      <c r="DE26" t="s">
        <v>3</v>
      </c>
      <c r="DF26">
        <f t="shared" si="3"/>
        <v>3019.05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DF26</f>
        <v>3019.05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ROW(Source!A40)</f>
        <v>40</v>
      </c>
      <c r="B27">
        <v>75700856</v>
      </c>
      <c r="C27">
        <v>75701084</v>
      </c>
      <c r="D27">
        <v>75386788</v>
      </c>
      <c r="E27">
        <v>39</v>
      </c>
      <c r="F27">
        <v>1</v>
      </c>
      <c r="G27">
        <v>39</v>
      </c>
      <c r="H27">
        <v>1</v>
      </c>
      <c r="I27" t="s">
        <v>332</v>
      </c>
      <c r="J27" t="s">
        <v>3</v>
      </c>
      <c r="K27" t="s">
        <v>333</v>
      </c>
      <c r="L27">
        <v>1191</v>
      </c>
      <c r="N27">
        <v>1013</v>
      </c>
      <c r="O27" t="s">
        <v>334</v>
      </c>
      <c r="P27" t="s">
        <v>334</v>
      </c>
      <c r="Q27">
        <v>1</v>
      </c>
      <c r="W27">
        <v>0</v>
      </c>
      <c r="X27">
        <v>476480486</v>
      </c>
      <c r="Y27">
        <f t="shared" si="0"/>
        <v>12.88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12.88</v>
      </c>
      <c r="AU27" t="s">
        <v>3</v>
      </c>
      <c r="AV27">
        <v>1</v>
      </c>
      <c r="AW27">
        <v>2</v>
      </c>
      <c r="AX27">
        <v>75702320</v>
      </c>
      <c r="AY27">
        <v>1</v>
      </c>
      <c r="AZ27">
        <v>0</v>
      </c>
      <c r="BA27">
        <v>26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ROUND(AT27*Source!I40*AH27*AL27,2)</f>
        <v>0</v>
      </c>
      <c r="CV27">
        <f>ROUND(Y27*Source!I40,9)</f>
        <v>0.20608000000000001</v>
      </c>
      <c r="CW27">
        <v>0</v>
      </c>
      <c r="CX27">
        <f>ROUND(Y27*Source!I40,9)</f>
        <v>0.20608000000000001</v>
      </c>
      <c r="CY27">
        <f>AD27</f>
        <v>0</v>
      </c>
      <c r="CZ27">
        <f>AH27</f>
        <v>0</v>
      </c>
      <c r="DA27">
        <f>AL27</f>
        <v>1</v>
      </c>
      <c r="DB27">
        <f t="shared" si="1"/>
        <v>0</v>
      </c>
      <c r="DC27">
        <f t="shared" si="2"/>
        <v>0</v>
      </c>
      <c r="DD27" t="s">
        <v>3</v>
      </c>
      <c r="DE27" t="s">
        <v>3</v>
      </c>
      <c r="DF27">
        <f t="shared" si="3"/>
        <v>0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ROW(Source!A40)</f>
        <v>40</v>
      </c>
      <c r="B28">
        <v>75700856</v>
      </c>
      <c r="C28">
        <v>75701084</v>
      </c>
      <c r="D28">
        <v>75389061</v>
      </c>
      <c r="E28">
        <v>1</v>
      </c>
      <c r="F28">
        <v>1</v>
      </c>
      <c r="G28">
        <v>39</v>
      </c>
      <c r="H28">
        <v>3</v>
      </c>
      <c r="I28" t="s">
        <v>66</v>
      </c>
      <c r="J28" t="s">
        <v>69</v>
      </c>
      <c r="K28" t="s">
        <v>67</v>
      </c>
      <c r="L28">
        <v>1348</v>
      </c>
      <c r="N28">
        <v>1009</v>
      </c>
      <c r="O28" t="s">
        <v>68</v>
      </c>
      <c r="P28" t="s">
        <v>68</v>
      </c>
      <c r="Q28">
        <v>1000</v>
      </c>
      <c r="W28">
        <v>1</v>
      </c>
      <c r="X28">
        <v>-1906236598</v>
      </c>
      <c r="Y28">
        <f t="shared" si="0"/>
        <v>-2.0799999999999999E-2</v>
      </c>
      <c r="AA28">
        <v>247397.04</v>
      </c>
      <c r="AB28">
        <v>0</v>
      </c>
      <c r="AC28">
        <v>0</v>
      </c>
      <c r="AD28">
        <v>0</v>
      </c>
      <c r="AE28">
        <v>247397.04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-2.0799999999999999E-2</v>
      </c>
      <c r="AU28" t="s">
        <v>3</v>
      </c>
      <c r="AV28">
        <v>0</v>
      </c>
      <c r="AW28">
        <v>2</v>
      </c>
      <c r="AX28">
        <v>75702321</v>
      </c>
      <c r="AY28">
        <v>1</v>
      </c>
      <c r="AZ28">
        <v>6144</v>
      </c>
      <c r="BA28">
        <v>27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ROUND(Y28*Source!I40,9)</f>
        <v>-3.3280000000000001E-4</v>
      </c>
      <c r="CY28">
        <f>AA28</f>
        <v>247397.04</v>
      </c>
      <c r="CZ28">
        <f>AE28</f>
        <v>247397.04</v>
      </c>
      <c r="DA28">
        <f>AI28</f>
        <v>1</v>
      </c>
      <c r="DB28">
        <f t="shared" si="1"/>
        <v>-5145.8599999999997</v>
      </c>
      <c r="DC28">
        <f t="shared" si="2"/>
        <v>0</v>
      </c>
      <c r="DD28" t="s">
        <v>3</v>
      </c>
      <c r="DE28" t="s">
        <v>3</v>
      </c>
      <c r="DF28">
        <f t="shared" si="3"/>
        <v>-82.33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DF28</f>
        <v>-82.33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ROW(Source!A40)</f>
        <v>40</v>
      </c>
      <c r="B29">
        <v>75700856</v>
      </c>
      <c r="C29">
        <v>75701084</v>
      </c>
      <c r="D29">
        <v>75389228</v>
      </c>
      <c r="E29">
        <v>1</v>
      </c>
      <c r="F29">
        <v>1</v>
      </c>
      <c r="G29">
        <v>39</v>
      </c>
      <c r="H29">
        <v>3</v>
      </c>
      <c r="I29" t="s">
        <v>61</v>
      </c>
      <c r="J29" t="s">
        <v>64</v>
      </c>
      <c r="K29" t="s">
        <v>62</v>
      </c>
      <c r="L29">
        <v>1346</v>
      </c>
      <c r="N29">
        <v>1009</v>
      </c>
      <c r="O29" t="s">
        <v>63</v>
      </c>
      <c r="P29" t="s">
        <v>63</v>
      </c>
      <c r="Q29">
        <v>1</v>
      </c>
      <c r="W29">
        <v>0</v>
      </c>
      <c r="X29">
        <v>1429785642</v>
      </c>
      <c r="Y29">
        <f t="shared" si="0"/>
        <v>25</v>
      </c>
      <c r="AA29">
        <v>309.42</v>
      </c>
      <c r="AB29">
        <v>0</v>
      </c>
      <c r="AC29">
        <v>0</v>
      </c>
      <c r="AD29">
        <v>0</v>
      </c>
      <c r="AE29">
        <v>309.42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0</v>
      </c>
      <c r="AN29">
        <v>0</v>
      </c>
      <c r="AO29">
        <v>0</v>
      </c>
      <c r="AP29">
        <v>1</v>
      </c>
      <c r="AQ29">
        <v>0</v>
      </c>
      <c r="AR29">
        <v>0</v>
      </c>
      <c r="AS29" t="s">
        <v>3</v>
      </c>
      <c r="AT29">
        <v>25</v>
      </c>
      <c r="AU29" t="s">
        <v>3</v>
      </c>
      <c r="AV29">
        <v>0</v>
      </c>
      <c r="AW29">
        <v>1</v>
      </c>
      <c r="AX29">
        <v>-1</v>
      </c>
      <c r="AY29">
        <v>0</v>
      </c>
      <c r="AZ29">
        <v>0</v>
      </c>
      <c r="BA29" t="s">
        <v>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ROUND(Y29*Source!I40,9)</f>
        <v>0.4</v>
      </c>
      <c r="CY29">
        <f>AA29</f>
        <v>309.42</v>
      </c>
      <c r="CZ29">
        <f>AE29</f>
        <v>309.42</v>
      </c>
      <c r="DA29">
        <f>AI29</f>
        <v>1</v>
      </c>
      <c r="DB29">
        <f t="shared" si="1"/>
        <v>7735.5</v>
      </c>
      <c r="DC29">
        <f t="shared" si="2"/>
        <v>0</v>
      </c>
      <c r="DD29" t="s">
        <v>3</v>
      </c>
      <c r="DE29" t="s">
        <v>3</v>
      </c>
      <c r="DF29">
        <f t="shared" si="3"/>
        <v>123.77</v>
      </c>
      <c r="DG29">
        <f t="shared" si="4"/>
        <v>0</v>
      </c>
      <c r="DH29">
        <f t="shared" si="5"/>
        <v>0</v>
      </c>
      <c r="DI29">
        <f t="shared" si="6"/>
        <v>0</v>
      </c>
      <c r="DJ29">
        <f>DF29</f>
        <v>123.77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ROW(Source!A43)</f>
        <v>43</v>
      </c>
      <c r="B30">
        <v>75700856</v>
      </c>
      <c r="C30">
        <v>75701092</v>
      </c>
      <c r="D30">
        <v>75386788</v>
      </c>
      <c r="E30">
        <v>39</v>
      </c>
      <c r="F30">
        <v>1</v>
      </c>
      <c r="G30">
        <v>39</v>
      </c>
      <c r="H30">
        <v>1</v>
      </c>
      <c r="I30" t="s">
        <v>332</v>
      </c>
      <c r="J30" t="s">
        <v>3</v>
      </c>
      <c r="K30" t="s">
        <v>333</v>
      </c>
      <c r="L30">
        <v>1191</v>
      </c>
      <c r="N30">
        <v>1013</v>
      </c>
      <c r="O30" t="s">
        <v>334</v>
      </c>
      <c r="P30" t="s">
        <v>334</v>
      </c>
      <c r="Q30">
        <v>1</v>
      </c>
      <c r="W30">
        <v>0</v>
      </c>
      <c r="X30">
        <v>476480486</v>
      </c>
      <c r="Y30">
        <f t="shared" si="0"/>
        <v>19.14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19.14</v>
      </c>
      <c r="AU30" t="s">
        <v>3</v>
      </c>
      <c r="AV30">
        <v>1</v>
      </c>
      <c r="AW30">
        <v>2</v>
      </c>
      <c r="AX30">
        <v>75702322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ROUND(AT30*Source!I43*AH30*AL30,2)</f>
        <v>0</v>
      </c>
      <c r="CV30">
        <f>ROUND(Y30*Source!I43,9)</f>
        <v>0.17226</v>
      </c>
      <c r="CW30">
        <v>0</v>
      </c>
      <c r="CX30">
        <f>ROUND(Y30*Source!I43,9)</f>
        <v>0.17226</v>
      </c>
      <c r="CY30">
        <f>AD30</f>
        <v>0</v>
      </c>
      <c r="CZ30">
        <f>AH30</f>
        <v>0</v>
      </c>
      <c r="DA30">
        <f>AL30</f>
        <v>1</v>
      </c>
      <c r="DB30">
        <f t="shared" si="1"/>
        <v>0</v>
      </c>
      <c r="DC30">
        <f t="shared" si="2"/>
        <v>0</v>
      </c>
      <c r="DD30" t="s">
        <v>3</v>
      </c>
      <c r="DE30" t="s">
        <v>3</v>
      </c>
      <c r="DF30">
        <f t="shared" si="3"/>
        <v>0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ROW(Source!A43)</f>
        <v>43</v>
      </c>
      <c r="B31">
        <v>75700856</v>
      </c>
      <c r="C31">
        <v>75701092</v>
      </c>
      <c r="D31">
        <v>75388585</v>
      </c>
      <c r="E31">
        <v>1</v>
      </c>
      <c r="F31">
        <v>1</v>
      </c>
      <c r="G31">
        <v>39</v>
      </c>
      <c r="H31">
        <v>2</v>
      </c>
      <c r="I31" t="s">
        <v>384</v>
      </c>
      <c r="J31" t="s">
        <v>385</v>
      </c>
      <c r="K31" t="s">
        <v>386</v>
      </c>
      <c r="L31">
        <v>1368</v>
      </c>
      <c r="N31">
        <v>1011</v>
      </c>
      <c r="O31" t="s">
        <v>338</v>
      </c>
      <c r="P31" t="s">
        <v>338</v>
      </c>
      <c r="Q31">
        <v>1</v>
      </c>
      <c r="W31">
        <v>0</v>
      </c>
      <c r="X31">
        <v>1989376342</v>
      </c>
      <c r="Y31">
        <f t="shared" si="0"/>
        <v>5.36</v>
      </c>
      <c r="AA31">
        <v>0</v>
      </c>
      <c r="AB31">
        <v>6.13</v>
      </c>
      <c r="AC31">
        <v>1.91</v>
      </c>
      <c r="AD31">
        <v>0</v>
      </c>
      <c r="AE31">
        <v>0</v>
      </c>
      <c r="AF31">
        <v>6.13</v>
      </c>
      <c r="AG31">
        <v>1.91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5.36</v>
      </c>
      <c r="AU31" t="s">
        <v>3</v>
      </c>
      <c r="AV31">
        <v>0</v>
      </c>
      <c r="AW31">
        <v>2</v>
      </c>
      <c r="AX31">
        <v>75702323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ROUND(Y31*Source!I43*DO31,9)</f>
        <v>0</v>
      </c>
      <c r="CX31">
        <f>ROUND(Y31*Source!I43,9)</f>
        <v>4.8239999999999998E-2</v>
      </c>
      <c r="CY31">
        <f>AB31</f>
        <v>6.13</v>
      </c>
      <c r="CZ31">
        <f>AF31</f>
        <v>6.13</v>
      </c>
      <c r="DA31">
        <f>AJ31</f>
        <v>1</v>
      </c>
      <c r="DB31">
        <f t="shared" si="1"/>
        <v>32.86</v>
      </c>
      <c r="DC31">
        <f t="shared" si="2"/>
        <v>10.24</v>
      </c>
      <c r="DD31" t="s">
        <v>3</v>
      </c>
      <c r="DE31" t="s">
        <v>3</v>
      </c>
      <c r="DF31">
        <f t="shared" si="3"/>
        <v>0</v>
      </c>
      <c r="DG31">
        <f t="shared" si="4"/>
        <v>0.3</v>
      </c>
      <c r="DH31">
        <f t="shared" si="5"/>
        <v>0.09</v>
      </c>
      <c r="DI31">
        <f t="shared" si="6"/>
        <v>0</v>
      </c>
      <c r="DJ31">
        <f>DG31</f>
        <v>0.3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ROW(Source!A43)</f>
        <v>43</v>
      </c>
      <c r="B32">
        <v>75700856</v>
      </c>
      <c r="C32">
        <v>75701092</v>
      </c>
      <c r="D32">
        <v>75388528</v>
      </c>
      <c r="E32">
        <v>1</v>
      </c>
      <c r="F32">
        <v>1</v>
      </c>
      <c r="G32">
        <v>39</v>
      </c>
      <c r="H32">
        <v>2</v>
      </c>
      <c r="I32" t="s">
        <v>387</v>
      </c>
      <c r="J32" t="s">
        <v>388</v>
      </c>
      <c r="K32" t="s">
        <v>389</v>
      </c>
      <c r="L32">
        <v>1368</v>
      </c>
      <c r="N32">
        <v>1011</v>
      </c>
      <c r="O32" t="s">
        <v>338</v>
      </c>
      <c r="P32" t="s">
        <v>338</v>
      </c>
      <c r="Q32">
        <v>1</v>
      </c>
      <c r="W32">
        <v>0</v>
      </c>
      <c r="X32">
        <v>-156276122</v>
      </c>
      <c r="Y32">
        <f t="shared" si="0"/>
        <v>0.45</v>
      </c>
      <c r="AA32">
        <v>0</v>
      </c>
      <c r="AB32">
        <v>6.09</v>
      </c>
      <c r="AC32">
        <v>0.01</v>
      </c>
      <c r="AD32">
        <v>0</v>
      </c>
      <c r="AE32">
        <v>0</v>
      </c>
      <c r="AF32">
        <v>6.09</v>
      </c>
      <c r="AG32">
        <v>0.01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0.45</v>
      </c>
      <c r="AU32" t="s">
        <v>3</v>
      </c>
      <c r="AV32">
        <v>0</v>
      </c>
      <c r="AW32">
        <v>2</v>
      </c>
      <c r="AX32">
        <v>75702324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f>ROUND(Y32*Source!I43*DO32,9)</f>
        <v>0</v>
      </c>
      <c r="CX32">
        <f>ROUND(Y32*Source!I43,9)</f>
        <v>4.0499999999999998E-3</v>
      </c>
      <c r="CY32">
        <f>AB32</f>
        <v>6.09</v>
      </c>
      <c r="CZ32">
        <f>AF32</f>
        <v>6.09</v>
      </c>
      <c r="DA32">
        <f>AJ32</f>
        <v>1</v>
      </c>
      <c r="DB32">
        <f t="shared" si="1"/>
        <v>2.74</v>
      </c>
      <c r="DC32">
        <f t="shared" si="2"/>
        <v>0</v>
      </c>
      <c r="DD32" t="s">
        <v>3</v>
      </c>
      <c r="DE32" t="s">
        <v>3</v>
      </c>
      <c r="DF32">
        <f t="shared" si="3"/>
        <v>0</v>
      </c>
      <c r="DG32">
        <f t="shared" si="4"/>
        <v>0.02</v>
      </c>
      <c r="DH32">
        <f t="shared" si="5"/>
        <v>0</v>
      </c>
      <c r="DI32">
        <f t="shared" si="6"/>
        <v>0</v>
      </c>
      <c r="DJ32">
        <f>DG32</f>
        <v>0.02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ROW(Source!A43)</f>
        <v>43</v>
      </c>
      <c r="B33">
        <v>75700856</v>
      </c>
      <c r="C33">
        <v>75701092</v>
      </c>
      <c r="D33">
        <v>75388550</v>
      </c>
      <c r="E33">
        <v>1</v>
      </c>
      <c r="F33">
        <v>1</v>
      </c>
      <c r="G33">
        <v>39</v>
      </c>
      <c r="H33">
        <v>2</v>
      </c>
      <c r="I33" t="s">
        <v>335</v>
      </c>
      <c r="J33" t="s">
        <v>336</v>
      </c>
      <c r="K33" t="s">
        <v>337</v>
      </c>
      <c r="L33">
        <v>1368</v>
      </c>
      <c r="N33">
        <v>1011</v>
      </c>
      <c r="O33" t="s">
        <v>338</v>
      </c>
      <c r="P33" t="s">
        <v>338</v>
      </c>
      <c r="Q33">
        <v>1</v>
      </c>
      <c r="W33">
        <v>0</v>
      </c>
      <c r="X33">
        <v>-247555338</v>
      </c>
      <c r="Y33">
        <f t="shared" ref="Y33:Y64" si="7">AT33</f>
        <v>7.3</v>
      </c>
      <c r="AA33">
        <v>0</v>
      </c>
      <c r="AB33">
        <v>7.44</v>
      </c>
      <c r="AC33">
        <v>0.01</v>
      </c>
      <c r="AD33">
        <v>0</v>
      </c>
      <c r="AE33">
        <v>0</v>
      </c>
      <c r="AF33">
        <v>7.44</v>
      </c>
      <c r="AG33">
        <v>0.01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7.3</v>
      </c>
      <c r="AU33" t="s">
        <v>3</v>
      </c>
      <c r="AV33">
        <v>0</v>
      </c>
      <c r="AW33">
        <v>2</v>
      </c>
      <c r="AX33">
        <v>75702325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f>ROUND(Y33*Source!I43*DO33,9)</f>
        <v>0</v>
      </c>
      <c r="CX33">
        <f>ROUND(Y33*Source!I43,9)</f>
        <v>6.5699999999999995E-2</v>
      </c>
      <c r="CY33">
        <f>AB33</f>
        <v>7.44</v>
      </c>
      <c r="CZ33">
        <f>AF33</f>
        <v>7.44</v>
      </c>
      <c r="DA33">
        <f>AJ33</f>
        <v>1</v>
      </c>
      <c r="DB33">
        <f t="shared" ref="DB33:DB64" si="8">ROUND(ROUND(AT33*CZ33,2),6)</f>
        <v>54.31</v>
      </c>
      <c r="DC33">
        <f t="shared" ref="DC33:DC64" si="9">ROUND(ROUND(AT33*AG33,2),6)</f>
        <v>7.0000000000000007E-2</v>
      </c>
      <c r="DD33" t="s">
        <v>3</v>
      </c>
      <c r="DE33" t="s">
        <v>3</v>
      </c>
      <c r="DF33">
        <f t="shared" si="3"/>
        <v>0</v>
      </c>
      <c r="DG33">
        <f t="shared" si="4"/>
        <v>0.49</v>
      </c>
      <c r="DH33">
        <f t="shared" si="5"/>
        <v>0</v>
      </c>
      <c r="DI33">
        <f t="shared" si="6"/>
        <v>0</v>
      </c>
      <c r="DJ33">
        <f>DG33</f>
        <v>0.49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ROW(Source!A43)</f>
        <v>43</v>
      </c>
      <c r="B34">
        <v>75700856</v>
      </c>
      <c r="C34">
        <v>75701092</v>
      </c>
      <c r="D34">
        <v>75389658</v>
      </c>
      <c r="E34">
        <v>1</v>
      </c>
      <c r="F34">
        <v>1</v>
      </c>
      <c r="G34">
        <v>39</v>
      </c>
      <c r="H34">
        <v>3</v>
      </c>
      <c r="I34" t="s">
        <v>390</v>
      </c>
      <c r="J34" t="s">
        <v>391</v>
      </c>
      <c r="K34" t="s">
        <v>392</v>
      </c>
      <c r="L34">
        <v>1346</v>
      </c>
      <c r="N34">
        <v>1009</v>
      </c>
      <c r="O34" t="s">
        <v>63</v>
      </c>
      <c r="P34" t="s">
        <v>63</v>
      </c>
      <c r="Q34">
        <v>1</v>
      </c>
      <c r="W34">
        <v>0</v>
      </c>
      <c r="X34">
        <v>25616993</v>
      </c>
      <c r="Y34">
        <f t="shared" si="7"/>
        <v>0.94</v>
      </c>
      <c r="AA34">
        <v>263.45</v>
      </c>
      <c r="AB34">
        <v>0</v>
      </c>
      <c r="AC34">
        <v>0</v>
      </c>
      <c r="AD34">
        <v>0</v>
      </c>
      <c r="AE34">
        <v>263.45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0.94</v>
      </c>
      <c r="AU34" t="s">
        <v>3</v>
      </c>
      <c r="AV34">
        <v>0</v>
      </c>
      <c r="AW34">
        <v>2</v>
      </c>
      <c r="AX34">
        <v>75702326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ROUND(Y34*Source!I43,9)</f>
        <v>8.4600000000000005E-3</v>
      </c>
      <c r="CY34">
        <f>AA34</f>
        <v>263.45</v>
      </c>
      <c r="CZ34">
        <f>AE34</f>
        <v>263.45</v>
      </c>
      <c r="DA34">
        <f>AI34</f>
        <v>1</v>
      </c>
      <c r="DB34">
        <f t="shared" si="8"/>
        <v>247.64</v>
      </c>
      <c r="DC34">
        <f t="shared" si="9"/>
        <v>0</v>
      </c>
      <c r="DD34" t="s">
        <v>3</v>
      </c>
      <c r="DE34" t="s">
        <v>3</v>
      </c>
      <c r="DF34">
        <f t="shared" si="3"/>
        <v>2.23</v>
      </c>
      <c r="DG34">
        <f t="shared" si="4"/>
        <v>0</v>
      </c>
      <c r="DH34">
        <f t="shared" si="5"/>
        <v>0</v>
      </c>
      <c r="DI34">
        <f t="shared" si="6"/>
        <v>0</v>
      </c>
      <c r="DJ34">
        <f>DF34</f>
        <v>2.23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ROW(Source!A43)</f>
        <v>43</v>
      </c>
      <c r="B35">
        <v>75700856</v>
      </c>
      <c r="C35">
        <v>75701092</v>
      </c>
      <c r="D35">
        <v>75393446</v>
      </c>
      <c r="E35">
        <v>1</v>
      </c>
      <c r="F35">
        <v>1</v>
      </c>
      <c r="G35">
        <v>39</v>
      </c>
      <c r="H35">
        <v>3</v>
      </c>
      <c r="I35" t="s">
        <v>393</v>
      </c>
      <c r="J35" t="s">
        <v>394</v>
      </c>
      <c r="K35" t="s">
        <v>395</v>
      </c>
      <c r="L35">
        <v>1301</v>
      </c>
      <c r="N35">
        <v>1003</v>
      </c>
      <c r="O35" t="s">
        <v>49</v>
      </c>
      <c r="P35" t="s">
        <v>49</v>
      </c>
      <c r="Q35">
        <v>1</v>
      </c>
      <c r="W35">
        <v>0</v>
      </c>
      <c r="X35">
        <v>-1781956644</v>
      </c>
      <c r="Y35">
        <f t="shared" si="7"/>
        <v>105</v>
      </c>
      <c r="AA35">
        <v>154.56</v>
      </c>
      <c r="AB35">
        <v>0</v>
      </c>
      <c r="AC35">
        <v>0</v>
      </c>
      <c r="AD35">
        <v>0</v>
      </c>
      <c r="AE35">
        <v>154.56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105</v>
      </c>
      <c r="AU35" t="s">
        <v>3</v>
      </c>
      <c r="AV35">
        <v>0</v>
      </c>
      <c r="AW35">
        <v>2</v>
      </c>
      <c r="AX35">
        <v>75702327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ROUND(Y35*Source!I43,9)</f>
        <v>0.94499999999999995</v>
      </c>
      <c r="CY35">
        <f>AA35</f>
        <v>154.56</v>
      </c>
      <c r="CZ35">
        <f>AE35</f>
        <v>154.56</v>
      </c>
      <c r="DA35">
        <f>AI35</f>
        <v>1</v>
      </c>
      <c r="DB35">
        <f t="shared" si="8"/>
        <v>16228.8</v>
      </c>
      <c r="DC35">
        <f t="shared" si="9"/>
        <v>0</v>
      </c>
      <c r="DD35" t="s">
        <v>3</v>
      </c>
      <c r="DE35" t="s">
        <v>3</v>
      </c>
      <c r="DF35">
        <f t="shared" si="3"/>
        <v>146.06</v>
      </c>
      <c r="DG35">
        <f t="shared" si="4"/>
        <v>0</v>
      </c>
      <c r="DH35">
        <f t="shared" si="5"/>
        <v>0</v>
      </c>
      <c r="DI35">
        <f t="shared" si="6"/>
        <v>0</v>
      </c>
      <c r="DJ35">
        <f>DF35</f>
        <v>146.06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ROW(Source!A79)</f>
        <v>79</v>
      </c>
      <c r="B36">
        <v>75700856</v>
      </c>
      <c r="C36">
        <v>75701161</v>
      </c>
      <c r="D36">
        <v>75386788</v>
      </c>
      <c r="E36">
        <v>39</v>
      </c>
      <c r="F36">
        <v>1</v>
      </c>
      <c r="G36">
        <v>39</v>
      </c>
      <c r="H36">
        <v>1</v>
      </c>
      <c r="I36" t="s">
        <v>332</v>
      </c>
      <c r="J36" t="s">
        <v>3</v>
      </c>
      <c r="K36" t="s">
        <v>333</v>
      </c>
      <c r="L36">
        <v>1191</v>
      </c>
      <c r="N36">
        <v>1013</v>
      </c>
      <c r="O36" t="s">
        <v>334</v>
      </c>
      <c r="P36" t="s">
        <v>334</v>
      </c>
      <c r="Q36">
        <v>1</v>
      </c>
      <c r="W36">
        <v>0</v>
      </c>
      <c r="X36">
        <v>476480486</v>
      </c>
      <c r="Y36">
        <f t="shared" si="7"/>
        <v>0.51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0.51</v>
      </c>
      <c r="AU36" t="s">
        <v>3</v>
      </c>
      <c r="AV36">
        <v>1</v>
      </c>
      <c r="AW36">
        <v>2</v>
      </c>
      <c r="AX36">
        <v>75702328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ROUND(AT36*Source!I79*AH36*AL36,2)</f>
        <v>0</v>
      </c>
      <c r="CV36">
        <f>ROUND(Y36*Source!I79,9)</f>
        <v>6.12</v>
      </c>
      <c r="CW36">
        <v>0</v>
      </c>
      <c r="CX36">
        <f>ROUND(Y36*Source!I79,9)</f>
        <v>6.12</v>
      </c>
      <c r="CY36">
        <f>AD36</f>
        <v>0</v>
      </c>
      <c r="CZ36">
        <f>AH36</f>
        <v>0</v>
      </c>
      <c r="DA36">
        <f>AL36</f>
        <v>1</v>
      </c>
      <c r="DB36">
        <f t="shared" si="8"/>
        <v>0</v>
      </c>
      <c r="DC36">
        <f t="shared" si="9"/>
        <v>0</v>
      </c>
      <c r="DD36" t="s">
        <v>3</v>
      </c>
      <c r="DE36" t="s">
        <v>3</v>
      </c>
      <c r="DF36">
        <f t="shared" si="3"/>
        <v>0</v>
      </c>
      <c r="DG36">
        <f t="shared" si="4"/>
        <v>0</v>
      </c>
      <c r="DH36">
        <f t="shared" si="5"/>
        <v>0</v>
      </c>
      <c r="DI36">
        <f t="shared" si="6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ROW(Source!A79)</f>
        <v>79</v>
      </c>
      <c r="B37">
        <v>75700856</v>
      </c>
      <c r="C37">
        <v>75701161</v>
      </c>
      <c r="D37">
        <v>75388550</v>
      </c>
      <c r="E37">
        <v>1</v>
      </c>
      <c r="F37">
        <v>1</v>
      </c>
      <c r="G37">
        <v>39</v>
      </c>
      <c r="H37">
        <v>2</v>
      </c>
      <c r="I37" t="s">
        <v>335</v>
      </c>
      <c r="J37" t="s">
        <v>336</v>
      </c>
      <c r="K37" t="s">
        <v>337</v>
      </c>
      <c r="L37">
        <v>1368</v>
      </c>
      <c r="N37">
        <v>1011</v>
      </c>
      <c r="O37" t="s">
        <v>338</v>
      </c>
      <c r="P37" t="s">
        <v>338</v>
      </c>
      <c r="Q37">
        <v>1</v>
      </c>
      <c r="W37">
        <v>0</v>
      </c>
      <c r="X37">
        <v>-247555338</v>
      </c>
      <c r="Y37">
        <f t="shared" si="7"/>
        <v>0.02</v>
      </c>
      <c r="AA37">
        <v>0</v>
      </c>
      <c r="AB37">
        <v>7.44</v>
      </c>
      <c r="AC37">
        <v>0.01</v>
      </c>
      <c r="AD37">
        <v>0</v>
      </c>
      <c r="AE37">
        <v>0</v>
      </c>
      <c r="AF37">
        <v>7.44</v>
      </c>
      <c r="AG37">
        <v>0.01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0.02</v>
      </c>
      <c r="AU37" t="s">
        <v>3</v>
      </c>
      <c r="AV37">
        <v>0</v>
      </c>
      <c r="AW37">
        <v>2</v>
      </c>
      <c r="AX37">
        <v>75702329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ROUND(Y37*Source!I79*DO37,9)</f>
        <v>0</v>
      </c>
      <c r="CX37">
        <f>ROUND(Y37*Source!I79,9)</f>
        <v>0.24</v>
      </c>
      <c r="CY37">
        <f>AB37</f>
        <v>7.44</v>
      </c>
      <c r="CZ37">
        <f>AF37</f>
        <v>7.44</v>
      </c>
      <c r="DA37">
        <f>AJ37</f>
        <v>1</v>
      </c>
      <c r="DB37">
        <f t="shared" si="8"/>
        <v>0.15</v>
      </c>
      <c r="DC37">
        <f t="shared" si="9"/>
        <v>0</v>
      </c>
      <c r="DD37" t="s">
        <v>3</v>
      </c>
      <c r="DE37" t="s">
        <v>3</v>
      </c>
      <c r="DF37">
        <f t="shared" si="3"/>
        <v>0</v>
      </c>
      <c r="DG37">
        <f t="shared" si="4"/>
        <v>1.79</v>
      </c>
      <c r="DH37">
        <f t="shared" si="5"/>
        <v>0</v>
      </c>
      <c r="DI37">
        <f t="shared" si="6"/>
        <v>0</v>
      </c>
      <c r="DJ37">
        <f>DG37</f>
        <v>1.79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ROW(Source!A80)</f>
        <v>80</v>
      </c>
      <c r="B38">
        <v>75700856</v>
      </c>
      <c r="C38">
        <v>75701166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332</v>
      </c>
      <c r="J38" t="s">
        <v>3</v>
      </c>
      <c r="K38" t="s">
        <v>333</v>
      </c>
      <c r="L38">
        <v>1191</v>
      </c>
      <c r="N38">
        <v>1013</v>
      </c>
      <c r="O38" t="s">
        <v>334</v>
      </c>
      <c r="P38" t="s">
        <v>334</v>
      </c>
      <c r="Q38">
        <v>1</v>
      </c>
      <c r="W38">
        <v>0</v>
      </c>
      <c r="X38">
        <v>476480486</v>
      </c>
      <c r="Y38">
        <f t="shared" si="7"/>
        <v>9.9499999999999993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9.9499999999999993</v>
      </c>
      <c r="AU38" t="s">
        <v>3</v>
      </c>
      <c r="AV38">
        <v>1</v>
      </c>
      <c r="AW38">
        <v>2</v>
      </c>
      <c r="AX38">
        <v>75702330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ROUND(AT38*Source!I80*AH38*AL38,2)</f>
        <v>0</v>
      </c>
      <c r="CV38">
        <f>ROUND(Y38*Source!I80,9)</f>
        <v>7.4525499999999996</v>
      </c>
      <c r="CW38">
        <v>0</v>
      </c>
      <c r="CX38">
        <f>ROUND(Y38*Source!I80,9)</f>
        <v>7.4525499999999996</v>
      </c>
      <c r="CY38">
        <f>AD38</f>
        <v>0</v>
      </c>
      <c r="CZ38">
        <f>AH38</f>
        <v>0</v>
      </c>
      <c r="DA38">
        <f>AL38</f>
        <v>1</v>
      </c>
      <c r="DB38">
        <f t="shared" si="8"/>
        <v>0</v>
      </c>
      <c r="DC38">
        <f t="shared" si="9"/>
        <v>0</v>
      </c>
      <c r="DD38" t="s">
        <v>3</v>
      </c>
      <c r="DE38" t="s">
        <v>3</v>
      </c>
      <c r="DF38">
        <f t="shared" si="3"/>
        <v>0</v>
      </c>
      <c r="DG38">
        <f t="shared" si="4"/>
        <v>0</v>
      </c>
      <c r="DH38">
        <f t="shared" si="5"/>
        <v>0</v>
      </c>
      <c r="DI38">
        <f t="shared" si="6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ROW(Source!A80)</f>
        <v>80</v>
      </c>
      <c r="B39">
        <v>75700856</v>
      </c>
      <c r="C39">
        <v>75701166</v>
      </c>
      <c r="D39">
        <v>75386789</v>
      </c>
      <c r="E39">
        <v>39</v>
      </c>
      <c r="F39">
        <v>1</v>
      </c>
      <c r="G39">
        <v>39</v>
      </c>
      <c r="H39">
        <v>3</v>
      </c>
      <c r="I39" t="s">
        <v>339</v>
      </c>
      <c r="J39" t="s">
        <v>3</v>
      </c>
      <c r="K39" t="s">
        <v>340</v>
      </c>
      <c r="L39">
        <v>1348</v>
      </c>
      <c r="N39">
        <v>1009</v>
      </c>
      <c r="O39" t="s">
        <v>68</v>
      </c>
      <c r="P39" t="s">
        <v>68</v>
      </c>
      <c r="Q39">
        <v>1000</v>
      </c>
      <c r="W39">
        <v>0</v>
      </c>
      <c r="X39">
        <v>1489638031</v>
      </c>
      <c r="Y39">
        <f t="shared" si="7"/>
        <v>0.08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0.08</v>
      </c>
      <c r="AU39" t="s">
        <v>3</v>
      </c>
      <c r="AV39">
        <v>0</v>
      </c>
      <c r="AW39">
        <v>2</v>
      </c>
      <c r="AX39">
        <v>75702331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ROUND(Y39*Source!I80,9)</f>
        <v>5.9920000000000001E-2</v>
      </c>
      <c r="CY39">
        <f>AA39</f>
        <v>0</v>
      </c>
      <c r="CZ39">
        <f>AE39</f>
        <v>0</v>
      </c>
      <c r="DA39">
        <f>AI39</f>
        <v>1</v>
      </c>
      <c r="DB39">
        <f t="shared" si="8"/>
        <v>0</v>
      </c>
      <c r="DC39">
        <f t="shared" si="9"/>
        <v>0</v>
      </c>
      <c r="DD39" t="s">
        <v>3</v>
      </c>
      <c r="DE39" t="s">
        <v>3</v>
      </c>
      <c r="DF39">
        <f t="shared" si="3"/>
        <v>0</v>
      </c>
      <c r="DG39">
        <f t="shared" si="4"/>
        <v>0</v>
      </c>
      <c r="DH39">
        <f t="shared" si="5"/>
        <v>0</v>
      </c>
      <c r="DI39">
        <f t="shared" si="6"/>
        <v>0</v>
      </c>
      <c r="DJ39">
        <f>DF39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ROW(Source!A81)</f>
        <v>81</v>
      </c>
      <c r="B40">
        <v>75700856</v>
      </c>
      <c r="C40">
        <v>75701171</v>
      </c>
      <c r="D40">
        <v>75386788</v>
      </c>
      <c r="E40">
        <v>39</v>
      </c>
      <c r="F40">
        <v>1</v>
      </c>
      <c r="G40">
        <v>39</v>
      </c>
      <c r="H40">
        <v>1</v>
      </c>
      <c r="I40" t="s">
        <v>332</v>
      </c>
      <c r="J40" t="s">
        <v>3</v>
      </c>
      <c r="K40" t="s">
        <v>333</v>
      </c>
      <c r="L40">
        <v>1191</v>
      </c>
      <c r="N40">
        <v>1013</v>
      </c>
      <c r="O40" t="s">
        <v>334</v>
      </c>
      <c r="P40" t="s">
        <v>334</v>
      </c>
      <c r="Q40">
        <v>1</v>
      </c>
      <c r="W40">
        <v>0</v>
      </c>
      <c r="X40">
        <v>476480486</v>
      </c>
      <c r="Y40">
        <f t="shared" si="7"/>
        <v>5.35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5.35</v>
      </c>
      <c r="AU40" t="s">
        <v>3</v>
      </c>
      <c r="AV40">
        <v>1</v>
      </c>
      <c r="AW40">
        <v>2</v>
      </c>
      <c r="AX40">
        <v>75702332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ROUND(AT40*Source!I81*AH40*AL40,2)</f>
        <v>0</v>
      </c>
      <c r="CV40">
        <f>ROUND(Y40*Source!I81,9)</f>
        <v>0</v>
      </c>
      <c r="CW40">
        <v>0</v>
      </c>
      <c r="CX40">
        <f>ROUND(Y40*Source!I81,9)</f>
        <v>0</v>
      </c>
      <c r="CY40">
        <f>AD40</f>
        <v>0</v>
      </c>
      <c r="CZ40">
        <f>AH40</f>
        <v>0</v>
      </c>
      <c r="DA40">
        <f>AL40</f>
        <v>1</v>
      </c>
      <c r="DB40">
        <f t="shared" si="8"/>
        <v>0</v>
      </c>
      <c r="DC40">
        <f t="shared" si="9"/>
        <v>0</v>
      </c>
      <c r="DD40" t="s">
        <v>3</v>
      </c>
      <c r="DE40" t="s">
        <v>3</v>
      </c>
      <c r="DF40">
        <f t="shared" si="3"/>
        <v>0</v>
      </c>
      <c r="DG40">
        <f t="shared" si="4"/>
        <v>0</v>
      </c>
      <c r="DH40">
        <f t="shared" si="5"/>
        <v>0</v>
      </c>
      <c r="DI40">
        <f t="shared" si="6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ROW(Source!A81)</f>
        <v>81</v>
      </c>
      <c r="B41">
        <v>75700856</v>
      </c>
      <c r="C41">
        <v>75701171</v>
      </c>
      <c r="D41">
        <v>75388577</v>
      </c>
      <c r="E41">
        <v>1</v>
      </c>
      <c r="F41">
        <v>1</v>
      </c>
      <c r="G41">
        <v>39</v>
      </c>
      <c r="H41">
        <v>2</v>
      </c>
      <c r="I41" t="s">
        <v>396</v>
      </c>
      <c r="J41" t="s">
        <v>397</v>
      </c>
      <c r="K41" t="s">
        <v>398</v>
      </c>
      <c r="L41">
        <v>1368</v>
      </c>
      <c r="N41">
        <v>1011</v>
      </c>
      <c r="O41" t="s">
        <v>338</v>
      </c>
      <c r="P41" t="s">
        <v>338</v>
      </c>
      <c r="Q41">
        <v>1</v>
      </c>
      <c r="W41">
        <v>0</v>
      </c>
      <c r="X41">
        <v>-1592347921</v>
      </c>
      <c r="Y41">
        <f t="shared" si="7"/>
        <v>0.04</v>
      </c>
      <c r="AA41">
        <v>0</v>
      </c>
      <c r="AB41">
        <v>12.22</v>
      </c>
      <c r="AC41">
        <v>0.24</v>
      </c>
      <c r="AD41">
        <v>0</v>
      </c>
      <c r="AE41">
        <v>0</v>
      </c>
      <c r="AF41">
        <v>12.22</v>
      </c>
      <c r="AG41">
        <v>0.24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0.04</v>
      </c>
      <c r="AU41" t="s">
        <v>3</v>
      </c>
      <c r="AV41">
        <v>0</v>
      </c>
      <c r="AW41">
        <v>2</v>
      </c>
      <c r="AX41">
        <v>75702333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f>ROUND(Y41*Source!I81*DO41,9)</f>
        <v>0</v>
      </c>
      <c r="CX41">
        <f>ROUND(Y41*Source!I81,9)</f>
        <v>0</v>
      </c>
      <c r="CY41">
        <f>AB41</f>
        <v>12.22</v>
      </c>
      <c r="CZ41">
        <f>AF41</f>
        <v>12.22</v>
      </c>
      <c r="DA41">
        <f>AJ41</f>
        <v>1</v>
      </c>
      <c r="DB41">
        <f t="shared" si="8"/>
        <v>0.49</v>
      </c>
      <c r="DC41">
        <f t="shared" si="9"/>
        <v>0.01</v>
      </c>
      <c r="DD41" t="s">
        <v>3</v>
      </c>
      <c r="DE41" t="s">
        <v>3</v>
      </c>
      <c r="DF41">
        <f t="shared" si="3"/>
        <v>0</v>
      </c>
      <c r="DG41">
        <f t="shared" si="4"/>
        <v>0</v>
      </c>
      <c r="DH41">
        <f t="shared" si="5"/>
        <v>0</v>
      </c>
      <c r="DI41">
        <f t="shared" si="6"/>
        <v>0</v>
      </c>
      <c r="DJ41">
        <f>DG41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ROW(Source!A81)</f>
        <v>81</v>
      </c>
      <c r="B42">
        <v>75700856</v>
      </c>
      <c r="C42">
        <v>75701171</v>
      </c>
      <c r="D42">
        <v>75388993</v>
      </c>
      <c r="E42">
        <v>1</v>
      </c>
      <c r="F42">
        <v>1</v>
      </c>
      <c r="G42">
        <v>39</v>
      </c>
      <c r="H42">
        <v>3</v>
      </c>
      <c r="I42" t="s">
        <v>399</v>
      </c>
      <c r="J42" t="s">
        <v>400</v>
      </c>
      <c r="K42" t="s">
        <v>401</v>
      </c>
      <c r="L42">
        <v>1296</v>
      </c>
      <c r="N42">
        <v>1002</v>
      </c>
      <c r="O42" t="s">
        <v>402</v>
      </c>
      <c r="P42" t="s">
        <v>402</v>
      </c>
      <c r="Q42">
        <v>1</v>
      </c>
      <c r="W42">
        <v>0</v>
      </c>
      <c r="X42">
        <v>1726395108</v>
      </c>
      <c r="Y42">
        <f t="shared" si="7"/>
        <v>10.3</v>
      </c>
      <c r="AA42">
        <v>128.71</v>
      </c>
      <c r="AB42">
        <v>0</v>
      </c>
      <c r="AC42">
        <v>0</v>
      </c>
      <c r="AD42">
        <v>0</v>
      </c>
      <c r="AE42">
        <v>128.71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10.3</v>
      </c>
      <c r="AU42" t="s">
        <v>3</v>
      </c>
      <c r="AV42">
        <v>0</v>
      </c>
      <c r="AW42">
        <v>2</v>
      </c>
      <c r="AX42">
        <v>75702334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ROUND(Y42*Source!I81,9)</f>
        <v>0</v>
      </c>
      <c r="CY42">
        <f>AA42</f>
        <v>128.71</v>
      </c>
      <c r="CZ42">
        <f>AE42</f>
        <v>128.71</v>
      </c>
      <c r="DA42">
        <f>AI42</f>
        <v>1</v>
      </c>
      <c r="DB42">
        <f t="shared" si="8"/>
        <v>1325.71</v>
      </c>
      <c r="DC42">
        <f t="shared" si="9"/>
        <v>0</v>
      </c>
      <c r="DD42" t="s">
        <v>3</v>
      </c>
      <c r="DE42" t="s">
        <v>3</v>
      </c>
      <c r="DF42">
        <f t="shared" si="3"/>
        <v>0</v>
      </c>
      <c r="DG42">
        <f t="shared" si="4"/>
        <v>0</v>
      </c>
      <c r="DH42">
        <f t="shared" si="5"/>
        <v>0</v>
      </c>
      <c r="DI42">
        <f t="shared" si="6"/>
        <v>0</v>
      </c>
      <c r="DJ42">
        <f>DF42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ROW(Source!A82)</f>
        <v>82</v>
      </c>
      <c r="B43">
        <v>75700856</v>
      </c>
      <c r="C43">
        <v>75701178</v>
      </c>
      <c r="D43">
        <v>75386788</v>
      </c>
      <c r="E43">
        <v>39</v>
      </c>
      <c r="F43">
        <v>1</v>
      </c>
      <c r="G43">
        <v>39</v>
      </c>
      <c r="H43">
        <v>1</v>
      </c>
      <c r="I43" t="s">
        <v>332</v>
      </c>
      <c r="J43" t="s">
        <v>3</v>
      </c>
      <c r="K43" t="s">
        <v>333</v>
      </c>
      <c r="L43">
        <v>1191</v>
      </c>
      <c r="N43">
        <v>1013</v>
      </c>
      <c r="O43" t="s">
        <v>334</v>
      </c>
      <c r="P43" t="s">
        <v>334</v>
      </c>
      <c r="Q43">
        <v>1</v>
      </c>
      <c r="W43">
        <v>0</v>
      </c>
      <c r="X43">
        <v>476480486</v>
      </c>
      <c r="Y43">
        <f t="shared" si="7"/>
        <v>42.17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42.17</v>
      </c>
      <c r="AU43" t="s">
        <v>3</v>
      </c>
      <c r="AV43">
        <v>1</v>
      </c>
      <c r="AW43">
        <v>2</v>
      </c>
      <c r="AX43">
        <v>75702335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ROUND(AT43*Source!I82*AH43*AL43,2)</f>
        <v>0</v>
      </c>
      <c r="CV43">
        <f>ROUND(Y43*Source!I82,9)</f>
        <v>31.585329999999999</v>
      </c>
      <c r="CW43">
        <v>0</v>
      </c>
      <c r="CX43">
        <f>ROUND(Y43*Source!I82,9)</f>
        <v>31.585329999999999</v>
      </c>
      <c r="CY43">
        <f>AD43</f>
        <v>0</v>
      </c>
      <c r="CZ43">
        <f>AH43</f>
        <v>0</v>
      </c>
      <c r="DA43">
        <f>AL43</f>
        <v>1</v>
      </c>
      <c r="DB43">
        <f t="shared" si="8"/>
        <v>0</v>
      </c>
      <c r="DC43">
        <f t="shared" si="9"/>
        <v>0</v>
      </c>
      <c r="DD43" t="s">
        <v>3</v>
      </c>
      <c r="DE43" t="s">
        <v>3</v>
      </c>
      <c r="DF43">
        <f t="shared" si="3"/>
        <v>0</v>
      </c>
      <c r="DG43">
        <f t="shared" si="4"/>
        <v>0</v>
      </c>
      <c r="DH43">
        <f t="shared" si="5"/>
        <v>0</v>
      </c>
      <c r="DI43">
        <f t="shared" si="6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ROW(Source!A82)</f>
        <v>82</v>
      </c>
      <c r="B44">
        <v>75700856</v>
      </c>
      <c r="C44">
        <v>75701178</v>
      </c>
      <c r="D44">
        <v>75390376</v>
      </c>
      <c r="E44">
        <v>1</v>
      </c>
      <c r="F44">
        <v>1</v>
      </c>
      <c r="G44">
        <v>39</v>
      </c>
      <c r="H44">
        <v>3</v>
      </c>
      <c r="I44" t="s">
        <v>403</v>
      </c>
      <c r="J44" t="s">
        <v>404</v>
      </c>
      <c r="K44" t="s">
        <v>405</v>
      </c>
      <c r="L44">
        <v>1346</v>
      </c>
      <c r="N44">
        <v>1009</v>
      </c>
      <c r="O44" t="s">
        <v>63</v>
      </c>
      <c r="P44" t="s">
        <v>63</v>
      </c>
      <c r="Q44">
        <v>1</v>
      </c>
      <c r="W44">
        <v>0</v>
      </c>
      <c r="X44">
        <v>1118017035</v>
      </c>
      <c r="Y44">
        <f t="shared" si="7"/>
        <v>0.31</v>
      </c>
      <c r="AA44">
        <v>26.09</v>
      </c>
      <c r="AB44">
        <v>0</v>
      </c>
      <c r="AC44">
        <v>0</v>
      </c>
      <c r="AD44">
        <v>0</v>
      </c>
      <c r="AE44">
        <v>26.09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0.31</v>
      </c>
      <c r="AU44" t="s">
        <v>3</v>
      </c>
      <c r="AV44">
        <v>0</v>
      </c>
      <c r="AW44">
        <v>2</v>
      </c>
      <c r="AX44">
        <v>75702336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ROUND(Y44*Source!I82,9)</f>
        <v>0.23219000000000001</v>
      </c>
      <c r="CY44">
        <f t="shared" ref="CY44:CY50" si="10">AA44</f>
        <v>26.09</v>
      </c>
      <c r="CZ44">
        <f t="shared" ref="CZ44:CZ50" si="11">AE44</f>
        <v>26.09</v>
      </c>
      <c r="DA44">
        <f t="shared" ref="DA44:DA50" si="12">AI44</f>
        <v>1</v>
      </c>
      <c r="DB44">
        <f t="shared" si="8"/>
        <v>8.09</v>
      </c>
      <c r="DC44">
        <f t="shared" si="9"/>
        <v>0</v>
      </c>
      <c r="DD44" t="s">
        <v>3</v>
      </c>
      <c r="DE44" t="s">
        <v>3</v>
      </c>
      <c r="DF44">
        <f t="shared" si="3"/>
        <v>6.06</v>
      </c>
      <c r="DG44">
        <f t="shared" si="4"/>
        <v>0</v>
      </c>
      <c r="DH44">
        <f t="shared" si="5"/>
        <v>0</v>
      </c>
      <c r="DI44">
        <f t="shared" si="6"/>
        <v>0</v>
      </c>
      <c r="DJ44">
        <f t="shared" ref="DJ44:DJ50" si="13">DF44</f>
        <v>6.06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ROW(Source!A82)</f>
        <v>82</v>
      </c>
      <c r="B45">
        <v>75700856</v>
      </c>
      <c r="C45">
        <v>75701178</v>
      </c>
      <c r="D45">
        <v>75390588</v>
      </c>
      <c r="E45">
        <v>1</v>
      </c>
      <c r="F45">
        <v>1</v>
      </c>
      <c r="G45">
        <v>39</v>
      </c>
      <c r="H45">
        <v>3</v>
      </c>
      <c r="I45" t="s">
        <v>350</v>
      </c>
      <c r="J45" t="s">
        <v>351</v>
      </c>
      <c r="K45" t="s">
        <v>352</v>
      </c>
      <c r="L45">
        <v>1339</v>
      </c>
      <c r="N45">
        <v>1007</v>
      </c>
      <c r="O45" t="s">
        <v>353</v>
      </c>
      <c r="P45" t="s">
        <v>353</v>
      </c>
      <c r="Q45">
        <v>1</v>
      </c>
      <c r="W45">
        <v>0</v>
      </c>
      <c r="X45">
        <v>973433911</v>
      </c>
      <c r="Y45">
        <f t="shared" si="7"/>
        <v>6.0000000000000001E-3</v>
      </c>
      <c r="AA45">
        <v>49.83</v>
      </c>
      <c r="AB45">
        <v>0</v>
      </c>
      <c r="AC45">
        <v>0</v>
      </c>
      <c r="AD45">
        <v>0</v>
      </c>
      <c r="AE45">
        <v>49.83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6.0000000000000001E-3</v>
      </c>
      <c r="AU45" t="s">
        <v>3</v>
      </c>
      <c r="AV45">
        <v>0</v>
      </c>
      <c r="AW45">
        <v>2</v>
      </c>
      <c r="AX45">
        <v>75702337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ROUND(Y45*Source!I82,9)</f>
        <v>4.4939999999999997E-3</v>
      </c>
      <c r="CY45">
        <f t="shared" si="10"/>
        <v>49.83</v>
      </c>
      <c r="CZ45">
        <f t="shared" si="11"/>
        <v>49.83</v>
      </c>
      <c r="DA45">
        <f t="shared" si="12"/>
        <v>1</v>
      </c>
      <c r="DB45">
        <f t="shared" si="8"/>
        <v>0.3</v>
      </c>
      <c r="DC45">
        <f t="shared" si="9"/>
        <v>0</v>
      </c>
      <c r="DD45" t="s">
        <v>3</v>
      </c>
      <c r="DE45" t="s">
        <v>3</v>
      </c>
      <c r="DF45">
        <f t="shared" si="3"/>
        <v>0.22</v>
      </c>
      <c r="DG45">
        <f t="shared" si="4"/>
        <v>0</v>
      </c>
      <c r="DH45">
        <f t="shared" si="5"/>
        <v>0</v>
      </c>
      <c r="DI45">
        <f t="shared" si="6"/>
        <v>0</v>
      </c>
      <c r="DJ45">
        <f t="shared" si="13"/>
        <v>0.22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ROW(Source!A82)</f>
        <v>82</v>
      </c>
      <c r="B46">
        <v>75700856</v>
      </c>
      <c r="C46">
        <v>75701178</v>
      </c>
      <c r="D46">
        <v>75390936</v>
      </c>
      <c r="E46">
        <v>1</v>
      </c>
      <c r="F46">
        <v>1</v>
      </c>
      <c r="G46">
        <v>39</v>
      </c>
      <c r="H46">
        <v>3</v>
      </c>
      <c r="I46" t="s">
        <v>406</v>
      </c>
      <c r="J46" t="s">
        <v>407</v>
      </c>
      <c r="K46" t="s">
        <v>408</v>
      </c>
      <c r="L46">
        <v>1327</v>
      </c>
      <c r="N46">
        <v>1005</v>
      </c>
      <c r="O46" t="s">
        <v>132</v>
      </c>
      <c r="P46" t="s">
        <v>132</v>
      </c>
      <c r="Q46">
        <v>1</v>
      </c>
      <c r="W46">
        <v>0</v>
      </c>
      <c r="X46">
        <v>-668698448</v>
      </c>
      <c r="Y46">
        <f t="shared" si="7"/>
        <v>0.8</v>
      </c>
      <c r="AA46">
        <v>338.51</v>
      </c>
      <c r="AB46">
        <v>0</v>
      </c>
      <c r="AC46">
        <v>0</v>
      </c>
      <c r="AD46">
        <v>0</v>
      </c>
      <c r="AE46">
        <v>338.51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0.8</v>
      </c>
      <c r="AU46" t="s">
        <v>3</v>
      </c>
      <c r="AV46">
        <v>0</v>
      </c>
      <c r="AW46">
        <v>2</v>
      </c>
      <c r="AX46">
        <v>75702338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ROUND(Y46*Source!I82,9)</f>
        <v>0.59919999999999995</v>
      </c>
      <c r="CY46">
        <f t="shared" si="10"/>
        <v>338.51</v>
      </c>
      <c r="CZ46">
        <f t="shared" si="11"/>
        <v>338.51</v>
      </c>
      <c r="DA46">
        <f t="shared" si="12"/>
        <v>1</v>
      </c>
      <c r="DB46">
        <f t="shared" si="8"/>
        <v>270.81</v>
      </c>
      <c r="DC46">
        <f t="shared" si="9"/>
        <v>0</v>
      </c>
      <c r="DD46" t="s">
        <v>3</v>
      </c>
      <c r="DE46" t="s">
        <v>3</v>
      </c>
      <c r="DF46">
        <f t="shared" si="3"/>
        <v>202.84</v>
      </c>
      <c r="DG46">
        <f t="shared" si="4"/>
        <v>0</v>
      </c>
      <c r="DH46">
        <f t="shared" si="5"/>
        <v>0</v>
      </c>
      <c r="DI46">
        <f t="shared" si="6"/>
        <v>0</v>
      </c>
      <c r="DJ46">
        <f t="shared" si="13"/>
        <v>202.84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ROW(Source!A82)</f>
        <v>82</v>
      </c>
      <c r="B47">
        <v>75700856</v>
      </c>
      <c r="C47">
        <v>75701178</v>
      </c>
      <c r="D47">
        <v>75390952</v>
      </c>
      <c r="E47">
        <v>1</v>
      </c>
      <c r="F47">
        <v>1</v>
      </c>
      <c r="G47">
        <v>39</v>
      </c>
      <c r="H47">
        <v>3</v>
      </c>
      <c r="I47" t="s">
        <v>409</v>
      </c>
      <c r="J47" t="s">
        <v>410</v>
      </c>
      <c r="K47" t="s">
        <v>411</v>
      </c>
      <c r="L47">
        <v>1348</v>
      </c>
      <c r="N47">
        <v>1009</v>
      </c>
      <c r="O47" t="s">
        <v>68</v>
      </c>
      <c r="P47" t="s">
        <v>68</v>
      </c>
      <c r="Q47">
        <v>1000</v>
      </c>
      <c r="W47">
        <v>0</v>
      </c>
      <c r="X47">
        <v>1133369200</v>
      </c>
      <c r="Y47">
        <f t="shared" si="7"/>
        <v>5.0999999999999997E-2</v>
      </c>
      <c r="AA47">
        <v>76204.789999999994</v>
      </c>
      <c r="AB47">
        <v>0</v>
      </c>
      <c r="AC47">
        <v>0</v>
      </c>
      <c r="AD47">
        <v>0</v>
      </c>
      <c r="AE47">
        <v>76204.789999999994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5.0999999999999997E-2</v>
      </c>
      <c r="AU47" t="s">
        <v>3</v>
      </c>
      <c r="AV47">
        <v>0</v>
      </c>
      <c r="AW47">
        <v>2</v>
      </c>
      <c r="AX47">
        <v>75702339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ROUND(Y47*Source!I82,9)</f>
        <v>3.8198999999999997E-2</v>
      </c>
      <c r="CY47">
        <f t="shared" si="10"/>
        <v>76204.789999999994</v>
      </c>
      <c r="CZ47">
        <f t="shared" si="11"/>
        <v>76204.789999999994</v>
      </c>
      <c r="DA47">
        <f t="shared" si="12"/>
        <v>1</v>
      </c>
      <c r="DB47">
        <f t="shared" si="8"/>
        <v>3886.44</v>
      </c>
      <c r="DC47">
        <f t="shared" si="9"/>
        <v>0</v>
      </c>
      <c r="DD47" t="s">
        <v>3</v>
      </c>
      <c r="DE47" t="s">
        <v>3</v>
      </c>
      <c r="DF47">
        <f t="shared" si="3"/>
        <v>2910.95</v>
      </c>
      <c r="DG47">
        <f t="shared" si="4"/>
        <v>0</v>
      </c>
      <c r="DH47">
        <f t="shared" si="5"/>
        <v>0</v>
      </c>
      <c r="DI47">
        <f t="shared" si="6"/>
        <v>0</v>
      </c>
      <c r="DJ47">
        <f t="shared" si="13"/>
        <v>2910.95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ROW(Source!A82)</f>
        <v>82</v>
      </c>
      <c r="B48">
        <v>75700856</v>
      </c>
      <c r="C48">
        <v>75701178</v>
      </c>
      <c r="D48">
        <v>75389081</v>
      </c>
      <c r="E48">
        <v>1</v>
      </c>
      <c r="F48">
        <v>1</v>
      </c>
      <c r="G48">
        <v>39</v>
      </c>
      <c r="H48">
        <v>3</v>
      </c>
      <c r="I48" t="s">
        <v>146</v>
      </c>
      <c r="J48" t="s">
        <v>148</v>
      </c>
      <c r="K48" t="s">
        <v>147</v>
      </c>
      <c r="L48">
        <v>1348</v>
      </c>
      <c r="N48">
        <v>1009</v>
      </c>
      <c r="O48" t="s">
        <v>68</v>
      </c>
      <c r="P48" t="s">
        <v>68</v>
      </c>
      <c r="Q48">
        <v>1000</v>
      </c>
      <c r="W48">
        <v>0</v>
      </c>
      <c r="X48">
        <v>812432982</v>
      </c>
      <c r="Y48">
        <f t="shared" si="7"/>
        <v>1.6999999999999999E-3</v>
      </c>
      <c r="AA48">
        <v>198992.34</v>
      </c>
      <c r="AB48">
        <v>0</v>
      </c>
      <c r="AC48">
        <v>0</v>
      </c>
      <c r="AD48">
        <v>0</v>
      </c>
      <c r="AE48">
        <v>198992.34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0</v>
      </c>
      <c r="AN48">
        <v>0</v>
      </c>
      <c r="AO48">
        <v>0</v>
      </c>
      <c r="AP48">
        <v>1</v>
      </c>
      <c r="AQ48">
        <v>0</v>
      </c>
      <c r="AR48">
        <v>0</v>
      </c>
      <c r="AS48" t="s">
        <v>3</v>
      </c>
      <c r="AT48">
        <v>1.6999999999999999E-3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ROUND(Y48*Source!I82,9)</f>
        <v>1.2733E-3</v>
      </c>
      <c r="CY48">
        <f t="shared" si="10"/>
        <v>198992.34</v>
      </c>
      <c r="CZ48">
        <f t="shared" si="11"/>
        <v>198992.34</v>
      </c>
      <c r="DA48">
        <f t="shared" si="12"/>
        <v>1</v>
      </c>
      <c r="DB48">
        <f t="shared" si="8"/>
        <v>338.29</v>
      </c>
      <c r="DC48">
        <f t="shared" si="9"/>
        <v>0</v>
      </c>
      <c r="DD48" t="s">
        <v>3</v>
      </c>
      <c r="DE48" t="s">
        <v>3</v>
      </c>
      <c r="DF48">
        <f t="shared" si="3"/>
        <v>253.38</v>
      </c>
      <c r="DG48">
        <f t="shared" si="4"/>
        <v>0</v>
      </c>
      <c r="DH48">
        <f t="shared" si="5"/>
        <v>0</v>
      </c>
      <c r="DI48">
        <f t="shared" si="6"/>
        <v>0</v>
      </c>
      <c r="DJ48">
        <f t="shared" si="13"/>
        <v>253.38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ROW(Source!A82)</f>
        <v>82</v>
      </c>
      <c r="B49">
        <v>75700856</v>
      </c>
      <c r="C49">
        <v>75701178</v>
      </c>
      <c r="D49">
        <v>75389193</v>
      </c>
      <c r="E49">
        <v>1</v>
      </c>
      <c r="F49">
        <v>1</v>
      </c>
      <c r="G49">
        <v>39</v>
      </c>
      <c r="H49">
        <v>3</v>
      </c>
      <c r="I49" t="s">
        <v>412</v>
      </c>
      <c r="J49" t="s">
        <v>413</v>
      </c>
      <c r="K49" t="s">
        <v>414</v>
      </c>
      <c r="L49">
        <v>1346</v>
      </c>
      <c r="N49">
        <v>1009</v>
      </c>
      <c r="O49" t="s">
        <v>63</v>
      </c>
      <c r="P49" t="s">
        <v>63</v>
      </c>
      <c r="Q49">
        <v>1</v>
      </c>
      <c r="W49">
        <v>0</v>
      </c>
      <c r="X49">
        <v>-1799487693</v>
      </c>
      <c r="Y49">
        <f t="shared" si="7"/>
        <v>24.2</v>
      </c>
      <c r="AA49">
        <v>215.72</v>
      </c>
      <c r="AB49">
        <v>0</v>
      </c>
      <c r="AC49">
        <v>0</v>
      </c>
      <c r="AD49">
        <v>0</v>
      </c>
      <c r="AE49">
        <v>215.72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24.2</v>
      </c>
      <c r="AU49" t="s">
        <v>3</v>
      </c>
      <c r="AV49">
        <v>0</v>
      </c>
      <c r="AW49">
        <v>2</v>
      </c>
      <c r="AX49">
        <v>75702340</v>
      </c>
      <c r="AY49">
        <v>1</v>
      </c>
      <c r="AZ49">
        <v>0</v>
      </c>
      <c r="BA49">
        <v>46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ROUND(Y49*Source!I82,9)</f>
        <v>18.125800000000002</v>
      </c>
      <c r="CY49">
        <f t="shared" si="10"/>
        <v>215.72</v>
      </c>
      <c r="CZ49">
        <f t="shared" si="11"/>
        <v>215.72</v>
      </c>
      <c r="DA49">
        <f t="shared" si="12"/>
        <v>1</v>
      </c>
      <c r="DB49">
        <f t="shared" si="8"/>
        <v>5220.42</v>
      </c>
      <c r="DC49">
        <f t="shared" si="9"/>
        <v>0</v>
      </c>
      <c r="DD49" t="s">
        <v>3</v>
      </c>
      <c r="DE49" t="s">
        <v>3</v>
      </c>
      <c r="DF49">
        <f t="shared" si="3"/>
        <v>3910.1</v>
      </c>
      <c r="DG49">
        <f t="shared" si="4"/>
        <v>0</v>
      </c>
      <c r="DH49">
        <f t="shared" si="5"/>
        <v>0</v>
      </c>
      <c r="DI49">
        <f t="shared" si="6"/>
        <v>0</v>
      </c>
      <c r="DJ49">
        <f t="shared" si="13"/>
        <v>3910.1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ROW(Source!A82)</f>
        <v>82</v>
      </c>
      <c r="B50">
        <v>75700856</v>
      </c>
      <c r="C50">
        <v>75701178</v>
      </c>
      <c r="D50">
        <v>75389195</v>
      </c>
      <c r="E50">
        <v>1</v>
      </c>
      <c r="F50">
        <v>1</v>
      </c>
      <c r="G50">
        <v>39</v>
      </c>
      <c r="H50">
        <v>3</v>
      </c>
      <c r="I50" t="s">
        <v>415</v>
      </c>
      <c r="J50" t="s">
        <v>416</v>
      </c>
      <c r="K50" t="s">
        <v>417</v>
      </c>
      <c r="L50">
        <v>1346</v>
      </c>
      <c r="N50">
        <v>1009</v>
      </c>
      <c r="O50" t="s">
        <v>63</v>
      </c>
      <c r="P50" t="s">
        <v>63</v>
      </c>
      <c r="Q50">
        <v>1</v>
      </c>
      <c r="W50">
        <v>0</v>
      </c>
      <c r="X50">
        <v>2089374929</v>
      </c>
      <c r="Y50">
        <f t="shared" si="7"/>
        <v>10.4</v>
      </c>
      <c r="AA50">
        <v>80.599999999999994</v>
      </c>
      <c r="AB50">
        <v>0</v>
      </c>
      <c r="AC50">
        <v>0</v>
      </c>
      <c r="AD50">
        <v>0</v>
      </c>
      <c r="AE50">
        <v>80.599999999999994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10.4</v>
      </c>
      <c r="AU50" t="s">
        <v>3</v>
      </c>
      <c r="AV50">
        <v>0</v>
      </c>
      <c r="AW50">
        <v>2</v>
      </c>
      <c r="AX50">
        <v>75702341</v>
      </c>
      <c r="AY50">
        <v>1</v>
      </c>
      <c r="AZ50">
        <v>0</v>
      </c>
      <c r="BA50">
        <v>47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ROUND(Y50*Source!I82,9)</f>
        <v>7.7896000000000001</v>
      </c>
      <c r="CY50">
        <f t="shared" si="10"/>
        <v>80.599999999999994</v>
      </c>
      <c r="CZ50">
        <f t="shared" si="11"/>
        <v>80.599999999999994</v>
      </c>
      <c r="DA50">
        <f t="shared" si="12"/>
        <v>1</v>
      </c>
      <c r="DB50">
        <f t="shared" si="8"/>
        <v>838.24</v>
      </c>
      <c r="DC50">
        <f t="shared" si="9"/>
        <v>0</v>
      </c>
      <c r="DD50" t="s">
        <v>3</v>
      </c>
      <c r="DE50" t="s">
        <v>3</v>
      </c>
      <c r="DF50">
        <f t="shared" si="3"/>
        <v>627.84</v>
      </c>
      <c r="DG50">
        <f t="shared" si="4"/>
        <v>0</v>
      </c>
      <c r="DH50">
        <f t="shared" si="5"/>
        <v>0</v>
      </c>
      <c r="DI50">
        <f t="shared" si="6"/>
        <v>0</v>
      </c>
      <c r="DJ50">
        <f t="shared" si="13"/>
        <v>627.84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ROW(Source!A119)</f>
        <v>119</v>
      </c>
      <c r="B51">
        <v>75700856</v>
      </c>
      <c r="C51">
        <v>75701251</v>
      </c>
      <c r="D51">
        <v>75386788</v>
      </c>
      <c r="E51">
        <v>39</v>
      </c>
      <c r="F51">
        <v>1</v>
      </c>
      <c r="G51">
        <v>39</v>
      </c>
      <c r="H51">
        <v>1</v>
      </c>
      <c r="I51" t="s">
        <v>332</v>
      </c>
      <c r="J51" t="s">
        <v>3</v>
      </c>
      <c r="K51" t="s">
        <v>333</v>
      </c>
      <c r="L51">
        <v>1191</v>
      </c>
      <c r="N51">
        <v>1013</v>
      </c>
      <c r="O51" t="s">
        <v>334</v>
      </c>
      <c r="P51" t="s">
        <v>334</v>
      </c>
      <c r="Q51">
        <v>1</v>
      </c>
      <c r="W51">
        <v>0</v>
      </c>
      <c r="X51">
        <v>476480486</v>
      </c>
      <c r="Y51">
        <f t="shared" si="7"/>
        <v>60.8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60.8</v>
      </c>
      <c r="AU51" t="s">
        <v>3</v>
      </c>
      <c r="AV51">
        <v>1</v>
      </c>
      <c r="AW51">
        <v>2</v>
      </c>
      <c r="AX51">
        <v>75702342</v>
      </c>
      <c r="AY51">
        <v>1</v>
      </c>
      <c r="AZ51">
        <v>0</v>
      </c>
      <c r="BA51">
        <v>48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ROUND(AT51*Source!I119*AH51*AL51,2)</f>
        <v>0</v>
      </c>
      <c r="CV51">
        <f>ROUND(Y51*Source!I119,9)</f>
        <v>0.60799999999999998</v>
      </c>
      <c r="CW51">
        <v>0</v>
      </c>
      <c r="CX51">
        <f>ROUND(Y51*Source!I119,9)</f>
        <v>0.60799999999999998</v>
      </c>
      <c r="CY51">
        <f>AD51</f>
        <v>0</v>
      </c>
      <c r="CZ51">
        <f>AH51</f>
        <v>0</v>
      </c>
      <c r="DA51">
        <f>AL51</f>
        <v>1</v>
      </c>
      <c r="DB51">
        <f t="shared" si="8"/>
        <v>0</v>
      </c>
      <c r="DC51">
        <f t="shared" si="9"/>
        <v>0</v>
      </c>
      <c r="DD51" t="s">
        <v>3</v>
      </c>
      <c r="DE51" t="s">
        <v>3</v>
      </c>
      <c r="DF51">
        <f t="shared" si="3"/>
        <v>0</v>
      </c>
      <c r="DG51">
        <f t="shared" si="4"/>
        <v>0</v>
      </c>
      <c r="DH51">
        <f t="shared" si="5"/>
        <v>0</v>
      </c>
      <c r="DI51">
        <f t="shared" si="6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ROW(Source!A119)</f>
        <v>119</v>
      </c>
      <c r="B52">
        <v>75700856</v>
      </c>
      <c r="C52">
        <v>75701251</v>
      </c>
      <c r="D52">
        <v>75386789</v>
      </c>
      <c r="E52">
        <v>39</v>
      </c>
      <c r="F52">
        <v>1</v>
      </c>
      <c r="G52">
        <v>39</v>
      </c>
      <c r="H52">
        <v>3</v>
      </c>
      <c r="I52" t="s">
        <v>339</v>
      </c>
      <c r="J52" t="s">
        <v>3</v>
      </c>
      <c r="K52" t="s">
        <v>340</v>
      </c>
      <c r="L52">
        <v>1348</v>
      </c>
      <c r="N52">
        <v>1009</v>
      </c>
      <c r="O52" t="s">
        <v>68</v>
      </c>
      <c r="P52" t="s">
        <v>68</v>
      </c>
      <c r="Q52">
        <v>1000</v>
      </c>
      <c r="W52">
        <v>0</v>
      </c>
      <c r="X52">
        <v>1489638031</v>
      </c>
      <c r="Y52">
        <f t="shared" si="7"/>
        <v>1.66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1.66</v>
      </c>
      <c r="AU52" t="s">
        <v>3</v>
      </c>
      <c r="AV52">
        <v>0</v>
      </c>
      <c r="AW52">
        <v>2</v>
      </c>
      <c r="AX52">
        <v>75702343</v>
      </c>
      <c r="AY52">
        <v>1</v>
      </c>
      <c r="AZ52">
        <v>0</v>
      </c>
      <c r="BA52">
        <v>49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ROUND(Y52*Source!I119,9)</f>
        <v>1.66E-2</v>
      </c>
      <c r="CY52">
        <f>AA52</f>
        <v>0</v>
      </c>
      <c r="CZ52">
        <f>AE52</f>
        <v>0</v>
      </c>
      <c r="DA52">
        <f>AI52</f>
        <v>1</v>
      </c>
      <c r="DB52">
        <f t="shared" si="8"/>
        <v>0</v>
      </c>
      <c r="DC52">
        <f t="shared" si="9"/>
        <v>0</v>
      </c>
      <c r="DD52" t="s">
        <v>3</v>
      </c>
      <c r="DE52" t="s">
        <v>3</v>
      </c>
      <c r="DF52">
        <f t="shared" si="3"/>
        <v>0</v>
      </c>
      <c r="DG52">
        <f t="shared" si="4"/>
        <v>0</v>
      </c>
      <c r="DH52">
        <f t="shared" si="5"/>
        <v>0</v>
      </c>
      <c r="DI52">
        <f t="shared" si="6"/>
        <v>0</v>
      </c>
      <c r="DJ52">
        <f>DF52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ROW(Source!A120)</f>
        <v>120</v>
      </c>
      <c r="B53">
        <v>75700856</v>
      </c>
      <c r="C53">
        <v>75701256</v>
      </c>
      <c r="D53">
        <v>75386788</v>
      </c>
      <c r="E53">
        <v>39</v>
      </c>
      <c r="F53">
        <v>1</v>
      </c>
      <c r="G53">
        <v>39</v>
      </c>
      <c r="H53">
        <v>1</v>
      </c>
      <c r="I53" t="s">
        <v>332</v>
      </c>
      <c r="J53" t="s">
        <v>3</v>
      </c>
      <c r="K53" t="s">
        <v>333</v>
      </c>
      <c r="L53">
        <v>1191</v>
      </c>
      <c r="N53">
        <v>1013</v>
      </c>
      <c r="O53" t="s">
        <v>334</v>
      </c>
      <c r="P53" t="s">
        <v>334</v>
      </c>
      <c r="Q53">
        <v>1</v>
      </c>
      <c r="W53">
        <v>0</v>
      </c>
      <c r="X53">
        <v>476480486</v>
      </c>
      <c r="Y53">
        <f t="shared" si="7"/>
        <v>77.86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77.86</v>
      </c>
      <c r="AU53" t="s">
        <v>3</v>
      </c>
      <c r="AV53">
        <v>1</v>
      </c>
      <c r="AW53">
        <v>2</v>
      </c>
      <c r="AX53">
        <v>75702344</v>
      </c>
      <c r="AY53">
        <v>1</v>
      </c>
      <c r="AZ53">
        <v>2048</v>
      </c>
      <c r="BA53">
        <v>50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ROUND(AT53*Source!I120*AH53*AL53,2)</f>
        <v>0</v>
      </c>
      <c r="CV53">
        <f>ROUND(Y53*Source!I120,9)</f>
        <v>0.77859999999999996</v>
      </c>
      <c r="CW53">
        <v>0</v>
      </c>
      <c r="CX53">
        <f>ROUND(Y53*Source!I120,9)</f>
        <v>0.77859999999999996</v>
      </c>
      <c r="CY53">
        <f>AD53</f>
        <v>0</v>
      </c>
      <c r="CZ53">
        <f>AH53</f>
        <v>0</v>
      </c>
      <c r="DA53">
        <f>AL53</f>
        <v>1</v>
      </c>
      <c r="DB53">
        <f t="shared" si="8"/>
        <v>0</v>
      </c>
      <c r="DC53">
        <f t="shared" si="9"/>
        <v>0</v>
      </c>
      <c r="DD53" t="s">
        <v>3</v>
      </c>
      <c r="DE53" t="s">
        <v>3</v>
      </c>
      <c r="DF53">
        <f t="shared" si="3"/>
        <v>0</v>
      </c>
      <c r="DG53">
        <f t="shared" si="4"/>
        <v>0</v>
      </c>
      <c r="DH53">
        <f t="shared" si="5"/>
        <v>0</v>
      </c>
      <c r="DI53">
        <f t="shared" si="6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ROW(Source!A120)</f>
        <v>120</v>
      </c>
      <c r="B54">
        <v>75700856</v>
      </c>
      <c r="C54">
        <v>75701256</v>
      </c>
      <c r="D54">
        <v>75389672</v>
      </c>
      <c r="E54">
        <v>1</v>
      </c>
      <c r="F54">
        <v>1</v>
      </c>
      <c r="G54">
        <v>39</v>
      </c>
      <c r="H54">
        <v>3</v>
      </c>
      <c r="I54" t="s">
        <v>381</v>
      </c>
      <c r="J54" t="s">
        <v>382</v>
      </c>
      <c r="K54" t="s">
        <v>383</v>
      </c>
      <c r="L54">
        <v>1348</v>
      </c>
      <c r="N54">
        <v>1009</v>
      </c>
      <c r="O54" t="s">
        <v>68</v>
      </c>
      <c r="P54" t="s">
        <v>68</v>
      </c>
      <c r="Q54">
        <v>1000</v>
      </c>
      <c r="W54">
        <v>0</v>
      </c>
      <c r="X54">
        <v>-799169102</v>
      </c>
      <c r="Y54">
        <f t="shared" si="7"/>
        <v>1.2E-2</v>
      </c>
      <c r="AA54">
        <v>95976.83</v>
      </c>
      <c r="AB54">
        <v>0</v>
      </c>
      <c r="AC54">
        <v>0</v>
      </c>
      <c r="AD54">
        <v>0</v>
      </c>
      <c r="AE54">
        <v>95976.83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1.2E-2</v>
      </c>
      <c r="AU54" t="s">
        <v>3</v>
      </c>
      <c r="AV54">
        <v>0</v>
      </c>
      <c r="AW54">
        <v>2</v>
      </c>
      <c r="AX54">
        <v>75702345</v>
      </c>
      <c r="AY54">
        <v>1</v>
      </c>
      <c r="AZ54">
        <v>2048</v>
      </c>
      <c r="BA54">
        <v>51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ROUND(Y54*Source!I120,9)</f>
        <v>1.2E-4</v>
      </c>
      <c r="CY54">
        <f>AA54</f>
        <v>95976.83</v>
      </c>
      <c r="CZ54">
        <f>AE54</f>
        <v>95976.83</v>
      </c>
      <c r="DA54">
        <f>AI54</f>
        <v>1</v>
      </c>
      <c r="DB54">
        <f t="shared" si="8"/>
        <v>1151.72</v>
      </c>
      <c r="DC54">
        <f t="shared" si="9"/>
        <v>0</v>
      </c>
      <c r="DD54" t="s">
        <v>3</v>
      </c>
      <c r="DE54" t="s">
        <v>3</v>
      </c>
      <c r="DF54">
        <f t="shared" si="3"/>
        <v>11.52</v>
      </c>
      <c r="DG54">
        <f t="shared" si="4"/>
        <v>0</v>
      </c>
      <c r="DH54">
        <f t="shared" si="5"/>
        <v>0</v>
      </c>
      <c r="DI54">
        <f t="shared" si="6"/>
        <v>0</v>
      </c>
      <c r="DJ54">
        <f>DF54</f>
        <v>11.52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ROW(Source!A120)</f>
        <v>120</v>
      </c>
      <c r="B55">
        <v>75700856</v>
      </c>
      <c r="C55">
        <v>75701256</v>
      </c>
      <c r="D55">
        <v>75389710</v>
      </c>
      <c r="E55">
        <v>1</v>
      </c>
      <c r="F55">
        <v>1</v>
      </c>
      <c r="G55">
        <v>39</v>
      </c>
      <c r="H55">
        <v>3</v>
      </c>
      <c r="I55" t="s">
        <v>418</v>
      </c>
      <c r="J55" t="s">
        <v>419</v>
      </c>
      <c r="K55" t="s">
        <v>420</v>
      </c>
      <c r="L55">
        <v>1348</v>
      </c>
      <c r="N55">
        <v>1009</v>
      </c>
      <c r="O55" t="s">
        <v>68</v>
      </c>
      <c r="P55" t="s">
        <v>68</v>
      </c>
      <c r="Q55">
        <v>1000</v>
      </c>
      <c r="W55">
        <v>0</v>
      </c>
      <c r="X55">
        <v>-1980536396</v>
      </c>
      <c r="Y55">
        <f t="shared" si="7"/>
        <v>3.5000000000000003E-2</v>
      </c>
      <c r="AA55">
        <v>87313.75</v>
      </c>
      <c r="AB55">
        <v>0</v>
      </c>
      <c r="AC55">
        <v>0</v>
      </c>
      <c r="AD55">
        <v>0</v>
      </c>
      <c r="AE55">
        <v>87313.75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3.5000000000000003E-2</v>
      </c>
      <c r="AU55" t="s">
        <v>3</v>
      </c>
      <c r="AV55">
        <v>0</v>
      </c>
      <c r="AW55">
        <v>2</v>
      </c>
      <c r="AX55">
        <v>75702346</v>
      </c>
      <c r="AY55">
        <v>1</v>
      </c>
      <c r="AZ55">
        <v>2048</v>
      </c>
      <c r="BA55">
        <v>52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ROUND(Y55*Source!I120,9)</f>
        <v>3.5E-4</v>
      </c>
      <c r="CY55">
        <f>AA55</f>
        <v>87313.75</v>
      </c>
      <c r="CZ55">
        <f>AE55</f>
        <v>87313.75</v>
      </c>
      <c r="DA55">
        <f>AI55</f>
        <v>1</v>
      </c>
      <c r="DB55">
        <f t="shared" si="8"/>
        <v>3055.98</v>
      </c>
      <c r="DC55">
        <f t="shared" si="9"/>
        <v>0</v>
      </c>
      <c r="DD55" t="s">
        <v>3</v>
      </c>
      <c r="DE55" t="s">
        <v>3</v>
      </c>
      <c r="DF55">
        <f t="shared" si="3"/>
        <v>30.56</v>
      </c>
      <c r="DG55">
        <f t="shared" si="4"/>
        <v>0</v>
      </c>
      <c r="DH55">
        <f t="shared" si="5"/>
        <v>0</v>
      </c>
      <c r="DI55">
        <f t="shared" si="6"/>
        <v>0</v>
      </c>
      <c r="DJ55">
        <f>DF55</f>
        <v>30.56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ROW(Source!A120)</f>
        <v>120</v>
      </c>
      <c r="B56">
        <v>75700856</v>
      </c>
      <c r="C56">
        <v>75701256</v>
      </c>
      <c r="D56">
        <v>75393920</v>
      </c>
      <c r="E56">
        <v>1</v>
      </c>
      <c r="F56">
        <v>1</v>
      </c>
      <c r="G56">
        <v>39</v>
      </c>
      <c r="H56">
        <v>3</v>
      </c>
      <c r="I56" t="s">
        <v>421</v>
      </c>
      <c r="J56" t="s">
        <v>422</v>
      </c>
      <c r="K56" t="s">
        <v>423</v>
      </c>
      <c r="L56">
        <v>1301</v>
      </c>
      <c r="N56">
        <v>1003</v>
      </c>
      <c r="O56" t="s">
        <v>49</v>
      </c>
      <c r="P56" t="s">
        <v>49</v>
      </c>
      <c r="Q56">
        <v>1</v>
      </c>
      <c r="W56">
        <v>0</v>
      </c>
      <c r="X56">
        <v>-1908336614</v>
      </c>
      <c r="Y56">
        <f t="shared" si="7"/>
        <v>400</v>
      </c>
      <c r="AA56">
        <v>27.14</v>
      </c>
      <c r="AB56">
        <v>0</v>
      </c>
      <c r="AC56">
        <v>0</v>
      </c>
      <c r="AD56">
        <v>0</v>
      </c>
      <c r="AE56">
        <v>27.14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400</v>
      </c>
      <c r="AU56" t="s">
        <v>3</v>
      </c>
      <c r="AV56">
        <v>0</v>
      </c>
      <c r="AW56">
        <v>2</v>
      </c>
      <c r="AX56">
        <v>75702347</v>
      </c>
      <c r="AY56">
        <v>1</v>
      </c>
      <c r="AZ56">
        <v>2048</v>
      </c>
      <c r="BA56">
        <v>53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ROUND(Y56*Source!I120,9)</f>
        <v>4</v>
      </c>
      <c r="CY56">
        <f>AA56</f>
        <v>27.14</v>
      </c>
      <c r="CZ56">
        <f>AE56</f>
        <v>27.14</v>
      </c>
      <c r="DA56">
        <f>AI56</f>
        <v>1</v>
      </c>
      <c r="DB56">
        <f t="shared" si="8"/>
        <v>10856</v>
      </c>
      <c r="DC56">
        <f t="shared" si="9"/>
        <v>0</v>
      </c>
      <c r="DD56" t="s">
        <v>3</v>
      </c>
      <c r="DE56" t="s">
        <v>3</v>
      </c>
      <c r="DF56">
        <f t="shared" si="3"/>
        <v>108.56</v>
      </c>
      <c r="DG56">
        <f t="shared" si="4"/>
        <v>0</v>
      </c>
      <c r="DH56">
        <f t="shared" si="5"/>
        <v>0</v>
      </c>
      <c r="DI56">
        <f t="shared" si="6"/>
        <v>0</v>
      </c>
      <c r="DJ56">
        <f>DF56</f>
        <v>108.56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ROW(Source!A121)</f>
        <v>121</v>
      </c>
      <c r="B57">
        <v>75700856</v>
      </c>
      <c r="C57">
        <v>75701265</v>
      </c>
      <c r="D57">
        <v>75386788</v>
      </c>
      <c r="E57">
        <v>39</v>
      </c>
      <c r="F57">
        <v>1</v>
      </c>
      <c r="G57">
        <v>39</v>
      </c>
      <c r="H57">
        <v>1</v>
      </c>
      <c r="I57" t="s">
        <v>332</v>
      </c>
      <c r="J57" t="s">
        <v>3</v>
      </c>
      <c r="K57" t="s">
        <v>333</v>
      </c>
      <c r="L57">
        <v>1191</v>
      </c>
      <c r="N57">
        <v>1013</v>
      </c>
      <c r="O57" t="s">
        <v>334</v>
      </c>
      <c r="P57" t="s">
        <v>334</v>
      </c>
      <c r="Q57">
        <v>1</v>
      </c>
      <c r="W57">
        <v>0</v>
      </c>
      <c r="X57">
        <v>476480486</v>
      </c>
      <c r="Y57">
        <f t="shared" si="7"/>
        <v>2.2400000000000002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2.2400000000000002</v>
      </c>
      <c r="AU57" t="s">
        <v>3</v>
      </c>
      <c r="AV57">
        <v>1</v>
      </c>
      <c r="AW57">
        <v>2</v>
      </c>
      <c r="AX57">
        <v>75702348</v>
      </c>
      <c r="AY57">
        <v>1</v>
      </c>
      <c r="AZ57">
        <v>0</v>
      </c>
      <c r="BA57">
        <v>54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ROUND(AT57*Source!I121*AH57*AL57,2)</f>
        <v>0</v>
      </c>
      <c r="CV57">
        <f>ROUND(Y57*Source!I121,9)</f>
        <v>2.2400000000000002</v>
      </c>
      <c r="CW57">
        <v>0</v>
      </c>
      <c r="CX57">
        <f>ROUND(Y57*Source!I121,9)</f>
        <v>2.2400000000000002</v>
      </c>
      <c r="CY57">
        <f>AD57</f>
        <v>0</v>
      </c>
      <c r="CZ57">
        <f>AH57</f>
        <v>0</v>
      </c>
      <c r="DA57">
        <f>AL57</f>
        <v>1</v>
      </c>
      <c r="DB57">
        <f t="shared" si="8"/>
        <v>0</v>
      </c>
      <c r="DC57">
        <f t="shared" si="9"/>
        <v>0</v>
      </c>
      <c r="DD57" t="s">
        <v>3</v>
      </c>
      <c r="DE57" t="s">
        <v>3</v>
      </c>
      <c r="DF57">
        <f t="shared" si="3"/>
        <v>0</v>
      </c>
      <c r="DG57">
        <f t="shared" si="4"/>
        <v>0</v>
      </c>
      <c r="DH57">
        <f t="shared" si="5"/>
        <v>0</v>
      </c>
      <c r="DI57">
        <f t="shared" si="6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ROW(Source!A121)</f>
        <v>121</v>
      </c>
      <c r="B58">
        <v>75700856</v>
      </c>
      <c r="C58">
        <v>75701265</v>
      </c>
      <c r="D58">
        <v>75388585</v>
      </c>
      <c r="E58">
        <v>1</v>
      </c>
      <c r="F58">
        <v>1</v>
      </c>
      <c r="G58">
        <v>39</v>
      </c>
      <c r="H58">
        <v>2</v>
      </c>
      <c r="I58" t="s">
        <v>384</v>
      </c>
      <c r="J58" t="s">
        <v>385</v>
      </c>
      <c r="K58" t="s">
        <v>386</v>
      </c>
      <c r="L58">
        <v>1368</v>
      </c>
      <c r="N58">
        <v>1011</v>
      </c>
      <c r="O58" t="s">
        <v>338</v>
      </c>
      <c r="P58" t="s">
        <v>338</v>
      </c>
      <c r="Q58">
        <v>1</v>
      </c>
      <c r="W58">
        <v>0</v>
      </c>
      <c r="X58">
        <v>1989376342</v>
      </c>
      <c r="Y58">
        <f t="shared" si="7"/>
        <v>0.02</v>
      </c>
      <c r="AA58">
        <v>0</v>
      </c>
      <c r="AB58">
        <v>6.13</v>
      </c>
      <c r="AC58">
        <v>1.91</v>
      </c>
      <c r="AD58">
        <v>0</v>
      </c>
      <c r="AE58">
        <v>0</v>
      </c>
      <c r="AF58">
        <v>6.13</v>
      </c>
      <c r="AG58">
        <v>1.91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0.02</v>
      </c>
      <c r="AU58" t="s">
        <v>3</v>
      </c>
      <c r="AV58">
        <v>0</v>
      </c>
      <c r="AW58">
        <v>2</v>
      </c>
      <c r="AX58">
        <v>75702349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ROUND(Y58*Source!I121*DO58,9)</f>
        <v>0</v>
      </c>
      <c r="CX58">
        <f>ROUND(Y58*Source!I121,9)</f>
        <v>0.02</v>
      </c>
      <c r="CY58">
        <f>AB58</f>
        <v>6.13</v>
      </c>
      <c r="CZ58">
        <f>AF58</f>
        <v>6.13</v>
      </c>
      <c r="DA58">
        <f>AJ58</f>
        <v>1</v>
      </c>
      <c r="DB58">
        <f t="shared" si="8"/>
        <v>0.12</v>
      </c>
      <c r="DC58">
        <f t="shared" si="9"/>
        <v>0.04</v>
      </c>
      <c r="DD58" t="s">
        <v>3</v>
      </c>
      <c r="DE58" t="s">
        <v>3</v>
      </c>
      <c r="DF58">
        <f t="shared" si="3"/>
        <v>0</v>
      </c>
      <c r="DG58">
        <f t="shared" si="4"/>
        <v>0.12</v>
      </c>
      <c r="DH58">
        <f t="shared" si="5"/>
        <v>0.04</v>
      </c>
      <c r="DI58">
        <f t="shared" si="6"/>
        <v>0</v>
      </c>
      <c r="DJ58">
        <f>DG58</f>
        <v>0.12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ROW(Source!A121)</f>
        <v>121</v>
      </c>
      <c r="B59">
        <v>75700856</v>
      </c>
      <c r="C59">
        <v>75701265</v>
      </c>
      <c r="D59">
        <v>75389751</v>
      </c>
      <c r="E59">
        <v>1</v>
      </c>
      <c r="F59">
        <v>1</v>
      </c>
      <c r="G59">
        <v>39</v>
      </c>
      <c r="H59">
        <v>3</v>
      </c>
      <c r="I59" t="s">
        <v>424</v>
      </c>
      <c r="J59" t="s">
        <v>425</v>
      </c>
      <c r="K59" t="s">
        <v>426</v>
      </c>
      <c r="L59">
        <v>1348</v>
      </c>
      <c r="N59">
        <v>1009</v>
      </c>
      <c r="O59" t="s">
        <v>68</v>
      </c>
      <c r="P59" t="s">
        <v>68</v>
      </c>
      <c r="Q59">
        <v>1000</v>
      </c>
      <c r="W59">
        <v>0</v>
      </c>
      <c r="X59">
        <v>-1788654527</v>
      </c>
      <c r="Y59">
        <f t="shared" si="7"/>
        <v>6.9999999999999994E-5</v>
      </c>
      <c r="AA59">
        <v>239140.75</v>
      </c>
      <c r="AB59">
        <v>0</v>
      </c>
      <c r="AC59">
        <v>0</v>
      </c>
      <c r="AD59">
        <v>0</v>
      </c>
      <c r="AE59">
        <v>239140.75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6.9999999999999994E-5</v>
      </c>
      <c r="AU59" t="s">
        <v>3</v>
      </c>
      <c r="AV59">
        <v>0</v>
      </c>
      <c r="AW59">
        <v>2</v>
      </c>
      <c r="AX59">
        <v>75702350</v>
      </c>
      <c r="AY59">
        <v>1</v>
      </c>
      <c r="AZ59">
        <v>0</v>
      </c>
      <c r="BA59">
        <v>56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ROUND(Y59*Source!I121,9)</f>
        <v>6.9999999999999994E-5</v>
      </c>
      <c r="CY59">
        <f t="shared" ref="CY59:CY71" si="14">AA59</f>
        <v>239140.75</v>
      </c>
      <c r="CZ59">
        <f t="shared" ref="CZ59:CZ71" si="15">AE59</f>
        <v>239140.75</v>
      </c>
      <c r="DA59">
        <f t="shared" ref="DA59:DA71" si="16">AI59</f>
        <v>1</v>
      </c>
      <c r="DB59">
        <f t="shared" si="8"/>
        <v>16.739999999999998</v>
      </c>
      <c r="DC59">
        <f t="shared" si="9"/>
        <v>0</v>
      </c>
      <c r="DD59" t="s">
        <v>3</v>
      </c>
      <c r="DE59" t="s">
        <v>3</v>
      </c>
      <c r="DF59">
        <f t="shared" si="3"/>
        <v>16.739999999999998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ref="DJ59:DJ71" si="17">DF59</f>
        <v>16.739999999999998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ROW(Source!A121)</f>
        <v>121</v>
      </c>
      <c r="B60">
        <v>75700856</v>
      </c>
      <c r="C60">
        <v>75701265</v>
      </c>
      <c r="D60">
        <v>75389824</v>
      </c>
      <c r="E60">
        <v>1</v>
      </c>
      <c r="F60">
        <v>1</v>
      </c>
      <c r="G60">
        <v>39</v>
      </c>
      <c r="H60">
        <v>3</v>
      </c>
      <c r="I60" t="s">
        <v>427</v>
      </c>
      <c r="J60" t="s">
        <v>428</v>
      </c>
      <c r="K60" t="s">
        <v>429</v>
      </c>
      <c r="L60">
        <v>1354</v>
      </c>
      <c r="N60">
        <v>1010</v>
      </c>
      <c r="O60" t="s">
        <v>171</v>
      </c>
      <c r="P60" t="s">
        <v>171</v>
      </c>
      <c r="Q60">
        <v>1</v>
      </c>
      <c r="W60">
        <v>0</v>
      </c>
      <c r="X60">
        <v>1799219779</v>
      </c>
      <c r="Y60">
        <f t="shared" si="7"/>
        <v>0.04</v>
      </c>
      <c r="AA60">
        <v>2.31</v>
      </c>
      <c r="AB60">
        <v>0</v>
      </c>
      <c r="AC60">
        <v>0</v>
      </c>
      <c r="AD60">
        <v>0</v>
      </c>
      <c r="AE60">
        <v>2.31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0.04</v>
      </c>
      <c r="AU60" t="s">
        <v>3</v>
      </c>
      <c r="AV60">
        <v>0</v>
      </c>
      <c r="AW60">
        <v>2</v>
      </c>
      <c r="AX60">
        <v>75702351</v>
      </c>
      <c r="AY60">
        <v>1</v>
      </c>
      <c r="AZ60">
        <v>0</v>
      </c>
      <c r="BA60">
        <v>57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ROUND(Y60*Source!I121,9)</f>
        <v>0.04</v>
      </c>
      <c r="CY60">
        <f t="shared" si="14"/>
        <v>2.31</v>
      </c>
      <c r="CZ60">
        <f t="shared" si="15"/>
        <v>2.31</v>
      </c>
      <c r="DA60">
        <f t="shared" si="16"/>
        <v>1</v>
      </c>
      <c r="DB60">
        <f t="shared" si="8"/>
        <v>0.09</v>
      </c>
      <c r="DC60">
        <f t="shared" si="9"/>
        <v>0</v>
      </c>
      <c r="DD60" t="s">
        <v>3</v>
      </c>
      <c r="DE60" t="s">
        <v>3</v>
      </c>
      <c r="DF60">
        <f t="shared" si="3"/>
        <v>0.09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17"/>
        <v>0.09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ROW(Source!A121)</f>
        <v>121</v>
      </c>
      <c r="B61">
        <v>75700856</v>
      </c>
      <c r="C61">
        <v>75701265</v>
      </c>
      <c r="D61">
        <v>75389710</v>
      </c>
      <c r="E61">
        <v>1</v>
      </c>
      <c r="F61">
        <v>1</v>
      </c>
      <c r="G61">
        <v>39</v>
      </c>
      <c r="H61">
        <v>3</v>
      </c>
      <c r="I61" t="s">
        <v>418</v>
      </c>
      <c r="J61" t="s">
        <v>419</v>
      </c>
      <c r="K61" t="s">
        <v>420</v>
      </c>
      <c r="L61">
        <v>1348</v>
      </c>
      <c r="N61">
        <v>1009</v>
      </c>
      <c r="O61" t="s">
        <v>68</v>
      </c>
      <c r="P61" t="s">
        <v>68</v>
      </c>
      <c r="Q61">
        <v>1000</v>
      </c>
      <c r="W61">
        <v>0</v>
      </c>
      <c r="X61">
        <v>-1980536396</v>
      </c>
      <c r="Y61">
        <f t="shared" si="7"/>
        <v>3.6000000000000002E-4</v>
      </c>
      <c r="AA61">
        <v>87313.75</v>
      </c>
      <c r="AB61">
        <v>0</v>
      </c>
      <c r="AC61">
        <v>0</v>
      </c>
      <c r="AD61">
        <v>0</v>
      </c>
      <c r="AE61">
        <v>87313.75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3.6000000000000002E-4</v>
      </c>
      <c r="AU61" t="s">
        <v>3</v>
      </c>
      <c r="AV61">
        <v>0</v>
      </c>
      <c r="AW61">
        <v>2</v>
      </c>
      <c r="AX61">
        <v>75702352</v>
      </c>
      <c r="AY61">
        <v>1</v>
      </c>
      <c r="AZ61">
        <v>0</v>
      </c>
      <c r="BA61">
        <v>58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ROUND(Y61*Source!I121,9)</f>
        <v>3.6000000000000002E-4</v>
      </c>
      <c r="CY61">
        <f t="shared" si="14"/>
        <v>87313.75</v>
      </c>
      <c r="CZ61">
        <f t="shared" si="15"/>
        <v>87313.75</v>
      </c>
      <c r="DA61">
        <f t="shared" si="16"/>
        <v>1</v>
      </c>
      <c r="DB61">
        <f t="shared" si="8"/>
        <v>31.43</v>
      </c>
      <c r="DC61">
        <f t="shared" si="9"/>
        <v>0</v>
      </c>
      <c r="DD61" t="s">
        <v>3</v>
      </c>
      <c r="DE61" t="s">
        <v>3</v>
      </c>
      <c r="DF61">
        <f t="shared" si="3"/>
        <v>31.43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17"/>
        <v>31.43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ROW(Source!A121)</f>
        <v>121</v>
      </c>
      <c r="B62">
        <v>75700856</v>
      </c>
      <c r="C62">
        <v>75701265</v>
      </c>
      <c r="D62">
        <v>75390591</v>
      </c>
      <c r="E62">
        <v>1</v>
      </c>
      <c r="F62">
        <v>1</v>
      </c>
      <c r="G62">
        <v>39</v>
      </c>
      <c r="H62">
        <v>3</v>
      </c>
      <c r="I62" t="s">
        <v>430</v>
      </c>
      <c r="J62" t="s">
        <v>431</v>
      </c>
      <c r="K62" t="s">
        <v>432</v>
      </c>
      <c r="L62">
        <v>1346</v>
      </c>
      <c r="N62">
        <v>1009</v>
      </c>
      <c r="O62" t="s">
        <v>63</v>
      </c>
      <c r="P62" t="s">
        <v>63</v>
      </c>
      <c r="Q62">
        <v>1</v>
      </c>
      <c r="W62">
        <v>0</v>
      </c>
      <c r="X62">
        <v>-901272518</v>
      </c>
      <c r="Y62">
        <f t="shared" si="7"/>
        <v>0.03</v>
      </c>
      <c r="AA62">
        <v>656.56</v>
      </c>
      <c r="AB62">
        <v>0</v>
      </c>
      <c r="AC62">
        <v>0</v>
      </c>
      <c r="AD62">
        <v>0</v>
      </c>
      <c r="AE62">
        <v>656.56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0.03</v>
      </c>
      <c r="AU62" t="s">
        <v>3</v>
      </c>
      <c r="AV62">
        <v>0</v>
      </c>
      <c r="AW62">
        <v>2</v>
      </c>
      <c r="AX62">
        <v>75702353</v>
      </c>
      <c r="AY62">
        <v>1</v>
      </c>
      <c r="AZ62">
        <v>0</v>
      </c>
      <c r="BA62">
        <v>59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ROUND(Y62*Source!I121,9)</f>
        <v>0.03</v>
      </c>
      <c r="CY62">
        <f t="shared" si="14"/>
        <v>656.56</v>
      </c>
      <c r="CZ62">
        <f t="shared" si="15"/>
        <v>656.56</v>
      </c>
      <c r="DA62">
        <f t="shared" si="16"/>
        <v>1</v>
      </c>
      <c r="DB62">
        <f t="shared" si="8"/>
        <v>19.7</v>
      </c>
      <c r="DC62">
        <f t="shared" si="9"/>
        <v>0</v>
      </c>
      <c r="DD62" t="s">
        <v>3</v>
      </c>
      <c r="DE62" t="s">
        <v>3</v>
      </c>
      <c r="DF62">
        <f t="shared" si="3"/>
        <v>19.7</v>
      </c>
      <c r="DG62">
        <f t="shared" si="4"/>
        <v>0</v>
      </c>
      <c r="DH62">
        <f t="shared" si="5"/>
        <v>0</v>
      </c>
      <c r="DI62">
        <f t="shared" si="6"/>
        <v>0</v>
      </c>
      <c r="DJ62">
        <f t="shared" si="17"/>
        <v>19.7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ROW(Source!A121)</f>
        <v>121</v>
      </c>
      <c r="B63">
        <v>75700856</v>
      </c>
      <c r="C63">
        <v>75701265</v>
      </c>
      <c r="D63">
        <v>75390621</v>
      </c>
      <c r="E63">
        <v>1</v>
      </c>
      <c r="F63">
        <v>1</v>
      </c>
      <c r="G63">
        <v>39</v>
      </c>
      <c r="H63">
        <v>3</v>
      </c>
      <c r="I63" t="s">
        <v>433</v>
      </c>
      <c r="J63" t="s">
        <v>434</v>
      </c>
      <c r="K63" t="s">
        <v>435</v>
      </c>
      <c r="L63">
        <v>1348</v>
      </c>
      <c r="N63">
        <v>1009</v>
      </c>
      <c r="O63" t="s">
        <v>68</v>
      </c>
      <c r="P63" t="s">
        <v>68</v>
      </c>
      <c r="Q63">
        <v>1000</v>
      </c>
      <c r="W63">
        <v>0</v>
      </c>
      <c r="X63">
        <v>-1019129760</v>
      </c>
      <c r="Y63">
        <f t="shared" si="7"/>
        <v>2.0000000000000001E-4</v>
      </c>
      <c r="AA63">
        <v>58866.75</v>
      </c>
      <c r="AB63">
        <v>0</v>
      </c>
      <c r="AC63">
        <v>0</v>
      </c>
      <c r="AD63">
        <v>0</v>
      </c>
      <c r="AE63">
        <v>58866.75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2.0000000000000001E-4</v>
      </c>
      <c r="AU63" t="s">
        <v>3</v>
      </c>
      <c r="AV63">
        <v>0</v>
      </c>
      <c r="AW63">
        <v>2</v>
      </c>
      <c r="AX63">
        <v>75702354</v>
      </c>
      <c r="AY63">
        <v>1</v>
      </c>
      <c r="AZ63">
        <v>0</v>
      </c>
      <c r="BA63">
        <v>60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ROUND(Y63*Source!I121,9)</f>
        <v>2.0000000000000001E-4</v>
      </c>
      <c r="CY63">
        <f t="shared" si="14"/>
        <v>58866.75</v>
      </c>
      <c r="CZ63">
        <f t="shared" si="15"/>
        <v>58866.75</v>
      </c>
      <c r="DA63">
        <f t="shared" si="16"/>
        <v>1</v>
      </c>
      <c r="DB63">
        <f t="shared" si="8"/>
        <v>11.77</v>
      </c>
      <c r="DC63">
        <f t="shared" si="9"/>
        <v>0</v>
      </c>
      <c r="DD63" t="s">
        <v>3</v>
      </c>
      <c r="DE63" t="s">
        <v>3</v>
      </c>
      <c r="DF63">
        <f t="shared" si="3"/>
        <v>11.77</v>
      </c>
      <c r="DG63">
        <f t="shared" si="4"/>
        <v>0</v>
      </c>
      <c r="DH63">
        <f t="shared" si="5"/>
        <v>0</v>
      </c>
      <c r="DI63">
        <f t="shared" si="6"/>
        <v>0</v>
      </c>
      <c r="DJ63">
        <f t="shared" si="17"/>
        <v>11.77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ROW(Source!A121)</f>
        <v>121</v>
      </c>
      <c r="B64">
        <v>75700856</v>
      </c>
      <c r="C64">
        <v>75701265</v>
      </c>
      <c r="D64">
        <v>75389029</v>
      </c>
      <c r="E64">
        <v>1</v>
      </c>
      <c r="F64">
        <v>1</v>
      </c>
      <c r="G64">
        <v>39</v>
      </c>
      <c r="H64">
        <v>3</v>
      </c>
      <c r="I64" t="s">
        <v>436</v>
      </c>
      <c r="J64" t="s">
        <v>437</v>
      </c>
      <c r="K64" t="s">
        <v>438</v>
      </c>
      <c r="L64">
        <v>1348</v>
      </c>
      <c r="N64">
        <v>1009</v>
      </c>
      <c r="O64" t="s">
        <v>68</v>
      </c>
      <c r="P64" t="s">
        <v>68</v>
      </c>
      <c r="Q64">
        <v>1000</v>
      </c>
      <c r="W64">
        <v>0</v>
      </c>
      <c r="X64">
        <v>169962723</v>
      </c>
      <c r="Y64">
        <f t="shared" si="7"/>
        <v>3.8000000000000002E-4</v>
      </c>
      <c r="AA64">
        <v>91558.65</v>
      </c>
      <c r="AB64">
        <v>0</v>
      </c>
      <c r="AC64">
        <v>0</v>
      </c>
      <c r="AD64">
        <v>0</v>
      </c>
      <c r="AE64">
        <v>91558.65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3.8000000000000002E-4</v>
      </c>
      <c r="AU64" t="s">
        <v>3</v>
      </c>
      <c r="AV64">
        <v>0</v>
      </c>
      <c r="AW64">
        <v>2</v>
      </c>
      <c r="AX64">
        <v>75702355</v>
      </c>
      <c r="AY64">
        <v>1</v>
      </c>
      <c r="AZ64">
        <v>0</v>
      </c>
      <c r="BA64">
        <v>61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ROUND(Y64*Source!I121,9)</f>
        <v>3.8000000000000002E-4</v>
      </c>
      <c r="CY64">
        <f t="shared" si="14"/>
        <v>91558.65</v>
      </c>
      <c r="CZ64">
        <f t="shared" si="15"/>
        <v>91558.65</v>
      </c>
      <c r="DA64">
        <f t="shared" si="16"/>
        <v>1</v>
      </c>
      <c r="DB64">
        <f t="shared" si="8"/>
        <v>34.79</v>
      </c>
      <c r="DC64">
        <f t="shared" si="9"/>
        <v>0</v>
      </c>
      <c r="DD64" t="s">
        <v>3</v>
      </c>
      <c r="DE64" t="s">
        <v>3</v>
      </c>
      <c r="DF64">
        <f t="shared" si="3"/>
        <v>34.79</v>
      </c>
      <c r="DG64">
        <f t="shared" si="4"/>
        <v>0</v>
      </c>
      <c r="DH64">
        <f t="shared" si="5"/>
        <v>0</v>
      </c>
      <c r="DI64">
        <f t="shared" si="6"/>
        <v>0</v>
      </c>
      <c r="DJ64">
        <f t="shared" si="17"/>
        <v>34.79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ROW(Source!A121)</f>
        <v>121</v>
      </c>
      <c r="B65">
        <v>75700856</v>
      </c>
      <c r="C65">
        <v>75701265</v>
      </c>
      <c r="D65">
        <v>75389070</v>
      </c>
      <c r="E65">
        <v>1</v>
      </c>
      <c r="F65">
        <v>1</v>
      </c>
      <c r="G65">
        <v>39</v>
      </c>
      <c r="H65">
        <v>3</v>
      </c>
      <c r="I65" t="s">
        <v>439</v>
      </c>
      <c r="J65" t="s">
        <v>440</v>
      </c>
      <c r="K65" t="s">
        <v>441</v>
      </c>
      <c r="L65">
        <v>1346</v>
      </c>
      <c r="N65">
        <v>1009</v>
      </c>
      <c r="O65" t="s">
        <v>63</v>
      </c>
      <c r="P65" t="s">
        <v>63</v>
      </c>
      <c r="Q65">
        <v>1</v>
      </c>
      <c r="W65">
        <v>0</v>
      </c>
      <c r="X65">
        <v>720467407</v>
      </c>
      <c r="Y65">
        <f t="shared" ref="Y65:Y96" si="18">AT65</f>
        <v>0.04</v>
      </c>
      <c r="AA65">
        <v>99.65</v>
      </c>
      <c r="AB65">
        <v>0</v>
      </c>
      <c r="AC65">
        <v>0</v>
      </c>
      <c r="AD65">
        <v>0</v>
      </c>
      <c r="AE65">
        <v>99.65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0.04</v>
      </c>
      <c r="AU65" t="s">
        <v>3</v>
      </c>
      <c r="AV65">
        <v>0</v>
      </c>
      <c r="AW65">
        <v>2</v>
      </c>
      <c r="AX65">
        <v>75702356</v>
      </c>
      <c r="AY65">
        <v>1</v>
      </c>
      <c r="AZ65">
        <v>0</v>
      </c>
      <c r="BA65">
        <v>62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ROUND(Y65*Source!I121,9)</f>
        <v>0.04</v>
      </c>
      <c r="CY65">
        <f t="shared" si="14"/>
        <v>99.65</v>
      </c>
      <c r="CZ65">
        <f t="shared" si="15"/>
        <v>99.65</v>
      </c>
      <c r="DA65">
        <f t="shared" si="16"/>
        <v>1</v>
      </c>
      <c r="DB65">
        <f t="shared" ref="DB65:DB96" si="19">ROUND(ROUND(AT65*CZ65,2),6)</f>
        <v>3.99</v>
      </c>
      <c r="DC65">
        <f t="shared" ref="DC65:DC96" si="20">ROUND(ROUND(AT65*AG65,2),6)</f>
        <v>0</v>
      </c>
      <c r="DD65" t="s">
        <v>3</v>
      </c>
      <c r="DE65" t="s">
        <v>3</v>
      </c>
      <c r="DF65">
        <f t="shared" ref="DF65:DF128" si="21">ROUND(ROUND(AE65,2)*CX65,2)</f>
        <v>3.99</v>
      </c>
      <c r="DG65">
        <f t="shared" ref="DG65:DG128" si="22">ROUND(ROUND(AF65,2)*CX65,2)</f>
        <v>0</v>
      </c>
      <c r="DH65">
        <f t="shared" ref="DH65:DH128" si="23">ROUND(ROUND(AG65,2)*CX65,2)</f>
        <v>0</v>
      </c>
      <c r="DI65">
        <f t="shared" ref="DI65:DI128" si="24">ROUND(ROUND(AH65,2)*CX65,2)</f>
        <v>0</v>
      </c>
      <c r="DJ65">
        <f t="shared" si="17"/>
        <v>3.99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ROW(Source!A121)</f>
        <v>121</v>
      </c>
      <c r="B66">
        <v>75700856</v>
      </c>
      <c r="C66">
        <v>75701265</v>
      </c>
      <c r="D66">
        <v>75396250</v>
      </c>
      <c r="E66">
        <v>1</v>
      </c>
      <c r="F66">
        <v>1</v>
      </c>
      <c r="G66">
        <v>39</v>
      </c>
      <c r="H66">
        <v>3</v>
      </c>
      <c r="I66" t="s">
        <v>179</v>
      </c>
      <c r="J66" t="s">
        <v>181</v>
      </c>
      <c r="K66" t="s">
        <v>180</v>
      </c>
      <c r="L66">
        <v>1354</v>
      </c>
      <c r="N66">
        <v>1010</v>
      </c>
      <c r="O66" t="s">
        <v>171</v>
      </c>
      <c r="P66" t="s">
        <v>171</v>
      </c>
      <c r="Q66">
        <v>1</v>
      </c>
      <c r="W66">
        <v>1</v>
      </c>
      <c r="X66">
        <v>-2016625611</v>
      </c>
      <c r="Y66">
        <f t="shared" si="18"/>
        <v>-1</v>
      </c>
      <c r="AA66">
        <v>1624.55</v>
      </c>
      <c r="AB66">
        <v>0</v>
      </c>
      <c r="AC66">
        <v>0</v>
      </c>
      <c r="AD66">
        <v>0</v>
      </c>
      <c r="AE66">
        <v>1624.55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0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-1</v>
      </c>
      <c r="AU66" t="s">
        <v>3</v>
      </c>
      <c r="AV66">
        <v>0</v>
      </c>
      <c r="AW66">
        <v>2</v>
      </c>
      <c r="AX66">
        <v>75702357</v>
      </c>
      <c r="AY66">
        <v>1</v>
      </c>
      <c r="AZ66">
        <v>6144</v>
      </c>
      <c r="BA66">
        <v>63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ROUND(Y66*Source!I121,9)</f>
        <v>-1</v>
      </c>
      <c r="CY66">
        <f t="shared" si="14"/>
        <v>1624.55</v>
      </c>
      <c r="CZ66">
        <f t="shared" si="15"/>
        <v>1624.55</v>
      </c>
      <c r="DA66">
        <f t="shared" si="16"/>
        <v>1</v>
      </c>
      <c r="DB66">
        <f t="shared" si="19"/>
        <v>-1624.55</v>
      </c>
      <c r="DC66">
        <f t="shared" si="20"/>
        <v>0</v>
      </c>
      <c r="DD66" t="s">
        <v>3</v>
      </c>
      <c r="DE66" t="s">
        <v>3</v>
      </c>
      <c r="DF66">
        <f t="shared" si="21"/>
        <v>-1624.55</v>
      </c>
      <c r="DG66">
        <f t="shared" si="22"/>
        <v>0</v>
      </c>
      <c r="DH66">
        <f t="shared" si="23"/>
        <v>0</v>
      </c>
      <c r="DI66">
        <f t="shared" si="24"/>
        <v>0</v>
      </c>
      <c r="DJ66">
        <f t="shared" si="17"/>
        <v>-1624.55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ROW(Source!A121)</f>
        <v>121</v>
      </c>
      <c r="B67">
        <v>75700856</v>
      </c>
      <c r="C67">
        <v>75701265</v>
      </c>
      <c r="D67">
        <v>75396306</v>
      </c>
      <c r="E67">
        <v>1</v>
      </c>
      <c r="F67">
        <v>1</v>
      </c>
      <c r="G67">
        <v>39</v>
      </c>
      <c r="H67">
        <v>3</v>
      </c>
      <c r="I67" t="s">
        <v>442</v>
      </c>
      <c r="J67" t="s">
        <v>443</v>
      </c>
      <c r="K67" t="s">
        <v>444</v>
      </c>
      <c r="L67">
        <v>1354</v>
      </c>
      <c r="N67">
        <v>1010</v>
      </c>
      <c r="O67" t="s">
        <v>171</v>
      </c>
      <c r="P67" t="s">
        <v>171</v>
      </c>
      <c r="Q67">
        <v>1</v>
      </c>
      <c r="W67">
        <v>0</v>
      </c>
      <c r="X67">
        <v>911396742</v>
      </c>
      <c r="Y67">
        <f t="shared" si="18"/>
        <v>2</v>
      </c>
      <c r="AA67">
        <v>271.39999999999998</v>
      </c>
      <c r="AB67">
        <v>0</v>
      </c>
      <c r="AC67">
        <v>0</v>
      </c>
      <c r="AD67">
        <v>0</v>
      </c>
      <c r="AE67">
        <v>271.39999999999998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2</v>
      </c>
      <c r="AU67" t="s">
        <v>3</v>
      </c>
      <c r="AV67">
        <v>0</v>
      </c>
      <c r="AW67">
        <v>2</v>
      </c>
      <c r="AX67">
        <v>75702358</v>
      </c>
      <c r="AY67">
        <v>1</v>
      </c>
      <c r="AZ67">
        <v>0</v>
      </c>
      <c r="BA67">
        <v>64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ROUND(Y67*Source!I121,9)</f>
        <v>2</v>
      </c>
      <c r="CY67">
        <f t="shared" si="14"/>
        <v>271.39999999999998</v>
      </c>
      <c r="CZ67">
        <f t="shared" si="15"/>
        <v>271.39999999999998</v>
      </c>
      <c r="DA67">
        <f t="shared" si="16"/>
        <v>1</v>
      </c>
      <c r="DB67">
        <f t="shared" si="19"/>
        <v>542.79999999999995</v>
      </c>
      <c r="DC67">
        <f t="shared" si="20"/>
        <v>0</v>
      </c>
      <c r="DD67" t="s">
        <v>3</v>
      </c>
      <c r="DE67" t="s">
        <v>3</v>
      </c>
      <c r="DF67">
        <f t="shared" si="21"/>
        <v>542.79999999999995</v>
      </c>
      <c r="DG67">
        <f t="shared" si="22"/>
        <v>0</v>
      </c>
      <c r="DH67">
        <f t="shared" si="23"/>
        <v>0</v>
      </c>
      <c r="DI67">
        <f t="shared" si="24"/>
        <v>0</v>
      </c>
      <c r="DJ67">
        <f t="shared" si="17"/>
        <v>542.79999999999995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ROW(Source!A121)</f>
        <v>121</v>
      </c>
      <c r="B68">
        <v>75700856</v>
      </c>
      <c r="C68">
        <v>75701265</v>
      </c>
      <c r="D68">
        <v>75396309</v>
      </c>
      <c r="E68">
        <v>1</v>
      </c>
      <c r="F68">
        <v>1</v>
      </c>
      <c r="G68">
        <v>39</v>
      </c>
      <c r="H68">
        <v>3</v>
      </c>
      <c r="I68" t="s">
        <v>445</v>
      </c>
      <c r="J68" t="s">
        <v>446</v>
      </c>
      <c r="K68" t="s">
        <v>447</v>
      </c>
      <c r="L68">
        <v>1354</v>
      </c>
      <c r="N68">
        <v>1010</v>
      </c>
      <c r="O68" t="s">
        <v>171</v>
      </c>
      <c r="P68" t="s">
        <v>171</v>
      </c>
      <c r="Q68">
        <v>1</v>
      </c>
      <c r="W68">
        <v>0</v>
      </c>
      <c r="X68">
        <v>530957503</v>
      </c>
      <c r="Y68">
        <f t="shared" si="18"/>
        <v>1</v>
      </c>
      <c r="AA68">
        <v>603.87</v>
      </c>
      <c r="AB68">
        <v>0</v>
      </c>
      <c r="AC68">
        <v>0</v>
      </c>
      <c r="AD68">
        <v>0</v>
      </c>
      <c r="AE68">
        <v>603.87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</v>
      </c>
      <c r="AU68" t="s">
        <v>3</v>
      </c>
      <c r="AV68">
        <v>0</v>
      </c>
      <c r="AW68">
        <v>2</v>
      </c>
      <c r="AX68">
        <v>75702359</v>
      </c>
      <c r="AY68">
        <v>1</v>
      </c>
      <c r="AZ68">
        <v>0</v>
      </c>
      <c r="BA68">
        <v>65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ROUND(Y68*Source!I121,9)</f>
        <v>1</v>
      </c>
      <c r="CY68">
        <f t="shared" si="14"/>
        <v>603.87</v>
      </c>
      <c r="CZ68">
        <f t="shared" si="15"/>
        <v>603.87</v>
      </c>
      <c r="DA68">
        <f t="shared" si="16"/>
        <v>1</v>
      </c>
      <c r="DB68">
        <f t="shared" si="19"/>
        <v>603.87</v>
      </c>
      <c r="DC68">
        <f t="shared" si="20"/>
        <v>0</v>
      </c>
      <c r="DD68" t="s">
        <v>3</v>
      </c>
      <c r="DE68" t="s">
        <v>3</v>
      </c>
      <c r="DF68">
        <f t="shared" si="21"/>
        <v>603.87</v>
      </c>
      <c r="DG68">
        <f t="shared" si="22"/>
        <v>0</v>
      </c>
      <c r="DH68">
        <f t="shared" si="23"/>
        <v>0</v>
      </c>
      <c r="DI68">
        <f t="shared" si="24"/>
        <v>0</v>
      </c>
      <c r="DJ68">
        <f t="shared" si="17"/>
        <v>603.87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ROW(Source!A121)</f>
        <v>121</v>
      </c>
      <c r="B69">
        <v>75700856</v>
      </c>
      <c r="C69">
        <v>75701265</v>
      </c>
      <c r="D69">
        <v>75396313</v>
      </c>
      <c r="E69">
        <v>1</v>
      </c>
      <c r="F69">
        <v>1</v>
      </c>
      <c r="G69">
        <v>39</v>
      </c>
      <c r="H69">
        <v>3</v>
      </c>
      <c r="I69" t="s">
        <v>169</v>
      </c>
      <c r="J69" t="s">
        <v>172</v>
      </c>
      <c r="K69" t="s">
        <v>170</v>
      </c>
      <c r="L69">
        <v>1354</v>
      </c>
      <c r="N69">
        <v>1010</v>
      </c>
      <c r="O69" t="s">
        <v>171</v>
      </c>
      <c r="P69" t="s">
        <v>171</v>
      </c>
      <c r="Q69">
        <v>1</v>
      </c>
      <c r="W69">
        <v>0</v>
      </c>
      <c r="X69">
        <v>-125063506</v>
      </c>
      <c r="Y69">
        <f t="shared" si="18"/>
        <v>1</v>
      </c>
      <c r="AA69">
        <v>5025.26</v>
      </c>
      <c r="AB69">
        <v>0</v>
      </c>
      <c r="AC69">
        <v>0</v>
      </c>
      <c r="AD69">
        <v>0</v>
      </c>
      <c r="AE69">
        <v>5025.26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0</v>
      </c>
      <c r="AN69">
        <v>0</v>
      </c>
      <c r="AO69">
        <v>0</v>
      </c>
      <c r="AP69">
        <v>1</v>
      </c>
      <c r="AQ69">
        <v>0</v>
      </c>
      <c r="AR69">
        <v>0</v>
      </c>
      <c r="AS69" t="s">
        <v>3</v>
      </c>
      <c r="AT69">
        <v>1</v>
      </c>
      <c r="AU69" t="s">
        <v>3</v>
      </c>
      <c r="AV69">
        <v>0</v>
      </c>
      <c r="AW69">
        <v>2</v>
      </c>
      <c r="AX69">
        <v>75702360</v>
      </c>
      <c r="AY69">
        <v>1</v>
      </c>
      <c r="AZ69">
        <v>0</v>
      </c>
      <c r="BA69">
        <v>66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ROUND(Y69*Source!I121,9)</f>
        <v>1</v>
      </c>
      <c r="CY69">
        <f t="shared" si="14"/>
        <v>5025.26</v>
      </c>
      <c r="CZ69">
        <f t="shared" si="15"/>
        <v>5025.26</v>
      </c>
      <c r="DA69">
        <f t="shared" si="16"/>
        <v>1</v>
      </c>
      <c r="DB69">
        <f t="shared" si="19"/>
        <v>5025.26</v>
      </c>
      <c r="DC69">
        <f t="shared" si="20"/>
        <v>0</v>
      </c>
      <c r="DD69" t="s">
        <v>3</v>
      </c>
      <c r="DE69" t="s">
        <v>3</v>
      </c>
      <c r="DF69">
        <f t="shared" si="21"/>
        <v>5025.26</v>
      </c>
      <c r="DG69">
        <f t="shared" si="22"/>
        <v>0</v>
      </c>
      <c r="DH69">
        <f t="shared" si="23"/>
        <v>0</v>
      </c>
      <c r="DI69">
        <f t="shared" si="24"/>
        <v>0</v>
      </c>
      <c r="DJ69">
        <f t="shared" si="17"/>
        <v>5025.26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ROW(Source!A121)</f>
        <v>121</v>
      </c>
      <c r="B70">
        <v>75700856</v>
      </c>
      <c r="C70">
        <v>75701265</v>
      </c>
      <c r="D70">
        <v>75396313</v>
      </c>
      <c r="E70">
        <v>1</v>
      </c>
      <c r="F70">
        <v>1</v>
      </c>
      <c r="G70">
        <v>39</v>
      </c>
      <c r="H70">
        <v>3</v>
      </c>
      <c r="I70" t="s">
        <v>169</v>
      </c>
      <c r="J70" t="s">
        <v>172</v>
      </c>
      <c r="K70" t="s">
        <v>170</v>
      </c>
      <c r="L70">
        <v>1354</v>
      </c>
      <c r="N70">
        <v>1010</v>
      </c>
      <c r="O70" t="s">
        <v>171</v>
      </c>
      <c r="P70" t="s">
        <v>171</v>
      </c>
      <c r="Q70">
        <v>1</v>
      </c>
      <c r="W70">
        <v>1</v>
      </c>
      <c r="X70">
        <v>-125063506</v>
      </c>
      <c r="Y70">
        <f t="shared" si="18"/>
        <v>-1</v>
      </c>
      <c r="AA70">
        <v>5025.26</v>
      </c>
      <c r="AB70">
        <v>0</v>
      </c>
      <c r="AC70">
        <v>0</v>
      </c>
      <c r="AD70">
        <v>0</v>
      </c>
      <c r="AE70">
        <v>5025.26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0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-1</v>
      </c>
      <c r="AU70" t="s">
        <v>3</v>
      </c>
      <c r="AV70">
        <v>0</v>
      </c>
      <c r="AW70">
        <v>1</v>
      </c>
      <c r="AX70">
        <v>-1</v>
      </c>
      <c r="AY70">
        <v>0</v>
      </c>
      <c r="AZ70">
        <v>0</v>
      </c>
      <c r="BA70" t="s">
        <v>3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ROUND(Y70*Source!I121,9)</f>
        <v>-1</v>
      </c>
      <c r="CY70">
        <f t="shared" si="14"/>
        <v>5025.26</v>
      </c>
      <c r="CZ70">
        <f t="shared" si="15"/>
        <v>5025.26</v>
      </c>
      <c r="DA70">
        <f t="shared" si="16"/>
        <v>1</v>
      </c>
      <c r="DB70">
        <f t="shared" si="19"/>
        <v>-5025.26</v>
      </c>
      <c r="DC70">
        <f t="shared" si="20"/>
        <v>0</v>
      </c>
      <c r="DD70" t="s">
        <v>3</v>
      </c>
      <c r="DE70" t="s">
        <v>3</v>
      </c>
      <c r="DF70">
        <f t="shared" si="21"/>
        <v>-5025.26</v>
      </c>
      <c r="DG70">
        <f t="shared" si="22"/>
        <v>0</v>
      </c>
      <c r="DH70">
        <f t="shared" si="23"/>
        <v>0</v>
      </c>
      <c r="DI70">
        <f t="shared" si="24"/>
        <v>0</v>
      </c>
      <c r="DJ70">
        <f t="shared" si="17"/>
        <v>-5025.26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ROW(Source!A121)</f>
        <v>121</v>
      </c>
      <c r="B71">
        <v>75700856</v>
      </c>
      <c r="C71">
        <v>75701265</v>
      </c>
      <c r="D71">
        <v>0</v>
      </c>
      <c r="E71">
        <v>39</v>
      </c>
      <c r="F71">
        <v>1</v>
      </c>
      <c r="G71">
        <v>39</v>
      </c>
      <c r="H71">
        <v>3</v>
      </c>
      <c r="I71" t="s">
        <v>174</v>
      </c>
      <c r="J71" t="s">
        <v>3</v>
      </c>
      <c r="K71" t="s">
        <v>175</v>
      </c>
      <c r="L71">
        <v>1354</v>
      </c>
      <c r="N71">
        <v>1010</v>
      </c>
      <c r="O71" t="s">
        <v>171</v>
      </c>
      <c r="P71" t="s">
        <v>171</v>
      </c>
      <c r="Q71">
        <v>1</v>
      </c>
      <c r="W71">
        <v>0</v>
      </c>
      <c r="X71">
        <v>1407851726</v>
      </c>
      <c r="Y71">
        <f t="shared" si="18"/>
        <v>1</v>
      </c>
      <c r="AA71">
        <v>37.5</v>
      </c>
      <c r="AB71">
        <v>0</v>
      </c>
      <c r="AC71">
        <v>0</v>
      </c>
      <c r="AD71">
        <v>0</v>
      </c>
      <c r="AE71">
        <v>37.5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 t="s">
        <v>3</v>
      </c>
      <c r="AT71">
        <v>1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ROUND(Y71*Source!I121,9)</f>
        <v>1</v>
      </c>
      <c r="CY71">
        <f t="shared" si="14"/>
        <v>37.5</v>
      </c>
      <c r="CZ71">
        <f t="shared" si="15"/>
        <v>37.5</v>
      </c>
      <c r="DA71">
        <f t="shared" si="16"/>
        <v>1</v>
      </c>
      <c r="DB71">
        <f t="shared" si="19"/>
        <v>37.5</v>
      </c>
      <c r="DC71">
        <f t="shared" si="20"/>
        <v>0</v>
      </c>
      <c r="DD71" t="s">
        <v>3</v>
      </c>
      <c r="DE71" t="s">
        <v>3</v>
      </c>
      <c r="DF71">
        <f t="shared" si="21"/>
        <v>37.5</v>
      </c>
      <c r="DG71">
        <f t="shared" si="22"/>
        <v>0</v>
      </c>
      <c r="DH71">
        <f t="shared" si="23"/>
        <v>0</v>
      </c>
      <c r="DI71">
        <f t="shared" si="24"/>
        <v>0</v>
      </c>
      <c r="DJ71">
        <f t="shared" si="17"/>
        <v>37.5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ROW(Source!A126)</f>
        <v>126</v>
      </c>
      <c r="B72">
        <v>75700856</v>
      </c>
      <c r="C72">
        <v>75701298</v>
      </c>
      <c r="D72">
        <v>75386788</v>
      </c>
      <c r="E72">
        <v>39</v>
      </c>
      <c r="F72">
        <v>1</v>
      </c>
      <c r="G72">
        <v>39</v>
      </c>
      <c r="H72">
        <v>1</v>
      </c>
      <c r="I72" t="s">
        <v>332</v>
      </c>
      <c r="J72" t="s">
        <v>3</v>
      </c>
      <c r="K72" t="s">
        <v>333</v>
      </c>
      <c r="L72">
        <v>1191</v>
      </c>
      <c r="N72">
        <v>1013</v>
      </c>
      <c r="O72" t="s">
        <v>334</v>
      </c>
      <c r="P72" t="s">
        <v>334</v>
      </c>
      <c r="Q72">
        <v>1</v>
      </c>
      <c r="W72">
        <v>0</v>
      </c>
      <c r="X72">
        <v>476480486</v>
      </c>
      <c r="Y72">
        <f t="shared" si="18"/>
        <v>77.86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77.86</v>
      </c>
      <c r="AU72" t="s">
        <v>3</v>
      </c>
      <c r="AV72">
        <v>1</v>
      </c>
      <c r="AW72">
        <v>2</v>
      </c>
      <c r="AX72">
        <v>75702361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ROUND(AT72*Source!I126*AH72*AL72,2)</f>
        <v>0</v>
      </c>
      <c r="CV72">
        <f>ROUND(Y72*Source!I126,9)</f>
        <v>0.77859999999999996</v>
      </c>
      <c r="CW72">
        <v>0</v>
      </c>
      <c r="CX72">
        <f>ROUND(Y72*Source!I126,9)</f>
        <v>0.77859999999999996</v>
      </c>
      <c r="CY72">
        <f>AD72</f>
        <v>0</v>
      </c>
      <c r="CZ72">
        <f>AH72</f>
        <v>0</v>
      </c>
      <c r="DA72">
        <f>AL72</f>
        <v>1</v>
      </c>
      <c r="DB72">
        <f t="shared" si="19"/>
        <v>0</v>
      </c>
      <c r="DC72">
        <f t="shared" si="20"/>
        <v>0</v>
      </c>
      <c r="DD72" t="s">
        <v>3</v>
      </c>
      <c r="DE72" t="s">
        <v>3</v>
      </c>
      <c r="DF72">
        <f t="shared" si="21"/>
        <v>0</v>
      </c>
      <c r="DG72">
        <f t="shared" si="22"/>
        <v>0</v>
      </c>
      <c r="DH72">
        <f t="shared" si="23"/>
        <v>0</v>
      </c>
      <c r="DI72">
        <f t="shared" si="24"/>
        <v>0</v>
      </c>
      <c r="DJ72">
        <f>DI72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ROW(Source!A126)</f>
        <v>126</v>
      </c>
      <c r="B73">
        <v>75700856</v>
      </c>
      <c r="C73">
        <v>75701298</v>
      </c>
      <c r="D73">
        <v>75389672</v>
      </c>
      <c r="E73">
        <v>1</v>
      </c>
      <c r="F73">
        <v>1</v>
      </c>
      <c r="G73">
        <v>39</v>
      </c>
      <c r="H73">
        <v>3</v>
      </c>
      <c r="I73" t="s">
        <v>381</v>
      </c>
      <c r="J73" t="s">
        <v>382</v>
      </c>
      <c r="K73" t="s">
        <v>383</v>
      </c>
      <c r="L73">
        <v>1348</v>
      </c>
      <c r="N73">
        <v>1009</v>
      </c>
      <c r="O73" t="s">
        <v>68</v>
      </c>
      <c r="P73" t="s">
        <v>68</v>
      </c>
      <c r="Q73">
        <v>1000</v>
      </c>
      <c r="W73">
        <v>0</v>
      </c>
      <c r="X73">
        <v>-799169102</v>
      </c>
      <c r="Y73">
        <f t="shared" si="18"/>
        <v>1.2E-2</v>
      </c>
      <c r="AA73">
        <v>95976.83</v>
      </c>
      <c r="AB73">
        <v>0</v>
      </c>
      <c r="AC73">
        <v>0</v>
      </c>
      <c r="AD73">
        <v>0</v>
      </c>
      <c r="AE73">
        <v>95976.83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1.2E-2</v>
      </c>
      <c r="AU73" t="s">
        <v>3</v>
      </c>
      <c r="AV73">
        <v>0</v>
      </c>
      <c r="AW73">
        <v>2</v>
      </c>
      <c r="AX73">
        <v>75702362</v>
      </c>
      <c r="AY73">
        <v>1</v>
      </c>
      <c r="AZ73">
        <v>0</v>
      </c>
      <c r="BA73">
        <v>68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ROUND(Y73*Source!I126,9)</f>
        <v>1.2E-4</v>
      </c>
      <c r="CY73">
        <f>AA73</f>
        <v>95976.83</v>
      </c>
      <c r="CZ73">
        <f>AE73</f>
        <v>95976.83</v>
      </c>
      <c r="DA73">
        <f>AI73</f>
        <v>1</v>
      </c>
      <c r="DB73">
        <f t="shared" si="19"/>
        <v>1151.72</v>
      </c>
      <c r="DC73">
        <f t="shared" si="20"/>
        <v>0</v>
      </c>
      <c r="DD73" t="s">
        <v>3</v>
      </c>
      <c r="DE73" t="s">
        <v>3</v>
      </c>
      <c r="DF73">
        <f t="shared" si="21"/>
        <v>11.52</v>
      </c>
      <c r="DG73">
        <f t="shared" si="22"/>
        <v>0</v>
      </c>
      <c r="DH73">
        <f t="shared" si="23"/>
        <v>0</v>
      </c>
      <c r="DI73">
        <f t="shared" si="24"/>
        <v>0</v>
      </c>
      <c r="DJ73">
        <f>DF73</f>
        <v>11.52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ROW(Source!A126)</f>
        <v>126</v>
      </c>
      <c r="B74">
        <v>75700856</v>
      </c>
      <c r="C74">
        <v>75701298</v>
      </c>
      <c r="D74">
        <v>75389710</v>
      </c>
      <c r="E74">
        <v>1</v>
      </c>
      <c r="F74">
        <v>1</v>
      </c>
      <c r="G74">
        <v>39</v>
      </c>
      <c r="H74">
        <v>3</v>
      </c>
      <c r="I74" t="s">
        <v>418</v>
      </c>
      <c r="J74" t="s">
        <v>419</v>
      </c>
      <c r="K74" t="s">
        <v>420</v>
      </c>
      <c r="L74">
        <v>1348</v>
      </c>
      <c r="N74">
        <v>1009</v>
      </c>
      <c r="O74" t="s">
        <v>68</v>
      </c>
      <c r="P74" t="s">
        <v>68</v>
      </c>
      <c r="Q74">
        <v>1000</v>
      </c>
      <c r="W74">
        <v>0</v>
      </c>
      <c r="X74">
        <v>-1980536396</v>
      </c>
      <c r="Y74">
        <f t="shared" si="18"/>
        <v>3.5000000000000003E-2</v>
      </c>
      <c r="AA74">
        <v>87313.75</v>
      </c>
      <c r="AB74">
        <v>0</v>
      </c>
      <c r="AC74">
        <v>0</v>
      </c>
      <c r="AD74">
        <v>0</v>
      </c>
      <c r="AE74">
        <v>87313.75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3.5000000000000003E-2</v>
      </c>
      <c r="AU74" t="s">
        <v>3</v>
      </c>
      <c r="AV74">
        <v>0</v>
      </c>
      <c r="AW74">
        <v>2</v>
      </c>
      <c r="AX74">
        <v>75702363</v>
      </c>
      <c r="AY74">
        <v>1</v>
      </c>
      <c r="AZ74">
        <v>0</v>
      </c>
      <c r="BA74">
        <v>69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ROUND(Y74*Source!I126,9)</f>
        <v>3.5E-4</v>
      </c>
      <c r="CY74">
        <f>AA74</f>
        <v>87313.75</v>
      </c>
      <c r="CZ74">
        <f>AE74</f>
        <v>87313.75</v>
      </c>
      <c r="DA74">
        <f>AI74</f>
        <v>1</v>
      </c>
      <c r="DB74">
        <f t="shared" si="19"/>
        <v>3055.98</v>
      </c>
      <c r="DC74">
        <f t="shared" si="20"/>
        <v>0</v>
      </c>
      <c r="DD74" t="s">
        <v>3</v>
      </c>
      <c r="DE74" t="s">
        <v>3</v>
      </c>
      <c r="DF74">
        <f t="shared" si="21"/>
        <v>30.56</v>
      </c>
      <c r="DG74">
        <f t="shared" si="22"/>
        <v>0</v>
      </c>
      <c r="DH74">
        <f t="shared" si="23"/>
        <v>0</v>
      </c>
      <c r="DI74">
        <f t="shared" si="24"/>
        <v>0</v>
      </c>
      <c r="DJ74">
        <f>DF74</f>
        <v>30.56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ROW(Source!A126)</f>
        <v>126</v>
      </c>
      <c r="B75">
        <v>75700856</v>
      </c>
      <c r="C75">
        <v>75701298</v>
      </c>
      <c r="D75">
        <v>75393920</v>
      </c>
      <c r="E75">
        <v>1</v>
      </c>
      <c r="F75">
        <v>1</v>
      </c>
      <c r="G75">
        <v>39</v>
      </c>
      <c r="H75">
        <v>3</v>
      </c>
      <c r="I75" t="s">
        <v>421</v>
      </c>
      <c r="J75" t="s">
        <v>422</v>
      </c>
      <c r="K75" t="s">
        <v>423</v>
      </c>
      <c r="L75">
        <v>1301</v>
      </c>
      <c r="N75">
        <v>1003</v>
      </c>
      <c r="O75" t="s">
        <v>49</v>
      </c>
      <c r="P75" t="s">
        <v>49</v>
      </c>
      <c r="Q75">
        <v>1</v>
      </c>
      <c r="W75">
        <v>0</v>
      </c>
      <c r="X75">
        <v>-1908336614</v>
      </c>
      <c r="Y75">
        <f t="shared" si="18"/>
        <v>400</v>
      </c>
      <c r="AA75">
        <v>27.14</v>
      </c>
      <c r="AB75">
        <v>0</v>
      </c>
      <c r="AC75">
        <v>0</v>
      </c>
      <c r="AD75">
        <v>0</v>
      </c>
      <c r="AE75">
        <v>27.14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400</v>
      </c>
      <c r="AU75" t="s">
        <v>3</v>
      </c>
      <c r="AV75">
        <v>0</v>
      </c>
      <c r="AW75">
        <v>2</v>
      </c>
      <c r="AX75">
        <v>75702364</v>
      </c>
      <c r="AY75">
        <v>1</v>
      </c>
      <c r="AZ75">
        <v>0</v>
      </c>
      <c r="BA75">
        <v>70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ROUND(Y75*Source!I126,9)</f>
        <v>4</v>
      </c>
      <c r="CY75">
        <f>AA75</f>
        <v>27.14</v>
      </c>
      <c r="CZ75">
        <f>AE75</f>
        <v>27.14</v>
      </c>
      <c r="DA75">
        <f>AI75</f>
        <v>1</v>
      </c>
      <c r="DB75">
        <f t="shared" si="19"/>
        <v>10856</v>
      </c>
      <c r="DC75">
        <f t="shared" si="20"/>
        <v>0</v>
      </c>
      <c r="DD75" t="s">
        <v>3</v>
      </c>
      <c r="DE75" t="s">
        <v>3</v>
      </c>
      <c r="DF75">
        <f t="shared" si="21"/>
        <v>108.56</v>
      </c>
      <c r="DG75">
        <f t="shared" si="22"/>
        <v>0</v>
      </c>
      <c r="DH75">
        <f t="shared" si="23"/>
        <v>0</v>
      </c>
      <c r="DI75">
        <f t="shared" si="24"/>
        <v>0</v>
      </c>
      <c r="DJ75">
        <f>DF75</f>
        <v>108.56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ROW(Source!A126)</f>
        <v>126</v>
      </c>
      <c r="B76">
        <v>75700856</v>
      </c>
      <c r="C76">
        <v>75701298</v>
      </c>
      <c r="D76">
        <v>0</v>
      </c>
      <c r="E76">
        <v>39</v>
      </c>
      <c r="F76">
        <v>1</v>
      </c>
      <c r="G76">
        <v>39</v>
      </c>
      <c r="H76">
        <v>3</v>
      </c>
      <c r="I76" t="s">
        <v>174</v>
      </c>
      <c r="J76" t="s">
        <v>3</v>
      </c>
      <c r="K76" t="s">
        <v>185</v>
      </c>
      <c r="L76">
        <v>1354</v>
      </c>
      <c r="N76">
        <v>1010</v>
      </c>
      <c r="O76" t="s">
        <v>171</v>
      </c>
      <c r="P76" t="s">
        <v>171</v>
      </c>
      <c r="Q76">
        <v>1</v>
      </c>
      <c r="W76">
        <v>0</v>
      </c>
      <c r="X76">
        <v>-541391768</v>
      </c>
      <c r="Y76">
        <f t="shared" si="18"/>
        <v>1</v>
      </c>
      <c r="AA76">
        <v>10050.83</v>
      </c>
      <c r="AB76">
        <v>0</v>
      </c>
      <c r="AC76">
        <v>0</v>
      </c>
      <c r="AD76">
        <v>0</v>
      </c>
      <c r="AE76">
        <v>10050.83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 t="s">
        <v>3</v>
      </c>
      <c r="AT76">
        <v>1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ROUND(Y76*Source!I126,9)</f>
        <v>0.01</v>
      </c>
      <c r="CY76">
        <f>AA76</f>
        <v>10050.83</v>
      </c>
      <c r="CZ76">
        <f>AE76</f>
        <v>10050.83</v>
      </c>
      <c r="DA76">
        <f>AI76</f>
        <v>1</v>
      </c>
      <c r="DB76">
        <f t="shared" si="19"/>
        <v>10050.83</v>
      </c>
      <c r="DC76">
        <f t="shared" si="20"/>
        <v>0</v>
      </c>
      <c r="DD76" t="s">
        <v>3</v>
      </c>
      <c r="DE76" t="s">
        <v>3</v>
      </c>
      <c r="DF76">
        <f t="shared" si="21"/>
        <v>100.51</v>
      </c>
      <c r="DG76">
        <f t="shared" si="22"/>
        <v>0</v>
      </c>
      <c r="DH76">
        <f t="shared" si="23"/>
        <v>0</v>
      </c>
      <c r="DI76">
        <f t="shared" si="24"/>
        <v>0</v>
      </c>
      <c r="DJ76">
        <f>DF76</f>
        <v>100.51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ROW(Source!A128)</f>
        <v>128</v>
      </c>
      <c r="B77">
        <v>75700856</v>
      </c>
      <c r="C77">
        <v>75701309</v>
      </c>
      <c r="D77">
        <v>75386788</v>
      </c>
      <c r="E77">
        <v>39</v>
      </c>
      <c r="F77">
        <v>1</v>
      </c>
      <c r="G77">
        <v>39</v>
      </c>
      <c r="H77">
        <v>1</v>
      </c>
      <c r="I77" t="s">
        <v>332</v>
      </c>
      <c r="J77" t="s">
        <v>3</v>
      </c>
      <c r="K77" t="s">
        <v>333</v>
      </c>
      <c r="L77">
        <v>1191</v>
      </c>
      <c r="N77">
        <v>1013</v>
      </c>
      <c r="O77" t="s">
        <v>334</v>
      </c>
      <c r="P77" t="s">
        <v>334</v>
      </c>
      <c r="Q77">
        <v>1</v>
      </c>
      <c r="W77">
        <v>0</v>
      </c>
      <c r="X77">
        <v>476480486</v>
      </c>
      <c r="Y77">
        <f t="shared" si="18"/>
        <v>38.76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38.76</v>
      </c>
      <c r="AU77" t="s">
        <v>3</v>
      </c>
      <c r="AV77">
        <v>1</v>
      </c>
      <c r="AW77">
        <v>2</v>
      </c>
      <c r="AX77">
        <v>75702365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ROUND(AT77*Source!I128*AH77*AL77,2)</f>
        <v>0</v>
      </c>
      <c r="CV77">
        <f>ROUND(Y77*Source!I128,9)</f>
        <v>0.3876</v>
      </c>
      <c r="CW77">
        <v>0</v>
      </c>
      <c r="CX77">
        <f>ROUND(Y77*Source!I128,9)</f>
        <v>0.3876</v>
      </c>
      <c r="CY77">
        <f>AD77</f>
        <v>0</v>
      </c>
      <c r="CZ77">
        <f>AH77</f>
        <v>0</v>
      </c>
      <c r="DA77">
        <f>AL77</f>
        <v>1</v>
      </c>
      <c r="DB77">
        <f t="shared" si="19"/>
        <v>0</v>
      </c>
      <c r="DC77">
        <f t="shared" si="20"/>
        <v>0</v>
      </c>
      <c r="DD77" t="s">
        <v>3</v>
      </c>
      <c r="DE77" t="s">
        <v>3</v>
      </c>
      <c r="DF77">
        <f t="shared" si="21"/>
        <v>0</v>
      </c>
      <c r="DG77">
        <f t="shared" si="22"/>
        <v>0</v>
      </c>
      <c r="DH77">
        <f t="shared" si="23"/>
        <v>0</v>
      </c>
      <c r="DI77">
        <f t="shared" si="24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ROW(Source!A128)</f>
        <v>128</v>
      </c>
      <c r="B78">
        <v>75700856</v>
      </c>
      <c r="C78">
        <v>75701309</v>
      </c>
      <c r="D78">
        <v>75394576</v>
      </c>
      <c r="E78">
        <v>1</v>
      </c>
      <c r="F78">
        <v>1</v>
      </c>
      <c r="G78">
        <v>39</v>
      </c>
      <c r="H78">
        <v>3</v>
      </c>
      <c r="I78" t="s">
        <v>448</v>
      </c>
      <c r="J78" t="s">
        <v>449</v>
      </c>
      <c r="K78" t="s">
        <v>450</v>
      </c>
      <c r="L78">
        <v>1035</v>
      </c>
      <c r="N78">
        <v>1013</v>
      </c>
      <c r="O78" t="s">
        <v>166</v>
      </c>
      <c r="P78" t="s">
        <v>166</v>
      </c>
      <c r="Q78">
        <v>1</v>
      </c>
      <c r="W78">
        <v>0</v>
      </c>
      <c r="X78">
        <v>1711651658</v>
      </c>
      <c r="Y78">
        <f t="shared" si="18"/>
        <v>200</v>
      </c>
      <c r="AA78">
        <v>132.30000000000001</v>
      </c>
      <c r="AB78">
        <v>0</v>
      </c>
      <c r="AC78">
        <v>0</v>
      </c>
      <c r="AD78">
        <v>0</v>
      </c>
      <c r="AE78">
        <v>132.30000000000001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200</v>
      </c>
      <c r="AU78" t="s">
        <v>3</v>
      </c>
      <c r="AV78">
        <v>0</v>
      </c>
      <c r="AW78">
        <v>2</v>
      </c>
      <c r="AX78">
        <v>75702366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ROUND(Y78*Source!I128,9)</f>
        <v>2</v>
      </c>
      <c r="CY78">
        <f>AA78</f>
        <v>132.30000000000001</v>
      </c>
      <c r="CZ78">
        <f>AE78</f>
        <v>132.30000000000001</v>
      </c>
      <c r="DA78">
        <f>AI78</f>
        <v>1</v>
      </c>
      <c r="DB78">
        <f t="shared" si="19"/>
        <v>26460</v>
      </c>
      <c r="DC78">
        <f t="shared" si="20"/>
        <v>0</v>
      </c>
      <c r="DD78" t="s">
        <v>3</v>
      </c>
      <c r="DE78" t="s">
        <v>3</v>
      </c>
      <c r="DF78">
        <f t="shared" si="21"/>
        <v>264.60000000000002</v>
      </c>
      <c r="DG78">
        <f t="shared" si="22"/>
        <v>0</v>
      </c>
      <c r="DH78">
        <f t="shared" si="23"/>
        <v>0</v>
      </c>
      <c r="DI78">
        <f t="shared" si="24"/>
        <v>0</v>
      </c>
      <c r="DJ78">
        <f>DF78</f>
        <v>264.60000000000002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ROW(Source!A129)</f>
        <v>129</v>
      </c>
      <c r="B79">
        <v>75700856</v>
      </c>
      <c r="C79">
        <v>75701314</v>
      </c>
      <c r="D79">
        <v>75386788</v>
      </c>
      <c r="E79">
        <v>39</v>
      </c>
      <c r="F79">
        <v>1</v>
      </c>
      <c r="G79">
        <v>39</v>
      </c>
      <c r="H79">
        <v>1</v>
      </c>
      <c r="I79" t="s">
        <v>332</v>
      </c>
      <c r="J79" t="s">
        <v>3</v>
      </c>
      <c r="K79" t="s">
        <v>333</v>
      </c>
      <c r="L79">
        <v>1191</v>
      </c>
      <c r="N79">
        <v>1013</v>
      </c>
      <c r="O79" t="s">
        <v>334</v>
      </c>
      <c r="P79" t="s">
        <v>334</v>
      </c>
      <c r="Q79">
        <v>1</v>
      </c>
      <c r="W79">
        <v>0</v>
      </c>
      <c r="X79">
        <v>476480486</v>
      </c>
      <c r="Y79">
        <f t="shared" si="18"/>
        <v>1.21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1.21</v>
      </c>
      <c r="AU79" t="s">
        <v>3</v>
      </c>
      <c r="AV79">
        <v>1</v>
      </c>
      <c r="AW79">
        <v>2</v>
      </c>
      <c r="AX79">
        <v>75702367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U79">
        <f>ROUND(AT79*Source!I129*AH79*AL79,2)</f>
        <v>0</v>
      </c>
      <c r="CV79">
        <f>ROUND(Y79*Source!I129,9)</f>
        <v>0.24199999999999999</v>
      </c>
      <c r="CW79">
        <v>0</v>
      </c>
      <c r="CX79">
        <f>ROUND(Y79*Source!I129,9)</f>
        <v>0.24199999999999999</v>
      </c>
      <c r="CY79">
        <f>AD79</f>
        <v>0</v>
      </c>
      <c r="CZ79">
        <f>AH79</f>
        <v>0</v>
      </c>
      <c r="DA79">
        <f>AL79</f>
        <v>1</v>
      </c>
      <c r="DB79">
        <f t="shared" si="19"/>
        <v>0</v>
      </c>
      <c r="DC79">
        <f t="shared" si="20"/>
        <v>0</v>
      </c>
      <c r="DD79" t="s">
        <v>3</v>
      </c>
      <c r="DE79" t="s">
        <v>3</v>
      </c>
      <c r="DF79">
        <f t="shared" si="21"/>
        <v>0</v>
      </c>
      <c r="DG79">
        <f t="shared" si="22"/>
        <v>0</v>
      </c>
      <c r="DH79">
        <f t="shared" si="23"/>
        <v>0</v>
      </c>
      <c r="DI79">
        <f t="shared" si="24"/>
        <v>0</v>
      </c>
      <c r="DJ79">
        <f>DI79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ROW(Source!A130)</f>
        <v>130</v>
      </c>
      <c r="B80">
        <v>75700856</v>
      </c>
      <c r="C80">
        <v>75701317</v>
      </c>
      <c r="D80">
        <v>75386788</v>
      </c>
      <c r="E80">
        <v>39</v>
      </c>
      <c r="F80">
        <v>1</v>
      </c>
      <c r="G80">
        <v>39</v>
      </c>
      <c r="H80">
        <v>1</v>
      </c>
      <c r="I80" t="s">
        <v>332</v>
      </c>
      <c r="J80" t="s">
        <v>3</v>
      </c>
      <c r="K80" t="s">
        <v>333</v>
      </c>
      <c r="L80">
        <v>1191</v>
      </c>
      <c r="N80">
        <v>1013</v>
      </c>
      <c r="O80" t="s">
        <v>334</v>
      </c>
      <c r="P80" t="s">
        <v>334</v>
      </c>
      <c r="Q80">
        <v>1</v>
      </c>
      <c r="W80">
        <v>0</v>
      </c>
      <c r="X80">
        <v>476480486</v>
      </c>
      <c r="Y80">
        <f t="shared" si="18"/>
        <v>1.72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1.72</v>
      </c>
      <c r="AU80" t="s">
        <v>3</v>
      </c>
      <c r="AV80">
        <v>1</v>
      </c>
      <c r="AW80">
        <v>2</v>
      </c>
      <c r="AX80">
        <v>75702368</v>
      </c>
      <c r="AY80">
        <v>1</v>
      </c>
      <c r="AZ80">
        <v>0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ROUND(AT80*Source!I130*AH80*AL80,2)</f>
        <v>0</v>
      </c>
      <c r="CV80">
        <f>ROUND(Y80*Source!I130,9)</f>
        <v>0.34399999999999997</v>
      </c>
      <c r="CW80">
        <v>0</v>
      </c>
      <c r="CX80">
        <f>ROUND(Y80*Source!I130,9)</f>
        <v>0.34399999999999997</v>
      </c>
      <c r="CY80">
        <f>AD80</f>
        <v>0</v>
      </c>
      <c r="CZ80">
        <f>AH80</f>
        <v>0</v>
      </c>
      <c r="DA80">
        <f>AL80</f>
        <v>1</v>
      </c>
      <c r="DB80">
        <f t="shared" si="19"/>
        <v>0</v>
      </c>
      <c r="DC80">
        <f t="shared" si="20"/>
        <v>0</v>
      </c>
      <c r="DD80" t="s">
        <v>3</v>
      </c>
      <c r="DE80" t="s">
        <v>3</v>
      </c>
      <c r="DF80">
        <f t="shared" si="21"/>
        <v>0</v>
      </c>
      <c r="DG80">
        <f t="shared" si="22"/>
        <v>0</v>
      </c>
      <c r="DH80">
        <f t="shared" si="23"/>
        <v>0</v>
      </c>
      <c r="DI80">
        <f t="shared" si="24"/>
        <v>0</v>
      </c>
      <c r="DJ80">
        <f>DI80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ROW(Source!A130)</f>
        <v>130</v>
      </c>
      <c r="B81">
        <v>75700856</v>
      </c>
      <c r="C81">
        <v>75701317</v>
      </c>
      <c r="D81">
        <v>75390591</v>
      </c>
      <c r="E81">
        <v>1</v>
      </c>
      <c r="F81">
        <v>1</v>
      </c>
      <c r="G81">
        <v>39</v>
      </c>
      <c r="H81">
        <v>3</v>
      </c>
      <c r="I81" t="s">
        <v>430</v>
      </c>
      <c r="J81" t="s">
        <v>431</v>
      </c>
      <c r="K81" t="s">
        <v>432</v>
      </c>
      <c r="L81">
        <v>1346</v>
      </c>
      <c r="N81">
        <v>1009</v>
      </c>
      <c r="O81" t="s">
        <v>63</v>
      </c>
      <c r="P81" t="s">
        <v>63</v>
      </c>
      <c r="Q81">
        <v>1</v>
      </c>
      <c r="W81">
        <v>0</v>
      </c>
      <c r="X81">
        <v>-901272518</v>
      </c>
      <c r="Y81">
        <f t="shared" si="18"/>
        <v>6.3E-2</v>
      </c>
      <c r="AA81">
        <v>656.56</v>
      </c>
      <c r="AB81">
        <v>0</v>
      </c>
      <c r="AC81">
        <v>0</v>
      </c>
      <c r="AD81">
        <v>0</v>
      </c>
      <c r="AE81">
        <v>656.56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6.3E-2</v>
      </c>
      <c r="AU81" t="s">
        <v>3</v>
      </c>
      <c r="AV81">
        <v>0</v>
      </c>
      <c r="AW81">
        <v>2</v>
      </c>
      <c r="AX81">
        <v>75702369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ROUND(Y81*Source!I130,9)</f>
        <v>1.26E-2</v>
      </c>
      <c r="CY81">
        <f>AA81</f>
        <v>656.56</v>
      </c>
      <c r="CZ81">
        <f>AE81</f>
        <v>656.56</v>
      </c>
      <c r="DA81">
        <f>AI81</f>
        <v>1</v>
      </c>
      <c r="DB81">
        <f t="shared" si="19"/>
        <v>41.36</v>
      </c>
      <c r="DC81">
        <f t="shared" si="20"/>
        <v>0</v>
      </c>
      <c r="DD81" t="s">
        <v>3</v>
      </c>
      <c r="DE81" t="s">
        <v>3</v>
      </c>
      <c r="DF81">
        <f t="shared" si="21"/>
        <v>8.27</v>
      </c>
      <c r="DG81">
        <f t="shared" si="22"/>
        <v>0</v>
      </c>
      <c r="DH81">
        <f t="shared" si="23"/>
        <v>0</v>
      </c>
      <c r="DI81">
        <f t="shared" si="24"/>
        <v>0</v>
      </c>
      <c r="DJ81">
        <f>DF81</f>
        <v>8.27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ROW(Source!A130)</f>
        <v>130</v>
      </c>
      <c r="B82">
        <v>75700856</v>
      </c>
      <c r="C82">
        <v>75701317</v>
      </c>
      <c r="D82">
        <v>75395894</v>
      </c>
      <c r="E82">
        <v>1</v>
      </c>
      <c r="F82">
        <v>1</v>
      </c>
      <c r="G82">
        <v>39</v>
      </c>
      <c r="H82">
        <v>3</v>
      </c>
      <c r="I82" t="s">
        <v>201</v>
      </c>
      <c r="J82" t="s">
        <v>203</v>
      </c>
      <c r="K82" t="s">
        <v>202</v>
      </c>
      <c r="L82">
        <v>1354</v>
      </c>
      <c r="N82">
        <v>1010</v>
      </c>
      <c r="O82" t="s">
        <v>171</v>
      </c>
      <c r="P82" t="s">
        <v>171</v>
      </c>
      <c r="Q82">
        <v>1</v>
      </c>
      <c r="W82">
        <v>0</v>
      </c>
      <c r="X82">
        <v>331574299</v>
      </c>
      <c r="Y82">
        <f t="shared" si="18"/>
        <v>10</v>
      </c>
      <c r="AA82">
        <v>182.88</v>
      </c>
      <c r="AB82">
        <v>0</v>
      </c>
      <c r="AC82">
        <v>0</v>
      </c>
      <c r="AD82">
        <v>0</v>
      </c>
      <c r="AE82">
        <v>182.88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0</v>
      </c>
      <c r="AN82">
        <v>0</v>
      </c>
      <c r="AO82">
        <v>0</v>
      </c>
      <c r="AP82">
        <v>1</v>
      </c>
      <c r="AQ82">
        <v>0</v>
      </c>
      <c r="AR82">
        <v>0</v>
      </c>
      <c r="AS82" t="s">
        <v>3</v>
      </c>
      <c r="AT82">
        <v>10</v>
      </c>
      <c r="AU82" t="s">
        <v>3</v>
      </c>
      <c r="AV82">
        <v>0</v>
      </c>
      <c r="AW82">
        <v>1</v>
      </c>
      <c r="AX82">
        <v>-1</v>
      </c>
      <c r="AY82">
        <v>0</v>
      </c>
      <c r="AZ82">
        <v>0</v>
      </c>
      <c r="BA82" t="s">
        <v>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ROUND(Y82*Source!I130,9)</f>
        <v>2</v>
      </c>
      <c r="CY82">
        <f>AA82</f>
        <v>182.88</v>
      </c>
      <c r="CZ82">
        <f>AE82</f>
        <v>182.88</v>
      </c>
      <c r="DA82">
        <f>AI82</f>
        <v>1</v>
      </c>
      <c r="DB82">
        <f t="shared" si="19"/>
        <v>1828.8</v>
      </c>
      <c r="DC82">
        <f t="shared" si="20"/>
        <v>0</v>
      </c>
      <c r="DD82" t="s">
        <v>3</v>
      </c>
      <c r="DE82" t="s">
        <v>3</v>
      </c>
      <c r="DF82">
        <f t="shared" si="21"/>
        <v>365.76</v>
      </c>
      <c r="DG82">
        <f t="shared" si="22"/>
        <v>0</v>
      </c>
      <c r="DH82">
        <f t="shared" si="23"/>
        <v>0</v>
      </c>
      <c r="DI82">
        <f t="shared" si="24"/>
        <v>0</v>
      </c>
      <c r="DJ82">
        <f>DF82</f>
        <v>365.76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ROW(Source!A130)</f>
        <v>130</v>
      </c>
      <c r="B83">
        <v>75700856</v>
      </c>
      <c r="C83">
        <v>75701317</v>
      </c>
      <c r="D83">
        <v>75389029</v>
      </c>
      <c r="E83">
        <v>1</v>
      </c>
      <c r="F83">
        <v>1</v>
      </c>
      <c r="G83">
        <v>39</v>
      </c>
      <c r="H83">
        <v>3</v>
      </c>
      <c r="I83" t="s">
        <v>436</v>
      </c>
      <c r="J83" t="s">
        <v>437</v>
      </c>
      <c r="K83" t="s">
        <v>438</v>
      </c>
      <c r="L83">
        <v>1348</v>
      </c>
      <c r="N83">
        <v>1009</v>
      </c>
      <c r="O83" t="s">
        <v>68</v>
      </c>
      <c r="P83" t="s">
        <v>68</v>
      </c>
      <c r="Q83">
        <v>1000</v>
      </c>
      <c r="W83">
        <v>0</v>
      </c>
      <c r="X83">
        <v>169962723</v>
      </c>
      <c r="Y83">
        <f t="shared" si="18"/>
        <v>1.2999999999999999E-4</v>
      </c>
      <c r="AA83">
        <v>91558.65</v>
      </c>
      <c r="AB83">
        <v>0</v>
      </c>
      <c r="AC83">
        <v>0</v>
      </c>
      <c r="AD83">
        <v>0</v>
      </c>
      <c r="AE83">
        <v>91558.65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1.2999999999999999E-4</v>
      </c>
      <c r="AU83" t="s">
        <v>3</v>
      </c>
      <c r="AV83">
        <v>0</v>
      </c>
      <c r="AW83">
        <v>2</v>
      </c>
      <c r="AX83">
        <v>75702370</v>
      </c>
      <c r="AY83">
        <v>1</v>
      </c>
      <c r="AZ83">
        <v>0</v>
      </c>
      <c r="BA83">
        <v>76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ROUND(Y83*Source!I130,9)</f>
        <v>2.5999999999999998E-5</v>
      </c>
      <c r="CY83">
        <f>AA83</f>
        <v>91558.65</v>
      </c>
      <c r="CZ83">
        <f>AE83</f>
        <v>91558.65</v>
      </c>
      <c r="DA83">
        <f>AI83</f>
        <v>1</v>
      </c>
      <c r="DB83">
        <f t="shared" si="19"/>
        <v>11.9</v>
      </c>
      <c r="DC83">
        <f t="shared" si="20"/>
        <v>0</v>
      </c>
      <c r="DD83" t="s">
        <v>3</v>
      </c>
      <c r="DE83" t="s">
        <v>3</v>
      </c>
      <c r="DF83">
        <f t="shared" si="21"/>
        <v>2.38</v>
      </c>
      <c r="DG83">
        <f t="shared" si="22"/>
        <v>0</v>
      </c>
      <c r="DH83">
        <f t="shared" si="23"/>
        <v>0</v>
      </c>
      <c r="DI83">
        <f t="shared" si="24"/>
        <v>0</v>
      </c>
      <c r="DJ83">
        <f>DF83</f>
        <v>2.38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ROW(Source!A130)</f>
        <v>130</v>
      </c>
      <c r="B84">
        <v>75700856</v>
      </c>
      <c r="C84">
        <v>75701317</v>
      </c>
      <c r="D84">
        <v>75389070</v>
      </c>
      <c r="E84">
        <v>1</v>
      </c>
      <c r="F84">
        <v>1</v>
      </c>
      <c r="G84">
        <v>39</v>
      </c>
      <c r="H84">
        <v>3</v>
      </c>
      <c r="I84" t="s">
        <v>439</v>
      </c>
      <c r="J84" t="s">
        <v>440</v>
      </c>
      <c r="K84" t="s">
        <v>441</v>
      </c>
      <c r="L84">
        <v>1346</v>
      </c>
      <c r="N84">
        <v>1009</v>
      </c>
      <c r="O84" t="s">
        <v>63</v>
      </c>
      <c r="P84" t="s">
        <v>63</v>
      </c>
      <c r="Q84">
        <v>1</v>
      </c>
      <c r="W84">
        <v>0</v>
      </c>
      <c r="X84">
        <v>720467407</v>
      </c>
      <c r="Y84">
        <f t="shared" si="18"/>
        <v>6.3E-2</v>
      </c>
      <c r="AA84">
        <v>99.65</v>
      </c>
      <c r="AB84">
        <v>0</v>
      </c>
      <c r="AC84">
        <v>0</v>
      </c>
      <c r="AD84">
        <v>0</v>
      </c>
      <c r="AE84">
        <v>99.65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6.3E-2</v>
      </c>
      <c r="AU84" t="s">
        <v>3</v>
      </c>
      <c r="AV84">
        <v>0</v>
      </c>
      <c r="AW84">
        <v>2</v>
      </c>
      <c r="AX84">
        <v>75702371</v>
      </c>
      <c r="AY84">
        <v>1</v>
      </c>
      <c r="AZ84">
        <v>0</v>
      </c>
      <c r="BA84">
        <v>77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ROUND(Y84*Source!I130,9)</f>
        <v>1.26E-2</v>
      </c>
      <c r="CY84">
        <f>AA84</f>
        <v>99.65</v>
      </c>
      <c r="CZ84">
        <f>AE84</f>
        <v>99.65</v>
      </c>
      <c r="DA84">
        <f>AI84</f>
        <v>1</v>
      </c>
      <c r="DB84">
        <f t="shared" si="19"/>
        <v>6.28</v>
      </c>
      <c r="DC84">
        <f t="shared" si="20"/>
        <v>0</v>
      </c>
      <c r="DD84" t="s">
        <v>3</v>
      </c>
      <c r="DE84" t="s">
        <v>3</v>
      </c>
      <c r="DF84">
        <f t="shared" si="21"/>
        <v>1.26</v>
      </c>
      <c r="DG84">
        <f t="shared" si="22"/>
        <v>0</v>
      </c>
      <c r="DH84">
        <f t="shared" si="23"/>
        <v>0</v>
      </c>
      <c r="DI84">
        <f t="shared" si="24"/>
        <v>0</v>
      </c>
      <c r="DJ84">
        <f>DF84</f>
        <v>1.26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ROW(Source!A167)</f>
        <v>167</v>
      </c>
      <c r="B85">
        <v>75700856</v>
      </c>
      <c r="C85">
        <v>75701384</v>
      </c>
      <c r="D85">
        <v>75386788</v>
      </c>
      <c r="E85">
        <v>39</v>
      </c>
      <c r="F85">
        <v>1</v>
      </c>
      <c r="G85">
        <v>39</v>
      </c>
      <c r="H85">
        <v>1</v>
      </c>
      <c r="I85" t="s">
        <v>332</v>
      </c>
      <c r="J85" t="s">
        <v>3</v>
      </c>
      <c r="K85" t="s">
        <v>333</v>
      </c>
      <c r="L85">
        <v>1191</v>
      </c>
      <c r="N85">
        <v>1013</v>
      </c>
      <c r="O85" t="s">
        <v>334</v>
      </c>
      <c r="P85" t="s">
        <v>334</v>
      </c>
      <c r="Q85">
        <v>1</v>
      </c>
      <c r="W85">
        <v>0</v>
      </c>
      <c r="X85">
        <v>476480486</v>
      </c>
      <c r="Y85">
        <f t="shared" si="18"/>
        <v>29.74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29.74</v>
      </c>
      <c r="AU85" t="s">
        <v>3</v>
      </c>
      <c r="AV85">
        <v>1</v>
      </c>
      <c r="AW85">
        <v>2</v>
      </c>
      <c r="AX85">
        <v>75702372</v>
      </c>
      <c r="AY85">
        <v>1</v>
      </c>
      <c r="AZ85">
        <v>0</v>
      </c>
      <c r="BA85">
        <v>78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ROUND(AT85*Source!I167*AH85*AL85,2)</f>
        <v>0</v>
      </c>
      <c r="CV85">
        <f>ROUND(Y85*Source!I167,9)</f>
        <v>1.1896</v>
      </c>
      <c r="CW85">
        <v>0</v>
      </c>
      <c r="CX85">
        <f>ROUND(Y85*Source!I167,9)</f>
        <v>1.1896</v>
      </c>
      <c r="CY85">
        <f>AD85</f>
        <v>0</v>
      </c>
      <c r="CZ85">
        <f>AH85</f>
        <v>0</v>
      </c>
      <c r="DA85">
        <f>AL85</f>
        <v>1</v>
      </c>
      <c r="DB85">
        <f t="shared" si="19"/>
        <v>0</v>
      </c>
      <c r="DC85">
        <f t="shared" si="20"/>
        <v>0</v>
      </c>
      <c r="DD85" t="s">
        <v>3</v>
      </c>
      <c r="DE85" t="s">
        <v>3</v>
      </c>
      <c r="DF85">
        <f t="shared" si="21"/>
        <v>0</v>
      </c>
      <c r="DG85">
        <f t="shared" si="22"/>
        <v>0</v>
      </c>
      <c r="DH85">
        <f t="shared" si="23"/>
        <v>0</v>
      </c>
      <c r="DI85">
        <f t="shared" si="24"/>
        <v>0</v>
      </c>
      <c r="DJ85">
        <f>DI85</f>
        <v>0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ROW(Source!A167)</f>
        <v>167</v>
      </c>
      <c r="B86">
        <v>75700856</v>
      </c>
      <c r="C86">
        <v>75701384</v>
      </c>
      <c r="D86">
        <v>75397572</v>
      </c>
      <c r="E86">
        <v>1</v>
      </c>
      <c r="F86">
        <v>1</v>
      </c>
      <c r="G86">
        <v>39</v>
      </c>
      <c r="H86">
        <v>3</v>
      </c>
      <c r="I86" t="s">
        <v>213</v>
      </c>
      <c r="J86" t="s">
        <v>215</v>
      </c>
      <c r="K86" t="s">
        <v>214</v>
      </c>
      <c r="L86">
        <v>1354</v>
      </c>
      <c r="N86">
        <v>1010</v>
      </c>
      <c r="O86" t="s">
        <v>171</v>
      </c>
      <c r="P86" t="s">
        <v>171</v>
      </c>
      <c r="Q86">
        <v>1</v>
      </c>
      <c r="W86">
        <v>0</v>
      </c>
      <c r="X86">
        <v>-314732257</v>
      </c>
      <c r="Y86">
        <f t="shared" si="18"/>
        <v>50</v>
      </c>
      <c r="AA86">
        <v>90.55</v>
      </c>
      <c r="AB86">
        <v>0</v>
      </c>
      <c r="AC86">
        <v>0</v>
      </c>
      <c r="AD86">
        <v>0</v>
      </c>
      <c r="AE86">
        <v>90.55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0</v>
      </c>
      <c r="AN86">
        <v>0</v>
      </c>
      <c r="AO86">
        <v>0</v>
      </c>
      <c r="AP86">
        <v>1</v>
      </c>
      <c r="AQ86">
        <v>0</v>
      </c>
      <c r="AR86">
        <v>0</v>
      </c>
      <c r="AS86" t="s">
        <v>3</v>
      </c>
      <c r="AT86">
        <v>50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ROUND(Y86*Source!I167,9)</f>
        <v>2</v>
      </c>
      <c r="CY86">
        <f>AA86</f>
        <v>90.55</v>
      </c>
      <c r="CZ86">
        <f>AE86</f>
        <v>90.55</v>
      </c>
      <c r="DA86">
        <f>AI86</f>
        <v>1</v>
      </c>
      <c r="DB86">
        <f t="shared" si="19"/>
        <v>4527.5</v>
      </c>
      <c r="DC86">
        <f t="shared" si="20"/>
        <v>0</v>
      </c>
      <c r="DD86" t="s">
        <v>3</v>
      </c>
      <c r="DE86" t="s">
        <v>3</v>
      </c>
      <c r="DF86">
        <f t="shared" si="21"/>
        <v>181.1</v>
      </c>
      <c r="DG86">
        <f t="shared" si="22"/>
        <v>0</v>
      </c>
      <c r="DH86">
        <f t="shared" si="23"/>
        <v>0</v>
      </c>
      <c r="DI86">
        <f t="shared" si="24"/>
        <v>0</v>
      </c>
      <c r="DJ86">
        <f>DF86</f>
        <v>181.1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ROW(Source!A167)</f>
        <v>167</v>
      </c>
      <c r="B87">
        <v>75700856</v>
      </c>
      <c r="C87">
        <v>75701384</v>
      </c>
      <c r="D87">
        <v>0</v>
      </c>
      <c r="E87">
        <v>39</v>
      </c>
      <c r="F87">
        <v>1</v>
      </c>
      <c r="G87">
        <v>39</v>
      </c>
      <c r="H87">
        <v>3</v>
      </c>
      <c r="I87" t="s">
        <v>174</v>
      </c>
      <c r="J87" t="s">
        <v>3</v>
      </c>
      <c r="K87" t="s">
        <v>210</v>
      </c>
      <c r="L87">
        <v>1354</v>
      </c>
      <c r="N87">
        <v>1010</v>
      </c>
      <c r="O87" t="s">
        <v>171</v>
      </c>
      <c r="P87" t="s">
        <v>171</v>
      </c>
      <c r="Q87">
        <v>1</v>
      </c>
      <c r="W87">
        <v>0</v>
      </c>
      <c r="X87">
        <v>-303536335</v>
      </c>
      <c r="Y87">
        <f t="shared" si="18"/>
        <v>50</v>
      </c>
      <c r="AA87">
        <v>285</v>
      </c>
      <c r="AB87">
        <v>0</v>
      </c>
      <c r="AC87">
        <v>0</v>
      </c>
      <c r="AD87">
        <v>0</v>
      </c>
      <c r="AE87">
        <v>285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3</v>
      </c>
      <c r="AT87">
        <v>50</v>
      </c>
      <c r="AU87" t="s">
        <v>3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ROUND(Y87*Source!I167,9)</f>
        <v>2</v>
      </c>
      <c r="CY87">
        <f>AA87</f>
        <v>285</v>
      </c>
      <c r="CZ87">
        <f>AE87</f>
        <v>285</v>
      </c>
      <c r="DA87">
        <f>AI87</f>
        <v>1</v>
      </c>
      <c r="DB87">
        <f t="shared" si="19"/>
        <v>14250</v>
      </c>
      <c r="DC87">
        <f t="shared" si="20"/>
        <v>0</v>
      </c>
      <c r="DD87" t="s">
        <v>3</v>
      </c>
      <c r="DE87" t="s">
        <v>3</v>
      </c>
      <c r="DF87">
        <f t="shared" si="21"/>
        <v>570</v>
      </c>
      <c r="DG87">
        <f t="shared" si="22"/>
        <v>0</v>
      </c>
      <c r="DH87">
        <f t="shared" si="23"/>
        <v>0</v>
      </c>
      <c r="DI87">
        <f t="shared" si="24"/>
        <v>0</v>
      </c>
      <c r="DJ87">
        <f>DF87</f>
        <v>570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ROW(Source!A205)</f>
        <v>205</v>
      </c>
      <c r="B88">
        <v>75700856</v>
      </c>
      <c r="C88">
        <v>75701447</v>
      </c>
      <c r="D88">
        <v>75386788</v>
      </c>
      <c r="E88">
        <v>39</v>
      </c>
      <c r="F88">
        <v>1</v>
      </c>
      <c r="G88">
        <v>39</v>
      </c>
      <c r="H88">
        <v>1</v>
      </c>
      <c r="I88" t="s">
        <v>332</v>
      </c>
      <c r="J88" t="s">
        <v>3</v>
      </c>
      <c r="K88" t="s">
        <v>333</v>
      </c>
      <c r="L88">
        <v>1191</v>
      </c>
      <c r="N88">
        <v>1013</v>
      </c>
      <c r="O88" t="s">
        <v>334</v>
      </c>
      <c r="P88" t="s">
        <v>334</v>
      </c>
      <c r="Q88">
        <v>1</v>
      </c>
      <c r="W88">
        <v>0</v>
      </c>
      <c r="X88">
        <v>476480486</v>
      </c>
      <c r="Y88">
        <f t="shared" si="18"/>
        <v>46.19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46.19</v>
      </c>
      <c r="AU88" t="s">
        <v>3</v>
      </c>
      <c r="AV88">
        <v>1</v>
      </c>
      <c r="AW88">
        <v>2</v>
      </c>
      <c r="AX88">
        <v>75702373</v>
      </c>
      <c r="AY88">
        <v>1</v>
      </c>
      <c r="AZ88">
        <v>0</v>
      </c>
      <c r="BA88">
        <v>79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ROUND(AT88*Source!I205*AH88*AL88,2)</f>
        <v>0</v>
      </c>
      <c r="CV88">
        <f>ROUND(Y88*Source!I205,9)</f>
        <v>1.3856999999999999</v>
      </c>
      <c r="CW88">
        <v>0</v>
      </c>
      <c r="CX88">
        <f>ROUND(Y88*Source!I205,9)</f>
        <v>1.3856999999999999</v>
      </c>
      <c r="CY88">
        <f>AD88</f>
        <v>0</v>
      </c>
      <c r="CZ88">
        <f>AH88</f>
        <v>0</v>
      </c>
      <c r="DA88">
        <f>AL88</f>
        <v>1</v>
      </c>
      <c r="DB88">
        <f t="shared" si="19"/>
        <v>0</v>
      </c>
      <c r="DC88">
        <f t="shared" si="20"/>
        <v>0</v>
      </c>
      <c r="DD88" t="s">
        <v>3</v>
      </c>
      <c r="DE88" t="s">
        <v>3</v>
      </c>
      <c r="DF88">
        <f t="shared" si="21"/>
        <v>0</v>
      </c>
      <c r="DG88">
        <f t="shared" si="22"/>
        <v>0</v>
      </c>
      <c r="DH88">
        <f t="shared" si="23"/>
        <v>0</v>
      </c>
      <c r="DI88">
        <f t="shared" si="24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ROW(Source!A205)</f>
        <v>205</v>
      </c>
      <c r="B89">
        <v>75700856</v>
      </c>
      <c r="C89">
        <v>75701447</v>
      </c>
      <c r="D89">
        <v>75388752</v>
      </c>
      <c r="E89">
        <v>1</v>
      </c>
      <c r="F89">
        <v>1</v>
      </c>
      <c r="G89">
        <v>39</v>
      </c>
      <c r="H89">
        <v>3</v>
      </c>
      <c r="I89" t="s">
        <v>451</v>
      </c>
      <c r="J89" t="s">
        <v>452</v>
      </c>
      <c r="K89" t="s">
        <v>453</v>
      </c>
      <c r="L89">
        <v>1348</v>
      </c>
      <c r="N89">
        <v>1009</v>
      </c>
      <c r="O89" t="s">
        <v>68</v>
      </c>
      <c r="P89" t="s">
        <v>68</v>
      </c>
      <c r="Q89">
        <v>1000</v>
      </c>
      <c r="W89">
        <v>0</v>
      </c>
      <c r="X89">
        <v>-2049845446</v>
      </c>
      <c r="Y89">
        <f t="shared" si="18"/>
        <v>0.05</v>
      </c>
      <c r="AA89">
        <v>8017.57</v>
      </c>
      <c r="AB89">
        <v>0</v>
      </c>
      <c r="AC89">
        <v>0</v>
      </c>
      <c r="AD89">
        <v>0</v>
      </c>
      <c r="AE89">
        <v>8017.57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0.05</v>
      </c>
      <c r="AU89" t="s">
        <v>3</v>
      </c>
      <c r="AV89">
        <v>0</v>
      </c>
      <c r="AW89">
        <v>2</v>
      </c>
      <c r="AX89">
        <v>75702374</v>
      </c>
      <c r="AY89">
        <v>1</v>
      </c>
      <c r="AZ89">
        <v>0</v>
      </c>
      <c r="BA89">
        <v>80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ROUND(Y89*Source!I205,9)</f>
        <v>1.5E-3</v>
      </c>
      <c r="CY89">
        <f>AA89</f>
        <v>8017.57</v>
      </c>
      <c r="CZ89">
        <f>AE89</f>
        <v>8017.57</v>
      </c>
      <c r="DA89">
        <f>AI89</f>
        <v>1</v>
      </c>
      <c r="DB89">
        <f t="shared" si="19"/>
        <v>400.88</v>
      </c>
      <c r="DC89">
        <f t="shared" si="20"/>
        <v>0</v>
      </c>
      <c r="DD89" t="s">
        <v>3</v>
      </c>
      <c r="DE89" t="s">
        <v>3</v>
      </c>
      <c r="DF89">
        <f t="shared" si="21"/>
        <v>12.03</v>
      </c>
      <c r="DG89">
        <f t="shared" si="22"/>
        <v>0</v>
      </c>
      <c r="DH89">
        <f t="shared" si="23"/>
        <v>0</v>
      </c>
      <c r="DI89">
        <f t="shared" si="24"/>
        <v>0</v>
      </c>
      <c r="DJ89">
        <f>DF89</f>
        <v>12.03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ROW(Source!A205)</f>
        <v>205</v>
      </c>
      <c r="B90">
        <v>75700856</v>
      </c>
      <c r="C90">
        <v>75701447</v>
      </c>
      <c r="D90">
        <v>75397345</v>
      </c>
      <c r="E90">
        <v>1</v>
      </c>
      <c r="F90">
        <v>1</v>
      </c>
      <c r="G90">
        <v>39</v>
      </c>
      <c r="H90">
        <v>3</v>
      </c>
      <c r="I90" t="s">
        <v>226</v>
      </c>
      <c r="J90" t="s">
        <v>228</v>
      </c>
      <c r="K90" t="s">
        <v>227</v>
      </c>
      <c r="L90">
        <v>1354</v>
      </c>
      <c r="N90">
        <v>1010</v>
      </c>
      <c r="O90" t="s">
        <v>171</v>
      </c>
      <c r="P90" t="s">
        <v>171</v>
      </c>
      <c r="Q90">
        <v>1</v>
      </c>
      <c r="W90">
        <v>1</v>
      </c>
      <c r="X90">
        <v>118609747</v>
      </c>
      <c r="Y90">
        <f t="shared" si="18"/>
        <v>-100</v>
      </c>
      <c r="AA90">
        <v>287.24</v>
      </c>
      <c r="AB90">
        <v>0</v>
      </c>
      <c r="AC90">
        <v>0</v>
      </c>
      <c r="AD90">
        <v>0</v>
      </c>
      <c r="AE90">
        <v>287.24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0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-100</v>
      </c>
      <c r="AU90" t="s">
        <v>3</v>
      </c>
      <c r="AV90">
        <v>0</v>
      </c>
      <c r="AW90">
        <v>2</v>
      </c>
      <c r="AX90">
        <v>75702375</v>
      </c>
      <c r="AY90">
        <v>1</v>
      </c>
      <c r="AZ90">
        <v>6144</v>
      </c>
      <c r="BA90">
        <v>81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ROUND(Y90*Source!I205,9)</f>
        <v>-3</v>
      </c>
      <c r="CY90">
        <f>AA90</f>
        <v>287.24</v>
      </c>
      <c r="CZ90">
        <f>AE90</f>
        <v>287.24</v>
      </c>
      <c r="DA90">
        <f>AI90</f>
        <v>1</v>
      </c>
      <c r="DB90">
        <f t="shared" si="19"/>
        <v>-28724</v>
      </c>
      <c r="DC90">
        <f t="shared" si="20"/>
        <v>0</v>
      </c>
      <c r="DD90" t="s">
        <v>3</v>
      </c>
      <c r="DE90" t="s">
        <v>3</v>
      </c>
      <c r="DF90">
        <f t="shared" si="21"/>
        <v>-861.72</v>
      </c>
      <c r="DG90">
        <f t="shared" si="22"/>
        <v>0</v>
      </c>
      <c r="DH90">
        <f t="shared" si="23"/>
        <v>0</v>
      </c>
      <c r="DI90">
        <f t="shared" si="24"/>
        <v>0</v>
      </c>
      <c r="DJ90">
        <f>DF90</f>
        <v>-861.72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ROW(Source!A205)</f>
        <v>205</v>
      </c>
      <c r="B91">
        <v>75700856</v>
      </c>
      <c r="C91">
        <v>75701447</v>
      </c>
      <c r="D91">
        <v>75397369</v>
      </c>
      <c r="E91">
        <v>1</v>
      </c>
      <c r="F91">
        <v>1</v>
      </c>
      <c r="G91">
        <v>39</v>
      </c>
      <c r="H91">
        <v>3</v>
      </c>
      <c r="I91" t="s">
        <v>222</v>
      </c>
      <c r="J91" t="s">
        <v>224</v>
      </c>
      <c r="K91" t="s">
        <v>223</v>
      </c>
      <c r="L91">
        <v>1354</v>
      </c>
      <c r="N91">
        <v>1010</v>
      </c>
      <c r="O91" t="s">
        <v>171</v>
      </c>
      <c r="P91" t="s">
        <v>171</v>
      </c>
      <c r="Q91">
        <v>1</v>
      </c>
      <c r="W91">
        <v>0</v>
      </c>
      <c r="X91">
        <v>-1885415833</v>
      </c>
      <c r="Y91">
        <f t="shared" si="18"/>
        <v>100</v>
      </c>
      <c r="AA91">
        <v>776.22</v>
      </c>
      <c r="AB91">
        <v>0</v>
      </c>
      <c r="AC91">
        <v>0</v>
      </c>
      <c r="AD91">
        <v>0</v>
      </c>
      <c r="AE91">
        <v>776.22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 t="s">
        <v>3</v>
      </c>
      <c r="AT91">
        <v>100</v>
      </c>
      <c r="AU91" t="s">
        <v>3</v>
      </c>
      <c r="AV91">
        <v>0</v>
      </c>
      <c r="AW91">
        <v>1</v>
      </c>
      <c r="AX91">
        <v>-1</v>
      </c>
      <c r="AY91">
        <v>0</v>
      </c>
      <c r="AZ91">
        <v>0</v>
      </c>
      <c r="BA91" t="s">
        <v>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ROUND(Y91*Source!I205,9)</f>
        <v>3</v>
      </c>
      <c r="CY91">
        <f>AA91</f>
        <v>776.22</v>
      </c>
      <c r="CZ91">
        <f>AE91</f>
        <v>776.22</v>
      </c>
      <c r="DA91">
        <f>AI91</f>
        <v>1</v>
      </c>
      <c r="DB91">
        <f t="shared" si="19"/>
        <v>77622</v>
      </c>
      <c r="DC91">
        <f t="shared" si="20"/>
        <v>0</v>
      </c>
      <c r="DD91" t="s">
        <v>3</v>
      </c>
      <c r="DE91" t="s">
        <v>3</v>
      </c>
      <c r="DF91">
        <f t="shared" si="21"/>
        <v>2328.66</v>
      </c>
      <c r="DG91">
        <f t="shared" si="22"/>
        <v>0</v>
      </c>
      <c r="DH91">
        <f t="shared" si="23"/>
        <v>0</v>
      </c>
      <c r="DI91">
        <f t="shared" si="24"/>
        <v>0</v>
      </c>
      <c r="DJ91">
        <f>DF91</f>
        <v>2328.66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ROW(Source!A277)</f>
        <v>277</v>
      </c>
      <c r="B92">
        <v>75700856</v>
      </c>
      <c r="C92">
        <v>75701569</v>
      </c>
      <c r="D92">
        <v>75386788</v>
      </c>
      <c r="E92">
        <v>39</v>
      </c>
      <c r="F92">
        <v>1</v>
      </c>
      <c r="G92">
        <v>39</v>
      </c>
      <c r="H92">
        <v>1</v>
      </c>
      <c r="I92" t="s">
        <v>332</v>
      </c>
      <c r="J92" t="s">
        <v>3</v>
      </c>
      <c r="K92" t="s">
        <v>333</v>
      </c>
      <c r="L92">
        <v>1191</v>
      </c>
      <c r="N92">
        <v>1013</v>
      </c>
      <c r="O92" t="s">
        <v>334</v>
      </c>
      <c r="P92" t="s">
        <v>334</v>
      </c>
      <c r="Q92">
        <v>1</v>
      </c>
      <c r="W92">
        <v>0</v>
      </c>
      <c r="X92">
        <v>476480486</v>
      </c>
      <c r="Y92">
        <f t="shared" si="18"/>
        <v>3.13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3.13</v>
      </c>
      <c r="AU92" t="s">
        <v>3</v>
      </c>
      <c r="AV92">
        <v>1</v>
      </c>
      <c r="AW92">
        <v>2</v>
      </c>
      <c r="AX92">
        <v>75702376</v>
      </c>
      <c r="AY92">
        <v>1</v>
      </c>
      <c r="AZ92">
        <v>0</v>
      </c>
      <c r="BA92">
        <v>82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ROUND(AT92*Source!I277*AH92*AL92,2)</f>
        <v>0</v>
      </c>
      <c r="CV92">
        <f>ROUND(Y92*Source!I277,9)</f>
        <v>2.8170000000000001E-2</v>
      </c>
      <c r="CW92">
        <v>0</v>
      </c>
      <c r="CX92">
        <f>ROUND(Y92*Source!I277,9)</f>
        <v>2.8170000000000001E-2</v>
      </c>
      <c r="CY92">
        <f>AD92</f>
        <v>0</v>
      </c>
      <c r="CZ92">
        <f>AH92</f>
        <v>0</v>
      </c>
      <c r="DA92">
        <f>AL92</f>
        <v>1</v>
      </c>
      <c r="DB92">
        <f t="shared" si="19"/>
        <v>0</v>
      </c>
      <c r="DC92">
        <f t="shared" si="20"/>
        <v>0</v>
      </c>
      <c r="DD92" t="s">
        <v>3</v>
      </c>
      <c r="DE92" t="s">
        <v>3</v>
      </c>
      <c r="DF92">
        <f t="shared" si="21"/>
        <v>0</v>
      </c>
      <c r="DG92">
        <f t="shared" si="22"/>
        <v>0</v>
      </c>
      <c r="DH92">
        <f t="shared" si="23"/>
        <v>0</v>
      </c>
      <c r="DI92">
        <f t="shared" si="24"/>
        <v>0</v>
      </c>
      <c r="DJ92">
        <f>DI92</f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ROW(Source!A277)</f>
        <v>277</v>
      </c>
      <c r="B93">
        <v>75700856</v>
      </c>
      <c r="C93">
        <v>75701569</v>
      </c>
      <c r="D93">
        <v>75388550</v>
      </c>
      <c r="E93">
        <v>1</v>
      </c>
      <c r="F93">
        <v>1</v>
      </c>
      <c r="G93">
        <v>39</v>
      </c>
      <c r="H93">
        <v>2</v>
      </c>
      <c r="I93" t="s">
        <v>335</v>
      </c>
      <c r="J93" t="s">
        <v>336</v>
      </c>
      <c r="K93" t="s">
        <v>337</v>
      </c>
      <c r="L93">
        <v>1368</v>
      </c>
      <c r="N93">
        <v>1011</v>
      </c>
      <c r="O93" t="s">
        <v>338</v>
      </c>
      <c r="P93" t="s">
        <v>338</v>
      </c>
      <c r="Q93">
        <v>1</v>
      </c>
      <c r="W93">
        <v>0</v>
      </c>
      <c r="X93">
        <v>-247555338</v>
      </c>
      <c r="Y93">
        <f t="shared" si="18"/>
        <v>1</v>
      </c>
      <c r="AA93">
        <v>0</v>
      </c>
      <c r="AB93">
        <v>7.44</v>
      </c>
      <c r="AC93">
        <v>0.01</v>
      </c>
      <c r="AD93">
        <v>0</v>
      </c>
      <c r="AE93">
        <v>0</v>
      </c>
      <c r="AF93">
        <v>7.44</v>
      </c>
      <c r="AG93">
        <v>0.01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1</v>
      </c>
      <c r="AU93" t="s">
        <v>3</v>
      </c>
      <c r="AV93">
        <v>0</v>
      </c>
      <c r="AW93">
        <v>2</v>
      </c>
      <c r="AX93">
        <v>75702377</v>
      </c>
      <c r="AY93">
        <v>1</v>
      </c>
      <c r="AZ93">
        <v>0</v>
      </c>
      <c r="BA93">
        <v>83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ROUND(Y93*Source!I277*DO93,9)</f>
        <v>0</v>
      </c>
      <c r="CX93">
        <f>ROUND(Y93*Source!I277,9)</f>
        <v>8.9999999999999993E-3</v>
      </c>
      <c r="CY93">
        <f>AB93</f>
        <v>7.44</v>
      </c>
      <c r="CZ93">
        <f>AF93</f>
        <v>7.44</v>
      </c>
      <c r="DA93">
        <f>AJ93</f>
        <v>1</v>
      </c>
      <c r="DB93">
        <f t="shared" si="19"/>
        <v>7.44</v>
      </c>
      <c r="DC93">
        <f t="shared" si="20"/>
        <v>0.01</v>
      </c>
      <c r="DD93" t="s">
        <v>3</v>
      </c>
      <c r="DE93" t="s">
        <v>3</v>
      </c>
      <c r="DF93">
        <f t="shared" si="21"/>
        <v>0</v>
      </c>
      <c r="DG93">
        <f t="shared" si="22"/>
        <v>7.0000000000000007E-2</v>
      </c>
      <c r="DH93">
        <f t="shared" si="23"/>
        <v>0</v>
      </c>
      <c r="DI93">
        <f t="shared" si="24"/>
        <v>0</v>
      </c>
      <c r="DJ93">
        <f>DG93</f>
        <v>7.0000000000000007E-2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ROW(Source!A278)</f>
        <v>278</v>
      </c>
      <c r="B94">
        <v>75700856</v>
      </c>
      <c r="C94">
        <v>75701574</v>
      </c>
      <c r="D94">
        <v>75386788</v>
      </c>
      <c r="E94">
        <v>39</v>
      </c>
      <c r="F94">
        <v>1</v>
      </c>
      <c r="G94">
        <v>39</v>
      </c>
      <c r="H94">
        <v>1</v>
      </c>
      <c r="I94" t="s">
        <v>332</v>
      </c>
      <c r="J94" t="s">
        <v>3</v>
      </c>
      <c r="K94" t="s">
        <v>333</v>
      </c>
      <c r="L94">
        <v>1191</v>
      </c>
      <c r="N94">
        <v>1013</v>
      </c>
      <c r="O94" t="s">
        <v>334</v>
      </c>
      <c r="P94" t="s">
        <v>334</v>
      </c>
      <c r="Q94">
        <v>1</v>
      </c>
      <c r="W94">
        <v>0</v>
      </c>
      <c r="X94">
        <v>476480486</v>
      </c>
      <c r="Y94">
        <f t="shared" si="18"/>
        <v>3.77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3.77</v>
      </c>
      <c r="AU94" t="s">
        <v>3</v>
      </c>
      <c r="AV94">
        <v>1</v>
      </c>
      <c r="AW94">
        <v>2</v>
      </c>
      <c r="AX94">
        <v>75702378</v>
      </c>
      <c r="AY94">
        <v>1</v>
      </c>
      <c r="AZ94">
        <v>0</v>
      </c>
      <c r="BA94">
        <v>84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ROUND(AT94*Source!I278*AH94*AL94,2)</f>
        <v>0</v>
      </c>
      <c r="CV94">
        <f>ROUND(Y94*Source!I278,9)</f>
        <v>1.1668149999999999</v>
      </c>
      <c r="CW94">
        <v>0</v>
      </c>
      <c r="CX94">
        <f>ROUND(Y94*Source!I278,9)</f>
        <v>1.1668149999999999</v>
      </c>
      <c r="CY94">
        <f>AD94</f>
        <v>0</v>
      </c>
      <c r="CZ94">
        <f>AH94</f>
        <v>0</v>
      </c>
      <c r="DA94">
        <f>AL94</f>
        <v>1</v>
      </c>
      <c r="DB94">
        <f t="shared" si="19"/>
        <v>0</v>
      </c>
      <c r="DC94">
        <f t="shared" si="20"/>
        <v>0</v>
      </c>
      <c r="DD94" t="s">
        <v>3</v>
      </c>
      <c r="DE94" t="s">
        <v>3</v>
      </c>
      <c r="DF94">
        <f t="shared" si="21"/>
        <v>0</v>
      </c>
      <c r="DG94">
        <f t="shared" si="22"/>
        <v>0</v>
      </c>
      <c r="DH94">
        <f t="shared" si="23"/>
        <v>0</v>
      </c>
      <c r="DI94">
        <f t="shared" si="24"/>
        <v>0</v>
      </c>
      <c r="DJ94">
        <f>DI94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ROW(Source!A278)</f>
        <v>278</v>
      </c>
      <c r="B95">
        <v>75700856</v>
      </c>
      <c r="C95">
        <v>75701574</v>
      </c>
      <c r="D95">
        <v>75386789</v>
      </c>
      <c r="E95">
        <v>39</v>
      </c>
      <c r="F95">
        <v>1</v>
      </c>
      <c r="G95">
        <v>39</v>
      </c>
      <c r="H95">
        <v>3</v>
      </c>
      <c r="I95" t="s">
        <v>339</v>
      </c>
      <c r="J95" t="s">
        <v>3</v>
      </c>
      <c r="K95" t="s">
        <v>340</v>
      </c>
      <c r="L95">
        <v>1348</v>
      </c>
      <c r="N95">
        <v>1009</v>
      </c>
      <c r="O95" t="s">
        <v>68</v>
      </c>
      <c r="P95" t="s">
        <v>68</v>
      </c>
      <c r="Q95">
        <v>1000</v>
      </c>
      <c r="W95">
        <v>0</v>
      </c>
      <c r="X95">
        <v>1489638031</v>
      </c>
      <c r="Y95">
        <f t="shared" si="18"/>
        <v>0.11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0.11</v>
      </c>
      <c r="AU95" t="s">
        <v>3</v>
      </c>
      <c r="AV95">
        <v>0</v>
      </c>
      <c r="AW95">
        <v>2</v>
      </c>
      <c r="AX95">
        <v>75702379</v>
      </c>
      <c r="AY95">
        <v>1</v>
      </c>
      <c r="AZ95">
        <v>0</v>
      </c>
      <c r="BA95">
        <v>85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ROUND(Y95*Source!I278,9)</f>
        <v>3.4044999999999999E-2</v>
      </c>
      <c r="CY95">
        <f>AA95</f>
        <v>0</v>
      </c>
      <c r="CZ95">
        <f>AE95</f>
        <v>0</v>
      </c>
      <c r="DA95">
        <f>AI95</f>
        <v>1</v>
      </c>
      <c r="DB95">
        <f t="shared" si="19"/>
        <v>0</v>
      </c>
      <c r="DC95">
        <f t="shared" si="20"/>
        <v>0</v>
      </c>
      <c r="DD95" t="s">
        <v>3</v>
      </c>
      <c r="DE95" t="s">
        <v>3</v>
      </c>
      <c r="DF95">
        <f t="shared" si="21"/>
        <v>0</v>
      </c>
      <c r="DG95">
        <f t="shared" si="22"/>
        <v>0</v>
      </c>
      <c r="DH95">
        <f t="shared" si="23"/>
        <v>0</v>
      </c>
      <c r="DI95">
        <f t="shared" si="24"/>
        <v>0</v>
      </c>
      <c r="DJ95">
        <f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ROW(Source!A279)</f>
        <v>279</v>
      </c>
      <c r="B96">
        <v>75700856</v>
      </c>
      <c r="C96">
        <v>75701579</v>
      </c>
      <c r="D96">
        <v>75386788</v>
      </c>
      <c r="E96">
        <v>39</v>
      </c>
      <c r="F96">
        <v>1</v>
      </c>
      <c r="G96">
        <v>39</v>
      </c>
      <c r="H96">
        <v>1</v>
      </c>
      <c r="I96" t="s">
        <v>332</v>
      </c>
      <c r="J96" t="s">
        <v>3</v>
      </c>
      <c r="K96" t="s">
        <v>333</v>
      </c>
      <c r="L96">
        <v>1191</v>
      </c>
      <c r="N96">
        <v>1013</v>
      </c>
      <c r="O96" t="s">
        <v>334</v>
      </c>
      <c r="P96" t="s">
        <v>334</v>
      </c>
      <c r="Q96">
        <v>1</v>
      </c>
      <c r="W96">
        <v>0</v>
      </c>
      <c r="X96">
        <v>476480486</v>
      </c>
      <c r="Y96">
        <f t="shared" si="18"/>
        <v>8.8000000000000007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8.8000000000000007</v>
      </c>
      <c r="AU96" t="s">
        <v>3</v>
      </c>
      <c r="AV96">
        <v>1</v>
      </c>
      <c r="AW96">
        <v>2</v>
      </c>
      <c r="AX96">
        <v>75702380</v>
      </c>
      <c r="AY96">
        <v>1</v>
      </c>
      <c r="AZ96">
        <v>0</v>
      </c>
      <c r="BA96">
        <v>86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U96">
        <f>ROUND(AT96*Source!I279*AH96*AL96,2)</f>
        <v>0</v>
      </c>
      <c r="CV96">
        <f>ROUND(Y96*Source!I279,9)</f>
        <v>2.7719999999999998</v>
      </c>
      <c r="CW96">
        <v>0</v>
      </c>
      <c r="CX96">
        <f>ROUND(Y96*Source!I279,9)</f>
        <v>2.7719999999999998</v>
      </c>
      <c r="CY96">
        <f>AD96</f>
        <v>0</v>
      </c>
      <c r="CZ96">
        <f>AH96</f>
        <v>0</v>
      </c>
      <c r="DA96">
        <f>AL96</f>
        <v>1</v>
      </c>
      <c r="DB96">
        <f t="shared" si="19"/>
        <v>0</v>
      </c>
      <c r="DC96">
        <f t="shared" si="20"/>
        <v>0</v>
      </c>
      <c r="DD96" t="s">
        <v>3</v>
      </c>
      <c r="DE96" t="s">
        <v>3</v>
      </c>
      <c r="DF96">
        <f t="shared" si="21"/>
        <v>0</v>
      </c>
      <c r="DG96">
        <f t="shared" si="22"/>
        <v>0</v>
      </c>
      <c r="DH96">
        <f t="shared" si="23"/>
        <v>0</v>
      </c>
      <c r="DI96">
        <f t="shared" si="24"/>
        <v>0</v>
      </c>
      <c r="DJ96">
        <f>DI96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ROW(Source!A279)</f>
        <v>279</v>
      </c>
      <c r="B97">
        <v>75700856</v>
      </c>
      <c r="C97">
        <v>75701579</v>
      </c>
      <c r="D97">
        <v>75389672</v>
      </c>
      <c r="E97">
        <v>1</v>
      </c>
      <c r="F97">
        <v>1</v>
      </c>
      <c r="G97">
        <v>39</v>
      </c>
      <c r="H97">
        <v>3</v>
      </c>
      <c r="I97" t="s">
        <v>381</v>
      </c>
      <c r="J97" t="s">
        <v>382</v>
      </c>
      <c r="K97" t="s">
        <v>383</v>
      </c>
      <c r="L97">
        <v>1348</v>
      </c>
      <c r="N97">
        <v>1009</v>
      </c>
      <c r="O97" t="s">
        <v>68</v>
      </c>
      <c r="P97" t="s">
        <v>68</v>
      </c>
      <c r="Q97">
        <v>1000</v>
      </c>
      <c r="W97">
        <v>0</v>
      </c>
      <c r="X97">
        <v>-799169102</v>
      </c>
      <c r="Y97">
        <f t="shared" ref="Y97:Y128" si="25">AT97</f>
        <v>4.2000000000000002E-4</v>
      </c>
      <c r="AA97">
        <v>95976.83</v>
      </c>
      <c r="AB97">
        <v>0</v>
      </c>
      <c r="AC97">
        <v>0</v>
      </c>
      <c r="AD97">
        <v>0</v>
      </c>
      <c r="AE97">
        <v>95976.83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4.2000000000000002E-4</v>
      </c>
      <c r="AU97" t="s">
        <v>3</v>
      </c>
      <c r="AV97">
        <v>0</v>
      </c>
      <c r="AW97">
        <v>2</v>
      </c>
      <c r="AX97">
        <v>75702381</v>
      </c>
      <c r="AY97">
        <v>1</v>
      </c>
      <c r="AZ97">
        <v>0</v>
      </c>
      <c r="BA97">
        <v>87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ROUND(Y97*Source!I279,9)</f>
        <v>1.3229999999999999E-4</v>
      </c>
      <c r="CY97">
        <f>AA97</f>
        <v>95976.83</v>
      </c>
      <c r="CZ97">
        <f>AE97</f>
        <v>95976.83</v>
      </c>
      <c r="DA97">
        <f>AI97</f>
        <v>1</v>
      </c>
      <c r="DB97">
        <f t="shared" ref="DB97:DB128" si="26">ROUND(ROUND(AT97*CZ97,2),6)</f>
        <v>40.31</v>
      </c>
      <c r="DC97">
        <f t="shared" ref="DC97:DC128" si="27">ROUND(ROUND(AT97*AG97,2),6)</f>
        <v>0</v>
      </c>
      <c r="DD97" t="s">
        <v>3</v>
      </c>
      <c r="DE97" t="s">
        <v>3</v>
      </c>
      <c r="DF97">
        <f t="shared" si="21"/>
        <v>12.7</v>
      </c>
      <c r="DG97">
        <f t="shared" si="22"/>
        <v>0</v>
      </c>
      <c r="DH97">
        <f t="shared" si="23"/>
        <v>0</v>
      </c>
      <c r="DI97">
        <f t="shared" si="24"/>
        <v>0</v>
      </c>
      <c r="DJ97">
        <f>DF97</f>
        <v>12.7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ROW(Source!A279)</f>
        <v>279</v>
      </c>
      <c r="B98">
        <v>75700856</v>
      </c>
      <c r="C98">
        <v>75701579</v>
      </c>
      <c r="D98">
        <v>75393932</v>
      </c>
      <c r="E98">
        <v>1</v>
      </c>
      <c r="F98">
        <v>1</v>
      </c>
      <c r="G98">
        <v>39</v>
      </c>
      <c r="H98">
        <v>3</v>
      </c>
      <c r="I98" t="s">
        <v>53</v>
      </c>
      <c r="J98" t="s">
        <v>55</v>
      </c>
      <c r="K98" t="s">
        <v>54</v>
      </c>
      <c r="L98">
        <v>1301</v>
      </c>
      <c r="N98">
        <v>1003</v>
      </c>
      <c r="O98" t="s">
        <v>49</v>
      </c>
      <c r="P98" t="s">
        <v>49</v>
      </c>
      <c r="Q98">
        <v>1</v>
      </c>
      <c r="W98">
        <v>1</v>
      </c>
      <c r="X98">
        <v>-621127235</v>
      </c>
      <c r="Y98">
        <f t="shared" si="25"/>
        <v>-105</v>
      </c>
      <c r="AA98">
        <v>37.29</v>
      </c>
      <c r="AB98">
        <v>0</v>
      </c>
      <c r="AC98">
        <v>0</v>
      </c>
      <c r="AD98">
        <v>0</v>
      </c>
      <c r="AE98">
        <v>37.29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0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-105</v>
      </c>
      <c r="AU98" t="s">
        <v>3</v>
      </c>
      <c r="AV98">
        <v>0</v>
      </c>
      <c r="AW98">
        <v>2</v>
      </c>
      <c r="AX98">
        <v>75702382</v>
      </c>
      <c r="AY98">
        <v>1</v>
      </c>
      <c r="AZ98">
        <v>6144</v>
      </c>
      <c r="BA98">
        <v>88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ROUND(Y98*Source!I279,9)</f>
        <v>-33.075000000000003</v>
      </c>
      <c r="CY98">
        <f>AA98</f>
        <v>37.29</v>
      </c>
      <c r="CZ98">
        <f>AE98</f>
        <v>37.29</v>
      </c>
      <c r="DA98">
        <f>AI98</f>
        <v>1</v>
      </c>
      <c r="DB98">
        <f t="shared" si="26"/>
        <v>-3915.45</v>
      </c>
      <c r="DC98">
        <f t="shared" si="27"/>
        <v>0</v>
      </c>
      <c r="DD98" t="s">
        <v>3</v>
      </c>
      <c r="DE98" t="s">
        <v>3</v>
      </c>
      <c r="DF98">
        <f t="shared" si="21"/>
        <v>-1233.3699999999999</v>
      </c>
      <c r="DG98">
        <f t="shared" si="22"/>
        <v>0</v>
      </c>
      <c r="DH98">
        <f t="shared" si="23"/>
        <v>0</v>
      </c>
      <c r="DI98">
        <f t="shared" si="24"/>
        <v>0</v>
      </c>
      <c r="DJ98">
        <f>DF98</f>
        <v>-1233.3699999999999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ROW(Source!A279)</f>
        <v>279</v>
      </c>
      <c r="B99">
        <v>75700856</v>
      </c>
      <c r="C99">
        <v>75701579</v>
      </c>
      <c r="D99">
        <v>0</v>
      </c>
      <c r="E99">
        <v>39</v>
      </c>
      <c r="F99">
        <v>1</v>
      </c>
      <c r="G99">
        <v>39</v>
      </c>
      <c r="H99">
        <v>3</v>
      </c>
      <c r="I99" t="s">
        <v>47</v>
      </c>
      <c r="J99" t="s">
        <v>3</v>
      </c>
      <c r="K99" t="s">
        <v>48</v>
      </c>
      <c r="L99">
        <v>1301</v>
      </c>
      <c r="N99">
        <v>1003</v>
      </c>
      <c r="O99" t="s">
        <v>49</v>
      </c>
      <c r="P99" t="s">
        <v>49</v>
      </c>
      <c r="Q99">
        <v>1</v>
      </c>
      <c r="W99">
        <v>0</v>
      </c>
      <c r="X99">
        <v>1643166817</v>
      </c>
      <c r="Y99">
        <f t="shared" si="25"/>
        <v>105</v>
      </c>
      <c r="AA99">
        <v>87.13</v>
      </c>
      <c r="AB99">
        <v>0</v>
      </c>
      <c r="AC99">
        <v>0</v>
      </c>
      <c r="AD99">
        <v>0</v>
      </c>
      <c r="AE99">
        <v>87.13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0</v>
      </c>
      <c r="AN99">
        <v>0</v>
      </c>
      <c r="AO99">
        <v>0</v>
      </c>
      <c r="AP99">
        <v>1</v>
      </c>
      <c r="AQ99">
        <v>0</v>
      </c>
      <c r="AR99">
        <v>0</v>
      </c>
      <c r="AS99" t="s">
        <v>3</v>
      </c>
      <c r="AT99">
        <v>105</v>
      </c>
      <c r="AU99" t="s">
        <v>3</v>
      </c>
      <c r="AV99">
        <v>0</v>
      </c>
      <c r="AW99">
        <v>1</v>
      </c>
      <c r="AX99">
        <v>-1</v>
      </c>
      <c r="AY99">
        <v>0</v>
      </c>
      <c r="AZ99">
        <v>0</v>
      </c>
      <c r="BA99" t="s">
        <v>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ROUND(Y99*Source!I279,9)</f>
        <v>33.075000000000003</v>
      </c>
      <c r="CY99">
        <f>AA99</f>
        <v>87.13</v>
      </c>
      <c r="CZ99">
        <f>AE99</f>
        <v>87.13</v>
      </c>
      <c r="DA99">
        <f>AI99</f>
        <v>1</v>
      </c>
      <c r="DB99">
        <f t="shared" si="26"/>
        <v>9148.65</v>
      </c>
      <c r="DC99">
        <f t="shared" si="27"/>
        <v>0</v>
      </c>
      <c r="DD99" t="s">
        <v>3</v>
      </c>
      <c r="DE99" t="s">
        <v>3</v>
      </c>
      <c r="DF99">
        <f t="shared" si="21"/>
        <v>2881.82</v>
      </c>
      <c r="DG99">
        <f t="shared" si="22"/>
        <v>0</v>
      </c>
      <c r="DH99">
        <f t="shared" si="23"/>
        <v>0</v>
      </c>
      <c r="DI99">
        <f t="shared" si="24"/>
        <v>0</v>
      </c>
      <c r="DJ99">
        <f>DF99</f>
        <v>2881.82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ROW(Source!A282)</f>
        <v>282</v>
      </c>
      <c r="B100">
        <v>75700856</v>
      </c>
      <c r="C100">
        <v>75701589</v>
      </c>
      <c r="D100">
        <v>75386788</v>
      </c>
      <c r="E100">
        <v>39</v>
      </c>
      <c r="F100">
        <v>1</v>
      </c>
      <c r="G100">
        <v>39</v>
      </c>
      <c r="H100">
        <v>1</v>
      </c>
      <c r="I100" t="s">
        <v>332</v>
      </c>
      <c r="J100" t="s">
        <v>3</v>
      </c>
      <c r="K100" t="s">
        <v>333</v>
      </c>
      <c r="L100">
        <v>1191</v>
      </c>
      <c r="N100">
        <v>1013</v>
      </c>
      <c r="O100" t="s">
        <v>334</v>
      </c>
      <c r="P100" t="s">
        <v>334</v>
      </c>
      <c r="Q100">
        <v>1</v>
      </c>
      <c r="W100">
        <v>0</v>
      </c>
      <c r="X100">
        <v>476480486</v>
      </c>
      <c r="Y100">
        <f t="shared" si="25"/>
        <v>12.88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12.88</v>
      </c>
      <c r="AU100" t="s">
        <v>3</v>
      </c>
      <c r="AV100">
        <v>1</v>
      </c>
      <c r="AW100">
        <v>2</v>
      </c>
      <c r="AX100">
        <v>75702383</v>
      </c>
      <c r="AY100">
        <v>1</v>
      </c>
      <c r="AZ100">
        <v>0</v>
      </c>
      <c r="BA100">
        <v>89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ROUND(AT100*Source!I282*AH100*AL100,2)</f>
        <v>0</v>
      </c>
      <c r="CV100">
        <f>ROUND(Y100*Source!I282,9)</f>
        <v>0.20350399999999999</v>
      </c>
      <c r="CW100">
        <v>0</v>
      </c>
      <c r="CX100">
        <f>ROUND(Y100*Source!I282,9)</f>
        <v>0.20350399999999999</v>
      </c>
      <c r="CY100">
        <f>AD100</f>
        <v>0</v>
      </c>
      <c r="CZ100">
        <f>AH100</f>
        <v>0</v>
      </c>
      <c r="DA100">
        <f>AL100</f>
        <v>1</v>
      </c>
      <c r="DB100">
        <f t="shared" si="26"/>
        <v>0</v>
      </c>
      <c r="DC100">
        <f t="shared" si="27"/>
        <v>0</v>
      </c>
      <c r="DD100" t="s">
        <v>3</v>
      </c>
      <c r="DE100" t="s">
        <v>3</v>
      </c>
      <c r="DF100">
        <f t="shared" si="21"/>
        <v>0</v>
      </c>
      <c r="DG100">
        <f t="shared" si="22"/>
        <v>0</v>
      </c>
      <c r="DH100">
        <f t="shared" si="23"/>
        <v>0</v>
      </c>
      <c r="DI100">
        <f t="shared" si="24"/>
        <v>0</v>
      </c>
      <c r="DJ100">
        <f>DI100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ROW(Source!A282)</f>
        <v>282</v>
      </c>
      <c r="B101">
        <v>75700856</v>
      </c>
      <c r="C101">
        <v>75701589</v>
      </c>
      <c r="D101">
        <v>75389061</v>
      </c>
      <c r="E101">
        <v>1</v>
      </c>
      <c r="F101">
        <v>1</v>
      </c>
      <c r="G101">
        <v>39</v>
      </c>
      <c r="H101">
        <v>3</v>
      </c>
      <c r="I101" t="s">
        <v>66</v>
      </c>
      <c r="J101" t="s">
        <v>69</v>
      </c>
      <c r="K101" t="s">
        <v>67</v>
      </c>
      <c r="L101">
        <v>1348</v>
      </c>
      <c r="N101">
        <v>1009</v>
      </c>
      <c r="O101" t="s">
        <v>68</v>
      </c>
      <c r="P101" t="s">
        <v>68</v>
      </c>
      <c r="Q101">
        <v>1000</v>
      </c>
      <c r="W101">
        <v>1</v>
      </c>
      <c r="X101">
        <v>-1906236598</v>
      </c>
      <c r="Y101">
        <f t="shared" si="25"/>
        <v>-2.0799999999999999E-2</v>
      </c>
      <c r="AA101">
        <v>247397.04</v>
      </c>
      <c r="AB101">
        <v>0</v>
      </c>
      <c r="AC101">
        <v>0</v>
      </c>
      <c r="AD101">
        <v>0</v>
      </c>
      <c r="AE101">
        <v>247397.04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0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-2.0799999999999999E-2</v>
      </c>
      <c r="AU101" t="s">
        <v>3</v>
      </c>
      <c r="AV101">
        <v>0</v>
      </c>
      <c r="AW101">
        <v>2</v>
      </c>
      <c r="AX101">
        <v>75702384</v>
      </c>
      <c r="AY101">
        <v>1</v>
      </c>
      <c r="AZ101">
        <v>6144</v>
      </c>
      <c r="BA101">
        <v>90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ROUND(Y101*Source!I282,9)</f>
        <v>-3.2864E-4</v>
      </c>
      <c r="CY101">
        <f>AA101</f>
        <v>247397.04</v>
      </c>
      <c r="CZ101">
        <f>AE101</f>
        <v>247397.04</v>
      </c>
      <c r="DA101">
        <f>AI101</f>
        <v>1</v>
      </c>
      <c r="DB101">
        <f t="shared" si="26"/>
        <v>-5145.8599999999997</v>
      </c>
      <c r="DC101">
        <f t="shared" si="27"/>
        <v>0</v>
      </c>
      <c r="DD101" t="s">
        <v>3</v>
      </c>
      <c r="DE101" t="s">
        <v>3</v>
      </c>
      <c r="DF101">
        <f t="shared" si="21"/>
        <v>-81.3</v>
      </c>
      <c r="DG101">
        <f t="shared" si="22"/>
        <v>0</v>
      </c>
      <c r="DH101">
        <f t="shared" si="23"/>
        <v>0</v>
      </c>
      <c r="DI101">
        <f t="shared" si="24"/>
        <v>0</v>
      </c>
      <c r="DJ101">
        <f>DF101</f>
        <v>-81.3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ROW(Source!A282)</f>
        <v>282</v>
      </c>
      <c r="B102">
        <v>75700856</v>
      </c>
      <c r="C102">
        <v>75701589</v>
      </c>
      <c r="D102">
        <v>75389228</v>
      </c>
      <c r="E102">
        <v>1</v>
      </c>
      <c r="F102">
        <v>1</v>
      </c>
      <c r="G102">
        <v>39</v>
      </c>
      <c r="H102">
        <v>3</v>
      </c>
      <c r="I102" t="s">
        <v>61</v>
      </c>
      <c r="J102" t="s">
        <v>64</v>
      </c>
      <c r="K102" t="s">
        <v>62</v>
      </c>
      <c r="L102">
        <v>1346</v>
      </c>
      <c r="N102">
        <v>1009</v>
      </c>
      <c r="O102" t="s">
        <v>63</v>
      </c>
      <c r="P102" t="s">
        <v>63</v>
      </c>
      <c r="Q102">
        <v>1</v>
      </c>
      <c r="W102">
        <v>0</v>
      </c>
      <c r="X102">
        <v>1429785642</v>
      </c>
      <c r="Y102">
        <f t="shared" si="25"/>
        <v>25</v>
      </c>
      <c r="AA102">
        <v>309.42</v>
      </c>
      <c r="AB102">
        <v>0</v>
      </c>
      <c r="AC102">
        <v>0</v>
      </c>
      <c r="AD102">
        <v>0</v>
      </c>
      <c r="AE102">
        <v>309.42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>
        <v>1</v>
      </c>
      <c r="AQ102">
        <v>0</v>
      </c>
      <c r="AR102">
        <v>0</v>
      </c>
      <c r="AS102" t="s">
        <v>3</v>
      </c>
      <c r="AT102">
        <v>25</v>
      </c>
      <c r="AU102" t="s">
        <v>3</v>
      </c>
      <c r="AV102">
        <v>0</v>
      </c>
      <c r="AW102">
        <v>1</v>
      </c>
      <c r="AX102">
        <v>-1</v>
      </c>
      <c r="AY102">
        <v>0</v>
      </c>
      <c r="AZ102">
        <v>0</v>
      </c>
      <c r="BA102" t="s">
        <v>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ROUND(Y102*Source!I282,9)</f>
        <v>0.39500000000000002</v>
      </c>
      <c r="CY102">
        <f>AA102</f>
        <v>309.42</v>
      </c>
      <c r="CZ102">
        <f>AE102</f>
        <v>309.42</v>
      </c>
      <c r="DA102">
        <f>AI102</f>
        <v>1</v>
      </c>
      <c r="DB102">
        <f t="shared" si="26"/>
        <v>7735.5</v>
      </c>
      <c r="DC102">
        <f t="shared" si="27"/>
        <v>0</v>
      </c>
      <c r="DD102" t="s">
        <v>3</v>
      </c>
      <c r="DE102" t="s">
        <v>3</v>
      </c>
      <c r="DF102">
        <f t="shared" si="21"/>
        <v>122.22</v>
      </c>
      <c r="DG102">
        <f t="shared" si="22"/>
        <v>0</v>
      </c>
      <c r="DH102">
        <f t="shared" si="23"/>
        <v>0</v>
      </c>
      <c r="DI102">
        <f t="shared" si="24"/>
        <v>0</v>
      </c>
      <c r="DJ102">
        <f>DF102</f>
        <v>122.22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ROW(Source!A285)</f>
        <v>285</v>
      </c>
      <c r="B103">
        <v>75700856</v>
      </c>
      <c r="C103">
        <v>75701597</v>
      </c>
      <c r="D103">
        <v>75386788</v>
      </c>
      <c r="E103">
        <v>39</v>
      </c>
      <c r="F103">
        <v>1</v>
      </c>
      <c r="G103">
        <v>39</v>
      </c>
      <c r="H103">
        <v>1</v>
      </c>
      <c r="I103" t="s">
        <v>332</v>
      </c>
      <c r="J103" t="s">
        <v>3</v>
      </c>
      <c r="K103" t="s">
        <v>333</v>
      </c>
      <c r="L103">
        <v>1191</v>
      </c>
      <c r="N103">
        <v>1013</v>
      </c>
      <c r="O103" t="s">
        <v>334</v>
      </c>
      <c r="P103" t="s">
        <v>334</v>
      </c>
      <c r="Q103">
        <v>1</v>
      </c>
      <c r="W103">
        <v>0</v>
      </c>
      <c r="X103">
        <v>476480486</v>
      </c>
      <c r="Y103">
        <f t="shared" si="25"/>
        <v>19.14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19.14</v>
      </c>
      <c r="AU103" t="s">
        <v>3</v>
      </c>
      <c r="AV103">
        <v>1</v>
      </c>
      <c r="AW103">
        <v>2</v>
      </c>
      <c r="AX103">
        <v>75702385</v>
      </c>
      <c r="AY103">
        <v>1</v>
      </c>
      <c r="AZ103">
        <v>0</v>
      </c>
      <c r="BA103">
        <v>91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ROUND(AT103*Source!I285*AH103*AL103,2)</f>
        <v>0</v>
      </c>
      <c r="CV103">
        <f>ROUND(Y103*Source!I285,9)</f>
        <v>0.17226</v>
      </c>
      <c r="CW103">
        <v>0</v>
      </c>
      <c r="CX103">
        <f>ROUND(Y103*Source!I285,9)</f>
        <v>0.17226</v>
      </c>
      <c r="CY103">
        <f>AD103</f>
        <v>0</v>
      </c>
      <c r="CZ103">
        <f>AH103</f>
        <v>0</v>
      </c>
      <c r="DA103">
        <f>AL103</f>
        <v>1</v>
      </c>
      <c r="DB103">
        <f t="shared" si="26"/>
        <v>0</v>
      </c>
      <c r="DC103">
        <f t="shared" si="27"/>
        <v>0</v>
      </c>
      <c r="DD103" t="s">
        <v>3</v>
      </c>
      <c r="DE103" t="s">
        <v>3</v>
      </c>
      <c r="DF103">
        <f t="shared" si="21"/>
        <v>0</v>
      </c>
      <c r="DG103">
        <f t="shared" si="22"/>
        <v>0</v>
      </c>
      <c r="DH103">
        <f t="shared" si="23"/>
        <v>0</v>
      </c>
      <c r="DI103">
        <f t="shared" si="24"/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ROW(Source!A285)</f>
        <v>285</v>
      </c>
      <c r="B104">
        <v>75700856</v>
      </c>
      <c r="C104">
        <v>75701597</v>
      </c>
      <c r="D104">
        <v>75388585</v>
      </c>
      <c r="E104">
        <v>1</v>
      </c>
      <c r="F104">
        <v>1</v>
      </c>
      <c r="G104">
        <v>39</v>
      </c>
      <c r="H104">
        <v>2</v>
      </c>
      <c r="I104" t="s">
        <v>384</v>
      </c>
      <c r="J104" t="s">
        <v>385</v>
      </c>
      <c r="K104" t="s">
        <v>386</v>
      </c>
      <c r="L104">
        <v>1368</v>
      </c>
      <c r="N104">
        <v>1011</v>
      </c>
      <c r="O104" t="s">
        <v>338</v>
      </c>
      <c r="P104" t="s">
        <v>338</v>
      </c>
      <c r="Q104">
        <v>1</v>
      </c>
      <c r="W104">
        <v>0</v>
      </c>
      <c r="X104">
        <v>1989376342</v>
      </c>
      <c r="Y104">
        <f t="shared" si="25"/>
        <v>5.36</v>
      </c>
      <c r="AA104">
        <v>0</v>
      </c>
      <c r="AB104">
        <v>6.13</v>
      </c>
      <c r="AC104">
        <v>1.91</v>
      </c>
      <c r="AD104">
        <v>0</v>
      </c>
      <c r="AE104">
        <v>0</v>
      </c>
      <c r="AF104">
        <v>6.13</v>
      </c>
      <c r="AG104">
        <v>1.91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5.36</v>
      </c>
      <c r="AU104" t="s">
        <v>3</v>
      </c>
      <c r="AV104">
        <v>0</v>
      </c>
      <c r="AW104">
        <v>2</v>
      </c>
      <c r="AX104">
        <v>75702386</v>
      </c>
      <c r="AY104">
        <v>1</v>
      </c>
      <c r="AZ104">
        <v>0</v>
      </c>
      <c r="BA104">
        <v>92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f>ROUND(Y104*Source!I285*DO104,9)</f>
        <v>0</v>
      </c>
      <c r="CX104">
        <f>ROUND(Y104*Source!I285,9)</f>
        <v>4.8239999999999998E-2</v>
      </c>
      <c r="CY104">
        <f>AB104</f>
        <v>6.13</v>
      </c>
      <c r="CZ104">
        <f>AF104</f>
        <v>6.13</v>
      </c>
      <c r="DA104">
        <f>AJ104</f>
        <v>1</v>
      </c>
      <c r="DB104">
        <f t="shared" si="26"/>
        <v>32.86</v>
      </c>
      <c r="DC104">
        <f t="shared" si="27"/>
        <v>10.24</v>
      </c>
      <c r="DD104" t="s">
        <v>3</v>
      </c>
      <c r="DE104" t="s">
        <v>3</v>
      </c>
      <c r="DF104">
        <f t="shared" si="21"/>
        <v>0</v>
      </c>
      <c r="DG104">
        <f t="shared" si="22"/>
        <v>0.3</v>
      </c>
      <c r="DH104">
        <f t="shared" si="23"/>
        <v>0.09</v>
      </c>
      <c r="DI104">
        <f t="shared" si="24"/>
        <v>0</v>
      </c>
      <c r="DJ104">
        <f>DG104</f>
        <v>0.3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ROW(Source!A285)</f>
        <v>285</v>
      </c>
      <c r="B105">
        <v>75700856</v>
      </c>
      <c r="C105">
        <v>75701597</v>
      </c>
      <c r="D105">
        <v>75388528</v>
      </c>
      <c r="E105">
        <v>1</v>
      </c>
      <c r="F105">
        <v>1</v>
      </c>
      <c r="G105">
        <v>39</v>
      </c>
      <c r="H105">
        <v>2</v>
      </c>
      <c r="I105" t="s">
        <v>387</v>
      </c>
      <c r="J105" t="s">
        <v>388</v>
      </c>
      <c r="K105" t="s">
        <v>389</v>
      </c>
      <c r="L105">
        <v>1368</v>
      </c>
      <c r="N105">
        <v>1011</v>
      </c>
      <c r="O105" t="s">
        <v>338</v>
      </c>
      <c r="P105" t="s">
        <v>338</v>
      </c>
      <c r="Q105">
        <v>1</v>
      </c>
      <c r="W105">
        <v>0</v>
      </c>
      <c r="X105">
        <v>-156276122</v>
      </c>
      <c r="Y105">
        <f t="shared" si="25"/>
        <v>0.45</v>
      </c>
      <c r="AA105">
        <v>0</v>
      </c>
      <c r="AB105">
        <v>6.09</v>
      </c>
      <c r="AC105">
        <v>0.01</v>
      </c>
      <c r="AD105">
        <v>0</v>
      </c>
      <c r="AE105">
        <v>0</v>
      </c>
      <c r="AF105">
        <v>6.09</v>
      </c>
      <c r="AG105">
        <v>0.01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0.45</v>
      </c>
      <c r="AU105" t="s">
        <v>3</v>
      </c>
      <c r="AV105">
        <v>0</v>
      </c>
      <c r="AW105">
        <v>2</v>
      </c>
      <c r="AX105">
        <v>75702387</v>
      </c>
      <c r="AY105">
        <v>1</v>
      </c>
      <c r="AZ105">
        <v>0</v>
      </c>
      <c r="BA105">
        <v>93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ROUND(Y105*Source!I285*DO105,9)</f>
        <v>0</v>
      </c>
      <c r="CX105">
        <f>ROUND(Y105*Source!I285,9)</f>
        <v>4.0499999999999998E-3</v>
      </c>
      <c r="CY105">
        <f>AB105</f>
        <v>6.09</v>
      </c>
      <c r="CZ105">
        <f>AF105</f>
        <v>6.09</v>
      </c>
      <c r="DA105">
        <f>AJ105</f>
        <v>1</v>
      </c>
      <c r="DB105">
        <f t="shared" si="26"/>
        <v>2.74</v>
      </c>
      <c r="DC105">
        <f t="shared" si="27"/>
        <v>0</v>
      </c>
      <c r="DD105" t="s">
        <v>3</v>
      </c>
      <c r="DE105" t="s">
        <v>3</v>
      </c>
      <c r="DF105">
        <f t="shared" si="21"/>
        <v>0</v>
      </c>
      <c r="DG105">
        <f t="shared" si="22"/>
        <v>0.02</v>
      </c>
      <c r="DH105">
        <f t="shared" si="23"/>
        <v>0</v>
      </c>
      <c r="DI105">
        <f t="shared" si="24"/>
        <v>0</v>
      </c>
      <c r="DJ105">
        <f>DG105</f>
        <v>0.02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ROW(Source!A285)</f>
        <v>285</v>
      </c>
      <c r="B106">
        <v>75700856</v>
      </c>
      <c r="C106">
        <v>75701597</v>
      </c>
      <c r="D106">
        <v>75388550</v>
      </c>
      <c r="E106">
        <v>1</v>
      </c>
      <c r="F106">
        <v>1</v>
      </c>
      <c r="G106">
        <v>39</v>
      </c>
      <c r="H106">
        <v>2</v>
      </c>
      <c r="I106" t="s">
        <v>335</v>
      </c>
      <c r="J106" t="s">
        <v>336</v>
      </c>
      <c r="K106" t="s">
        <v>337</v>
      </c>
      <c r="L106">
        <v>1368</v>
      </c>
      <c r="N106">
        <v>1011</v>
      </c>
      <c r="O106" t="s">
        <v>338</v>
      </c>
      <c r="P106" t="s">
        <v>338</v>
      </c>
      <c r="Q106">
        <v>1</v>
      </c>
      <c r="W106">
        <v>0</v>
      </c>
      <c r="X106">
        <v>-247555338</v>
      </c>
      <c r="Y106">
        <f t="shared" si="25"/>
        <v>7.3</v>
      </c>
      <c r="AA106">
        <v>0</v>
      </c>
      <c r="AB106">
        <v>7.44</v>
      </c>
      <c r="AC106">
        <v>0.01</v>
      </c>
      <c r="AD106">
        <v>0</v>
      </c>
      <c r="AE106">
        <v>0</v>
      </c>
      <c r="AF106">
        <v>7.44</v>
      </c>
      <c r="AG106">
        <v>0.01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7.3</v>
      </c>
      <c r="AU106" t="s">
        <v>3</v>
      </c>
      <c r="AV106">
        <v>0</v>
      </c>
      <c r="AW106">
        <v>2</v>
      </c>
      <c r="AX106">
        <v>75702388</v>
      </c>
      <c r="AY106">
        <v>1</v>
      </c>
      <c r="AZ106">
        <v>0</v>
      </c>
      <c r="BA106">
        <v>94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f>ROUND(Y106*Source!I285*DO106,9)</f>
        <v>0</v>
      </c>
      <c r="CX106">
        <f>ROUND(Y106*Source!I285,9)</f>
        <v>6.5699999999999995E-2</v>
      </c>
      <c r="CY106">
        <f>AB106</f>
        <v>7.44</v>
      </c>
      <c r="CZ106">
        <f>AF106</f>
        <v>7.44</v>
      </c>
      <c r="DA106">
        <f>AJ106</f>
        <v>1</v>
      </c>
      <c r="DB106">
        <f t="shared" si="26"/>
        <v>54.31</v>
      </c>
      <c r="DC106">
        <f t="shared" si="27"/>
        <v>7.0000000000000007E-2</v>
      </c>
      <c r="DD106" t="s">
        <v>3</v>
      </c>
      <c r="DE106" t="s">
        <v>3</v>
      </c>
      <c r="DF106">
        <f t="shared" si="21"/>
        <v>0</v>
      </c>
      <c r="DG106">
        <f t="shared" si="22"/>
        <v>0.49</v>
      </c>
      <c r="DH106">
        <f t="shared" si="23"/>
        <v>0</v>
      </c>
      <c r="DI106">
        <f t="shared" si="24"/>
        <v>0</v>
      </c>
      <c r="DJ106">
        <f>DG106</f>
        <v>0.49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ROW(Source!A285)</f>
        <v>285</v>
      </c>
      <c r="B107">
        <v>75700856</v>
      </c>
      <c r="C107">
        <v>75701597</v>
      </c>
      <c r="D107">
        <v>75389658</v>
      </c>
      <c r="E107">
        <v>1</v>
      </c>
      <c r="F107">
        <v>1</v>
      </c>
      <c r="G107">
        <v>39</v>
      </c>
      <c r="H107">
        <v>3</v>
      </c>
      <c r="I107" t="s">
        <v>390</v>
      </c>
      <c r="J107" t="s">
        <v>391</v>
      </c>
      <c r="K107" t="s">
        <v>392</v>
      </c>
      <c r="L107">
        <v>1346</v>
      </c>
      <c r="N107">
        <v>1009</v>
      </c>
      <c r="O107" t="s">
        <v>63</v>
      </c>
      <c r="P107" t="s">
        <v>63</v>
      </c>
      <c r="Q107">
        <v>1</v>
      </c>
      <c r="W107">
        <v>0</v>
      </c>
      <c r="X107">
        <v>25616993</v>
      </c>
      <c r="Y107">
        <f t="shared" si="25"/>
        <v>0.94</v>
      </c>
      <c r="AA107">
        <v>263.45</v>
      </c>
      <c r="AB107">
        <v>0</v>
      </c>
      <c r="AC107">
        <v>0</v>
      </c>
      <c r="AD107">
        <v>0</v>
      </c>
      <c r="AE107">
        <v>263.45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0.94</v>
      </c>
      <c r="AU107" t="s">
        <v>3</v>
      </c>
      <c r="AV107">
        <v>0</v>
      </c>
      <c r="AW107">
        <v>2</v>
      </c>
      <c r="AX107">
        <v>75702389</v>
      </c>
      <c r="AY107">
        <v>1</v>
      </c>
      <c r="AZ107">
        <v>0</v>
      </c>
      <c r="BA107">
        <v>95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ROUND(Y107*Source!I285,9)</f>
        <v>8.4600000000000005E-3</v>
      </c>
      <c r="CY107">
        <f>AA107</f>
        <v>263.45</v>
      </c>
      <c r="CZ107">
        <f>AE107</f>
        <v>263.45</v>
      </c>
      <c r="DA107">
        <f>AI107</f>
        <v>1</v>
      </c>
      <c r="DB107">
        <f t="shared" si="26"/>
        <v>247.64</v>
      </c>
      <c r="DC107">
        <f t="shared" si="27"/>
        <v>0</v>
      </c>
      <c r="DD107" t="s">
        <v>3</v>
      </c>
      <c r="DE107" t="s">
        <v>3</v>
      </c>
      <c r="DF107">
        <f t="shared" si="21"/>
        <v>2.23</v>
      </c>
      <c r="DG107">
        <f t="shared" si="22"/>
        <v>0</v>
      </c>
      <c r="DH107">
        <f t="shared" si="23"/>
        <v>0</v>
      </c>
      <c r="DI107">
        <f t="shared" si="24"/>
        <v>0</v>
      </c>
      <c r="DJ107">
        <f>DF107</f>
        <v>2.23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ROW(Source!A285)</f>
        <v>285</v>
      </c>
      <c r="B108">
        <v>75700856</v>
      </c>
      <c r="C108">
        <v>75701597</v>
      </c>
      <c r="D108">
        <v>75393446</v>
      </c>
      <c r="E108">
        <v>1</v>
      </c>
      <c r="F108">
        <v>1</v>
      </c>
      <c r="G108">
        <v>39</v>
      </c>
      <c r="H108">
        <v>3</v>
      </c>
      <c r="I108" t="s">
        <v>393</v>
      </c>
      <c r="J108" t="s">
        <v>394</v>
      </c>
      <c r="K108" t="s">
        <v>395</v>
      </c>
      <c r="L108">
        <v>1301</v>
      </c>
      <c r="N108">
        <v>1003</v>
      </c>
      <c r="O108" t="s">
        <v>49</v>
      </c>
      <c r="P108" t="s">
        <v>49</v>
      </c>
      <c r="Q108">
        <v>1</v>
      </c>
      <c r="W108">
        <v>0</v>
      </c>
      <c r="X108">
        <v>-1781956644</v>
      </c>
      <c r="Y108">
        <f t="shared" si="25"/>
        <v>105</v>
      </c>
      <c r="AA108">
        <v>154.56</v>
      </c>
      <c r="AB108">
        <v>0</v>
      </c>
      <c r="AC108">
        <v>0</v>
      </c>
      <c r="AD108">
        <v>0</v>
      </c>
      <c r="AE108">
        <v>154.56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105</v>
      </c>
      <c r="AU108" t="s">
        <v>3</v>
      </c>
      <c r="AV108">
        <v>0</v>
      </c>
      <c r="AW108">
        <v>2</v>
      </c>
      <c r="AX108">
        <v>75702390</v>
      </c>
      <c r="AY108">
        <v>1</v>
      </c>
      <c r="AZ108">
        <v>0</v>
      </c>
      <c r="BA108">
        <v>96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ROUND(Y108*Source!I285,9)</f>
        <v>0.94499999999999995</v>
      </c>
      <c r="CY108">
        <f>AA108</f>
        <v>154.56</v>
      </c>
      <c r="CZ108">
        <f>AE108</f>
        <v>154.56</v>
      </c>
      <c r="DA108">
        <f>AI108</f>
        <v>1</v>
      </c>
      <c r="DB108">
        <f t="shared" si="26"/>
        <v>16228.8</v>
      </c>
      <c r="DC108">
        <f t="shared" si="27"/>
        <v>0</v>
      </c>
      <c r="DD108" t="s">
        <v>3</v>
      </c>
      <c r="DE108" t="s">
        <v>3</v>
      </c>
      <c r="DF108">
        <f t="shared" si="21"/>
        <v>146.06</v>
      </c>
      <c r="DG108">
        <f t="shared" si="22"/>
        <v>0</v>
      </c>
      <c r="DH108">
        <f t="shared" si="23"/>
        <v>0</v>
      </c>
      <c r="DI108">
        <f t="shared" si="24"/>
        <v>0</v>
      </c>
      <c r="DJ108">
        <f>DF108</f>
        <v>146.06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ROW(Source!A286)</f>
        <v>286</v>
      </c>
      <c r="B109">
        <v>75700856</v>
      </c>
      <c r="C109">
        <v>75701610</v>
      </c>
      <c r="D109">
        <v>75386788</v>
      </c>
      <c r="E109">
        <v>39</v>
      </c>
      <c r="F109">
        <v>1</v>
      </c>
      <c r="G109">
        <v>39</v>
      </c>
      <c r="H109">
        <v>1</v>
      </c>
      <c r="I109" t="s">
        <v>332</v>
      </c>
      <c r="J109" t="s">
        <v>3</v>
      </c>
      <c r="K109" t="s">
        <v>333</v>
      </c>
      <c r="L109">
        <v>1191</v>
      </c>
      <c r="N109">
        <v>1013</v>
      </c>
      <c r="O109" t="s">
        <v>334</v>
      </c>
      <c r="P109" t="s">
        <v>334</v>
      </c>
      <c r="Q109">
        <v>1</v>
      </c>
      <c r="W109">
        <v>0</v>
      </c>
      <c r="X109">
        <v>476480486</v>
      </c>
      <c r="Y109">
        <f t="shared" si="25"/>
        <v>11.39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11.39</v>
      </c>
      <c r="AU109" t="s">
        <v>3</v>
      </c>
      <c r="AV109">
        <v>1</v>
      </c>
      <c r="AW109">
        <v>2</v>
      </c>
      <c r="AX109">
        <v>75702391</v>
      </c>
      <c r="AY109">
        <v>1</v>
      </c>
      <c r="AZ109">
        <v>0</v>
      </c>
      <c r="BA109">
        <v>97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U109">
        <f>ROUND(AT109*Source!I286*AH109*AL109,2)</f>
        <v>0</v>
      </c>
      <c r="CV109">
        <f>ROUND(Y109*Source!I286,9)</f>
        <v>6.1619900000000003</v>
      </c>
      <c r="CW109">
        <v>0</v>
      </c>
      <c r="CX109">
        <f>ROUND(Y109*Source!I286,9)</f>
        <v>6.1619900000000003</v>
      </c>
      <c r="CY109">
        <f>AD109</f>
        <v>0</v>
      </c>
      <c r="CZ109">
        <f>AH109</f>
        <v>0</v>
      </c>
      <c r="DA109">
        <f>AL109</f>
        <v>1</v>
      </c>
      <c r="DB109">
        <f t="shared" si="26"/>
        <v>0</v>
      </c>
      <c r="DC109">
        <f t="shared" si="27"/>
        <v>0</v>
      </c>
      <c r="DD109" t="s">
        <v>3</v>
      </c>
      <c r="DE109" t="s">
        <v>3</v>
      </c>
      <c r="DF109">
        <f t="shared" si="21"/>
        <v>0</v>
      </c>
      <c r="DG109">
        <f t="shared" si="22"/>
        <v>0</v>
      </c>
      <c r="DH109">
        <f t="shared" si="23"/>
        <v>0</v>
      </c>
      <c r="DI109">
        <f t="shared" si="24"/>
        <v>0</v>
      </c>
      <c r="DJ109">
        <f>DI109</f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ROW(Source!A286)</f>
        <v>286</v>
      </c>
      <c r="B110">
        <v>75700856</v>
      </c>
      <c r="C110">
        <v>75701610</v>
      </c>
      <c r="D110">
        <v>75386789</v>
      </c>
      <c r="E110">
        <v>39</v>
      </c>
      <c r="F110">
        <v>1</v>
      </c>
      <c r="G110">
        <v>39</v>
      </c>
      <c r="H110">
        <v>3</v>
      </c>
      <c r="I110" t="s">
        <v>339</v>
      </c>
      <c r="J110" t="s">
        <v>3</v>
      </c>
      <c r="K110" t="s">
        <v>340</v>
      </c>
      <c r="L110">
        <v>1348</v>
      </c>
      <c r="N110">
        <v>1009</v>
      </c>
      <c r="O110" t="s">
        <v>68</v>
      </c>
      <c r="P110" t="s">
        <v>68</v>
      </c>
      <c r="Q110">
        <v>1000</v>
      </c>
      <c r="W110">
        <v>0</v>
      </c>
      <c r="X110">
        <v>1489638031</v>
      </c>
      <c r="Y110">
        <f t="shared" si="25"/>
        <v>0.47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0.47</v>
      </c>
      <c r="AU110" t="s">
        <v>3</v>
      </c>
      <c r="AV110">
        <v>0</v>
      </c>
      <c r="AW110">
        <v>2</v>
      </c>
      <c r="AX110">
        <v>75702392</v>
      </c>
      <c r="AY110">
        <v>1</v>
      </c>
      <c r="AZ110">
        <v>0</v>
      </c>
      <c r="BA110">
        <v>98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ROUND(Y110*Source!I286,9)</f>
        <v>0.25427</v>
      </c>
      <c r="CY110">
        <f>AA110</f>
        <v>0</v>
      </c>
      <c r="CZ110">
        <f>AE110</f>
        <v>0</v>
      </c>
      <c r="DA110">
        <f>AI110</f>
        <v>1</v>
      </c>
      <c r="DB110">
        <f t="shared" si="26"/>
        <v>0</v>
      </c>
      <c r="DC110">
        <f t="shared" si="27"/>
        <v>0</v>
      </c>
      <c r="DD110" t="s">
        <v>3</v>
      </c>
      <c r="DE110" t="s">
        <v>3</v>
      </c>
      <c r="DF110">
        <f t="shared" si="21"/>
        <v>0</v>
      </c>
      <c r="DG110">
        <f t="shared" si="22"/>
        <v>0</v>
      </c>
      <c r="DH110">
        <f t="shared" si="23"/>
        <v>0</v>
      </c>
      <c r="DI110">
        <f t="shared" si="24"/>
        <v>0</v>
      </c>
      <c r="DJ110">
        <f>DF110</f>
        <v>0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ROW(Source!A287)</f>
        <v>287</v>
      </c>
      <c r="B111">
        <v>75700856</v>
      </c>
      <c r="C111">
        <v>75701615</v>
      </c>
      <c r="D111">
        <v>75386788</v>
      </c>
      <c r="E111">
        <v>39</v>
      </c>
      <c r="F111">
        <v>1</v>
      </c>
      <c r="G111">
        <v>39</v>
      </c>
      <c r="H111">
        <v>1</v>
      </c>
      <c r="I111" t="s">
        <v>332</v>
      </c>
      <c r="J111" t="s">
        <v>3</v>
      </c>
      <c r="K111" t="s">
        <v>333</v>
      </c>
      <c r="L111">
        <v>1191</v>
      </c>
      <c r="N111">
        <v>1013</v>
      </c>
      <c r="O111" t="s">
        <v>334</v>
      </c>
      <c r="P111" t="s">
        <v>334</v>
      </c>
      <c r="Q111">
        <v>1</v>
      </c>
      <c r="W111">
        <v>0</v>
      </c>
      <c r="X111">
        <v>476480486</v>
      </c>
      <c r="Y111">
        <f t="shared" si="25"/>
        <v>37.97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37.97</v>
      </c>
      <c r="AU111" t="s">
        <v>3</v>
      </c>
      <c r="AV111">
        <v>1</v>
      </c>
      <c r="AW111">
        <v>2</v>
      </c>
      <c r="AX111">
        <v>75702393</v>
      </c>
      <c r="AY111">
        <v>1</v>
      </c>
      <c r="AZ111">
        <v>0</v>
      </c>
      <c r="BA111">
        <v>99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U111">
        <f>ROUND(AT111*Source!I287*AH111*AL111,2)</f>
        <v>0</v>
      </c>
      <c r="CV111">
        <f>ROUND(Y111*Source!I287,9)</f>
        <v>20.54177</v>
      </c>
      <c r="CW111">
        <v>0</v>
      </c>
      <c r="CX111">
        <f>ROUND(Y111*Source!I287,9)</f>
        <v>20.54177</v>
      </c>
      <c r="CY111">
        <f>AD111</f>
        <v>0</v>
      </c>
      <c r="CZ111">
        <f>AH111</f>
        <v>0</v>
      </c>
      <c r="DA111">
        <f>AL111</f>
        <v>1</v>
      </c>
      <c r="DB111">
        <f t="shared" si="26"/>
        <v>0</v>
      </c>
      <c r="DC111">
        <f t="shared" si="27"/>
        <v>0</v>
      </c>
      <c r="DD111" t="s">
        <v>3</v>
      </c>
      <c r="DE111" t="s">
        <v>3</v>
      </c>
      <c r="DF111">
        <f t="shared" si="21"/>
        <v>0</v>
      </c>
      <c r="DG111">
        <f t="shared" si="22"/>
        <v>0</v>
      </c>
      <c r="DH111">
        <f t="shared" si="23"/>
        <v>0</v>
      </c>
      <c r="DI111">
        <f t="shared" si="24"/>
        <v>0</v>
      </c>
      <c r="DJ111">
        <f>DI111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ROW(Source!A287)</f>
        <v>287</v>
      </c>
      <c r="B112">
        <v>75700856</v>
      </c>
      <c r="C112">
        <v>75701615</v>
      </c>
      <c r="D112">
        <v>75388182</v>
      </c>
      <c r="E112">
        <v>1</v>
      </c>
      <c r="F112">
        <v>1</v>
      </c>
      <c r="G112">
        <v>39</v>
      </c>
      <c r="H112">
        <v>2</v>
      </c>
      <c r="I112" t="s">
        <v>341</v>
      </c>
      <c r="J112" t="s">
        <v>342</v>
      </c>
      <c r="K112" t="s">
        <v>343</v>
      </c>
      <c r="L112">
        <v>1368</v>
      </c>
      <c r="N112">
        <v>1011</v>
      </c>
      <c r="O112" t="s">
        <v>338</v>
      </c>
      <c r="P112" t="s">
        <v>338</v>
      </c>
      <c r="Q112">
        <v>1</v>
      </c>
      <c r="W112">
        <v>0</v>
      </c>
      <c r="X112">
        <v>64700738</v>
      </c>
      <c r="Y112">
        <f t="shared" si="25"/>
        <v>3</v>
      </c>
      <c r="AA112">
        <v>0</v>
      </c>
      <c r="AB112">
        <v>56.19</v>
      </c>
      <c r="AC112">
        <v>0.31</v>
      </c>
      <c r="AD112">
        <v>0</v>
      </c>
      <c r="AE112">
        <v>0</v>
      </c>
      <c r="AF112">
        <v>56.19</v>
      </c>
      <c r="AG112">
        <v>0.31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3</v>
      </c>
      <c r="AU112" t="s">
        <v>3</v>
      </c>
      <c r="AV112">
        <v>0</v>
      </c>
      <c r="AW112">
        <v>2</v>
      </c>
      <c r="AX112">
        <v>75702394</v>
      </c>
      <c r="AY112">
        <v>1</v>
      </c>
      <c r="AZ112">
        <v>0</v>
      </c>
      <c r="BA112">
        <v>100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f>ROUND(Y112*Source!I287*DO112,9)</f>
        <v>0</v>
      </c>
      <c r="CX112">
        <f>ROUND(Y112*Source!I287,9)</f>
        <v>1.623</v>
      </c>
      <c r="CY112">
        <f>AB112</f>
        <v>56.19</v>
      </c>
      <c r="CZ112">
        <f>AF112</f>
        <v>56.19</v>
      </c>
      <c r="DA112">
        <f>AJ112</f>
        <v>1</v>
      </c>
      <c r="DB112">
        <f t="shared" si="26"/>
        <v>168.57</v>
      </c>
      <c r="DC112">
        <f t="shared" si="27"/>
        <v>0.93</v>
      </c>
      <c r="DD112" t="s">
        <v>3</v>
      </c>
      <c r="DE112" t="s">
        <v>3</v>
      </c>
      <c r="DF112">
        <f t="shared" si="21"/>
        <v>0</v>
      </c>
      <c r="DG112">
        <f t="shared" si="22"/>
        <v>91.2</v>
      </c>
      <c r="DH112">
        <f t="shared" si="23"/>
        <v>0.5</v>
      </c>
      <c r="DI112">
        <f t="shared" si="24"/>
        <v>0</v>
      </c>
      <c r="DJ112">
        <f>DG112</f>
        <v>91.2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ROW(Source!A287)</f>
        <v>287</v>
      </c>
      <c r="B113">
        <v>75700856</v>
      </c>
      <c r="C113">
        <v>75701615</v>
      </c>
      <c r="D113">
        <v>75388586</v>
      </c>
      <c r="E113">
        <v>1</v>
      </c>
      <c r="F113">
        <v>1</v>
      </c>
      <c r="G113">
        <v>39</v>
      </c>
      <c r="H113">
        <v>2</v>
      </c>
      <c r="I113" t="s">
        <v>344</v>
      </c>
      <c r="J113" t="s">
        <v>345</v>
      </c>
      <c r="K113" t="s">
        <v>346</v>
      </c>
      <c r="L113">
        <v>1368</v>
      </c>
      <c r="N113">
        <v>1011</v>
      </c>
      <c r="O113" t="s">
        <v>338</v>
      </c>
      <c r="P113" t="s">
        <v>338</v>
      </c>
      <c r="Q113">
        <v>1</v>
      </c>
      <c r="W113">
        <v>0</v>
      </c>
      <c r="X113">
        <v>-684189830</v>
      </c>
      <c r="Y113">
        <f t="shared" si="25"/>
        <v>4.1500000000000004</v>
      </c>
      <c r="AA113">
        <v>0</v>
      </c>
      <c r="AB113">
        <v>10.7</v>
      </c>
      <c r="AC113">
        <v>1.91</v>
      </c>
      <c r="AD113">
        <v>0</v>
      </c>
      <c r="AE113">
        <v>0</v>
      </c>
      <c r="AF113">
        <v>10.7</v>
      </c>
      <c r="AG113">
        <v>1.91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4.1500000000000004</v>
      </c>
      <c r="AU113" t="s">
        <v>3</v>
      </c>
      <c r="AV113">
        <v>0</v>
      </c>
      <c r="AW113">
        <v>2</v>
      </c>
      <c r="AX113">
        <v>75702395</v>
      </c>
      <c r="AY113">
        <v>1</v>
      </c>
      <c r="AZ113">
        <v>0</v>
      </c>
      <c r="BA113">
        <v>101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f>ROUND(Y113*Source!I287*DO113,9)</f>
        <v>0</v>
      </c>
      <c r="CX113">
        <f>ROUND(Y113*Source!I287,9)</f>
        <v>2.2451500000000002</v>
      </c>
      <c r="CY113">
        <f>AB113</f>
        <v>10.7</v>
      </c>
      <c r="CZ113">
        <f>AF113</f>
        <v>10.7</v>
      </c>
      <c r="DA113">
        <f>AJ113</f>
        <v>1</v>
      </c>
      <c r="DB113">
        <f t="shared" si="26"/>
        <v>44.41</v>
      </c>
      <c r="DC113">
        <f t="shared" si="27"/>
        <v>7.93</v>
      </c>
      <c r="DD113" t="s">
        <v>3</v>
      </c>
      <c r="DE113" t="s">
        <v>3</v>
      </c>
      <c r="DF113">
        <f t="shared" si="21"/>
        <v>0</v>
      </c>
      <c r="DG113">
        <f t="shared" si="22"/>
        <v>24.02</v>
      </c>
      <c r="DH113">
        <f t="shared" si="23"/>
        <v>4.29</v>
      </c>
      <c r="DI113">
        <f t="shared" si="24"/>
        <v>0</v>
      </c>
      <c r="DJ113">
        <f>DG113</f>
        <v>24.02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ROW(Source!A287)</f>
        <v>287</v>
      </c>
      <c r="B114">
        <v>75700856</v>
      </c>
      <c r="C114">
        <v>75701615</v>
      </c>
      <c r="D114">
        <v>75387866</v>
      </c>
      <c r="E114">
        <v>1</v>
      </c>
      <c r="F114">
        <v>1</v>
      </c>
      <c r="G114">
        <v>39</v>
      </c>
      <c r="H114">
        <v>2</v>
      </c>
      <c r="I114" t="s">
        <v>347</v>
      </c>
      <c r="J114" t="s">
        <v>348</v>
      </c>
      <c r="K114" t="s">
        <v>349</v>
      </c>
      <c r="L114">
        <v>1368</v>
      </c>
      <c r="N114">
        <v>1011</v>
      </c>
      <c r="O114" t="s">
        <v>338</v>
      </c>
      <c r="P114" t="s">
        <v>338</v>
      </c>
      <c r="Q114">
        <v>1</v>
      </c>
      <c r="W114">
        <v>0</v>
      </c>
      <c r="X114">
        <v>2002913998</v>
      </c>
      <c r="Y114">
        <f t="shared" si="25"/>
        <v>0.02</v>
      </c>
      <c r="AA114">
        <v>0</v>
      </c>
      <c r="AB114">
        <v>1472.88</v>
      </c>
      <c r="AC114">
        <v>893.16</v>
      </c>
      <c r="AD114">
        <v>0</v>
      </c>
      <c r="AE114">
        <v>0</v>
      </c>
      <c r="AF114">
        <v>1472.88</v>
      </c>
      <c r="AG114">
        <v>893.16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0.02</v>
      </c>
      <c r="AU114" t="s">
        <v>3</v>
      </c>
      <c r="AV114">
        <v>0</v>
      </c>
      <c r="AW114">
        <v>2</v>
      </c>
      <c r="AX114">
        <v>75702396</v>
      </c>
      <c r="AY114">
        <v>1</v>
      </c>
      <c r="AZ114">
        <v>0</v>
      </c>
      <c r="BA114">
        <v>102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f>ROUND(Y114*Source!I287*DO114,9)</f>
        <v>0</v>
      </c>
      <c r="CX114">
        <f>ROUND(Y114*Source!I287,9)</f>
        <v>1.082E-2</v>
      </c>
      <c r="CY114">
        <f>AB114</f>
        <v>1472.88</v>
      </c>
      <c r="CZ114">
        <f>AF114</f>
        <v>1472.88</v>
      </c>
      <c r="DA114">
        <f>AJ114</f>
        <v>1</v>
      </c>
      <c r="DB114">
        <f t="shared" si="26"/>
        <v>29.46</v>
      </c>
      <c r="DC114">
        <f t="shared" si="27"/>
        <v>17.86</v>
      </c>
      <c r="DD114" t="s">
        <v>3</v>
      </c>
      <c r="DE114" t="s">
        <v>3</v>
      </c>
      <c r="DF114">
        <f t="shared" si="21"/>
        <v>0</v>
      </c>
      <c r="DG114">
        <f t="shared" si="22"/>
        <v>15.94</v>
      </c>
      <c r="DH114">
        <f t="shared" si="23"/>
        <v>9.66</v>
      </c>
      <c r="DI114">
        <f t="shared" si="24"/>
        <v>0</v>
      </c>
      <c r="DJ114">
        <f>DG114</f>
        <v>15.94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ROW(Source!A287)</f>
        <v>287</v>
      </c>
      <c r="B115">
        <v>75700856</v>
      </c>
      <c r="C115">
        <v>75701615</v>
      </c>
      <c r="D115">
        <v>75390588</v>
      </c>
      <c r="E115">
        <v>1</v>
      </c>
      <c r="F115">
        <v>1</v>
      </c>
      <c r="G115">
        <v>39</v>
      </c>
      <c r="H115">
        <v>3</v>
      </c>
      <c r="I115" t="s">
        <v>350</v>
      </c>
      <c r="J115" t="s">
        <v>351</v>
      </c>
      <c r="K115" t="s">
        <v>352</v>
      </c>
      <c r="L115">
        <v>1339</v>
      </c>
      <c r="N115">
        <v>1007</v>
      </c>
      <c r="O115" t="s">
        <v>353</v>
      </c>
      <c r="P115" t="s">
        <v>353</v>
      </c>
      <c r="Q115">
        <v>1</v>
      </c>
      <c r="W115">
        <v>0</v>
      </c>
      <c r="X115">
        <v>973433911</v>
      </c>
      <c r="Y115">
        <f t="shared" si="25"/>
        <v>0.30199999999999999</v>
      </c>
      <c r="AA115">
        <v>49.83</v>
      </c>
      <c r="AB115">
        <v>0</v>
      </c>
      <c r="AC115">
        <v>0</v>
      </c>
      <c r="AD115">
        <v>0</v>
      </c>
      <c r="AE115">
        <v>49.83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0.30199999999999999</v>
      </c>
      <c r="AU115" t="s">
        <v>3</v>
      </c>
      <c r="AV115">
        <v>0</v>
      </c>
      <c r="AW115">
        <v>2</v>
      </c>
      <c r="AX115">
        <v>75702397</v>
      </c>
      <c r="AY115">
        <v>1</v>
      </c>
      <c r="AZ115">
        <v>0</v>
      </c>
      <c r="BA115">
        <v>103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ROUND(Y115*Source!I287,9)</f>
        <v>0.163382</v>
      </c>
      <c r="CY115">
        <f>AA115</f>
        <v>49.83</v>
      </c>
      <c r="CZ115">
        <f>AE115</f>
        <v>49.83</v>
      </c>
      <c r="DA115">
        <f>AI115</f>
        <v>1</v>
      </c>
      <c r="DB115">
        <f t="shared" si="26"/>
        <v>15.05</v>
      </c>
      <c r="DC115">
        <f t="shared" si="27"/>
        <v>0</v>
      </c>
      <c r="DD115" t="s">
        <v>3</v>
      </c>
      <c r="DE115" t="s">
        <v>3</v>
      </c>
      <c r="DF115">
        <f t="shared" si="21"/>
        <v>8.14</v>
      </c>
      <c r="DG115">
        <f t="shared" si="22"/>
        <v>0</v>
      </c>
      <c r="DH115">
        <f t="shared" si="23"/>
        <v>0</v>
      </c>
      <c r="DI115">
        <f t="shared" si="24"/>
        <v>0</v>
      </c>
      <c r="DJ115">
        <f>DF115</f>
        <v>8.14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ROW(Source!A287)</f>
        <v>287</v>
      </c>
      <c r="B116">
        <v>75700856</v>
      </c>
      <c r="C116">
        <v>75701615</v>
      </c>
      <c r="D116">
        <v>75390808</v>
      </c>
      <c r="E116">
        <v>1</v>
      </c>
      <c r="F116">
        <v>1</v>
      </c>
      <c r="G116">
        <v>39</v>
      </c>
      <c r="H116">
        <v>3</v>
      </c>
      <c r="I116" t="s">
        <v>354</v>
      </c>
      <c r="J116" t="s">
        <v>355</v>
      </c>
      <c r="K116" t="s">
        <v>356</v>
      </c>
      <c r="L116">
        <v>1327</v>
      </c>
      <c r="N116">
        <v>1005</v>
      </c>
      <c r="O116" t="s">
        <v>132</v>
      </c>
      <c r="P116" t="s">
        <v>132</v>
      </c>
      <c r="Q116">
        <v>1</v>
      </c>
      <c r="W116">
        <v>0</v>
      </c>
      <c r="X116">
        <v>1627923774</v>
      </c>
      <c r="Y116">
        <f t="shared" si="25"/>
        <v>10</v>
      </c>
      <c r="AA116">
        <v>10.62</v>
      </c>
      <c r="AB116">
        <v>0</v>
      </c>
      <c r="AC116">
        <v>0</v>
      </c>
      <c r="AD116">
        <v>0</v>
      </c>
      <c r="AE116">
        <v>10.62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10</v>
      </c>
      <c r="AU116" t="s">
        <v>3</v>
      </c>
      <c r="AV116">
        <v>0</v>
      </c>
      <c r="AW116">
        <v>2</v>
      </c>
      <c r="AX116">
        <v>75702398</v>
      </c>
      <c r="AY116">
        <v>1</v>
      </c>
      <c r="AZ116">
        <v>0</v>
      </c>
      <c r="BA116">
        <v>104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ROUND(Y116*Source!I287,9)</f>
        <v>5.41</v>
      </c>
      <c r="CY116">
        <f>AA116</f>
        <v>10.62</v>
      </c>
      <c r="CZ116">
        <f>AE116</f>
        <v>10.62</v>
      </c>
      <c r="DA116">
        <f>AI116</f>
        <v>1</v>
      </c>
      <c r="DB116">
        <f t="shared" si="26"/>
        <v>106.2</v>
      </c>
      <c r="DC116">
        <f t="shared" si="27"/>
        <v>0</v>
      </c>
      <c r="DD116" t="s">
        <v>3</v>
      </c>
      <c r="DE116" t="s">
        <v>3</v>
      </c>
      <c r="DF116">
        <f t="shared" si="21"/>
        <v>57.45</v>
      </c>
      <c r="DG116">
        <f t="shared" si="22"/>
        <v>0</v>
      </c>
      <c r="DH116">
        <f t="shared" si="23"/>
        <v>0</v>
      </c>
      <c r="DI116">
        <f t="shared" si="24"/>
        <v>0</v>
      </c>
      <c r="DJ116">
        <f>DF116</f>
        <v>57.45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ROW(Source!A287)</f>
        <v>287</v>
      </c>
      <c r="B117">
        <v>75700856</v>
      </c>
      <c r="C117">
        <v>75701615</v>
      </c>
      <c r="D117">
        <v>75389157</v>
      </c>
      <c r="E117">
        <v>1</v>
      </c>
      <c r="F117">
        <v>1</v>
      </c>
      <c r="G117">
        <v>39</v>
      </c>
      <c r="H117">
        <v>3</v>
      </c>
      <c r="I117" t="s">
        <v>357</v>
      </c>
      <c r="J117" t="s">
        <v>358</v>
      </c>
      <c r="K117" t="s">
        <v>359</v>
      </c>
      <c r="L117">
        <v>1346</v>
      </c>
      <c r="N117">
        <v>1009</v>
      </c>
      <c r="O117" t="s">
        <v>63</v>
      </c>
      <c r="P117" t="s">
        <v>63</v>
      </c>
      <c r="Q117">
        <v>1</v>
      </c>
      <c r="W117">
        <v>0</v>
      </c>
      <c r="X117">
        <v>1856405498</v>
      </c>
      <c r="Y117">
        <f t="shared" si="25"/>
        <v>20</v>
      </c>
      <c r="AA117">
        <v>915.75</v>
      </c>
      <c r="AB117">
        <v>0</v>
      </c>
      <c r="AC117">
        <v>0</v>
      </c>
      <c r="AD117">
        <v>0</v>
      </c>
      <c r="AE117">
        <v>915.75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20</v>
      </c>
      <c r="AU117" t="s">
        <v>3</v>
      </c>
      <c r="AV117">
        <v>0</v>
      </c>
      <c r="AW117">
        <v>2</v>
      </c>
      <c r="AX117">
        <v>75702399</v>
      </c>
      <c r="AY117">
        <v>1</v>
      </c>
      <c r="AZ117">
        <v>0</v>
      </c>
      <c r="BA117">
        <v>105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ROUND(Y117*Source!I287,9)</f>
        <v>10.82</v>
      </c>
      <c r="CY117">
        <f>AA117</f>
        <v>915.75</v>
      </c>
      <c r="CZ117">
        <f>AE117</f>
        <v>915.75</v>
      </c>
      <c r="DA117">
        <f>AI117</f>
        <v>1</v>
      </c>
      <c r="DB117">
        <f t="shared" si="26"/>
        <v>18315</v>
      </c>
      <c r="DC117">
        <f t="shared" si="27"/>
        <v>0</v>
      </c>
      <c r="DD117" t="s">
        <v>3</v>
      </c>
      <c r="DE117" t="s">
        <v>3</v>
      </c>
      <c r="DF117">
        <f t="shared" si="21"/>
        <v>9908.42</v>
      </c>
      <c r="DG117">
        <f t="shared" si="22"/>
        <v>0</v>
      </c>
      <c r="DH117">
        <f t="shared" si="23"/>
        <v>0</v>
      </c>
      <c r="DI117">
        <f t="shared" si="24"/>
        <v>0</v>
      </c>
      <c r="DJ117">
        <f>DF117</f>
        <v>9908.42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ROW(Source!A287)</f>
        <v>287</v>
      </c>
      <c r="B118">
        <v>75700856</v>
      </c>
      <c r="C118">
        <v>75701615</v>
      </c>
      <c r="D118">
        <v>75391767</v>
      </c>
      <c r="E118">
        <v>1</v>
      </c>
      <c r="F118">
        <v>1</v>
      </c>
      <c r="G118">
        <v>39</v>
      </c>
      <c r="H118">
        <v>3</v>
      </c>
      <c r="I118" t="s">
        <v>360</v>
      </c>
      <c r="J118" t="s">
        <v>361</v>
      </c>
      <c r="K118" t="s">
        <v>362</v>
      </c>
      <c r="L118">
        <v>1348</v>
      </c>
      <c r="N118">
        <v>1009</v>
      </c>
      <c r="O118" t="s">
        <v>68</v>
      </c>
      <c r="P118" t="s">
        <v>68</v>
      </c>
      <c r="Q118">
        <v>1000</v>
      </c>
      <c r="W118">
        <v>0</v>
      </c>
      <c r="X118">
        <v>837212414</v>
      </c>
      <c r="Y118">
        <f t="shared" si="25"/>
        <v>0.84199999999999997</v>
      </c>
      <c r="AA118">
        <v>37996.660000000003</v>
      </c>
      <c r="AB118">
        <v>0</v>
      </c>
      <c r="AC118">
        <v>0</v>
      </c>
      <c r="AD118">
        <v>0</v>
      </c>
      <c r="AE118">
        <v>37996.660000000003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0.84199999999999997</v>
      </c>
      <c r="AU118" t="s">
        <v>3</v>
      </c>
      <c r="AV118">
        <v>0</v>
      </c>
      <c r="AW118">
        <v>2</v>
      </c>
      <c r="AX118">
        <v>75702400</v>
      </c>
      <c r="AY118">
        <v>1</v>
      </c>
      <c r="AZ118">
        <v>0</v>
      </c>
      <c r="BA118">
        <v>106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ROUND(Y118*Source!I287,9)</f>
        <v>0.45552199999999998</v>
      </c>
      <c r="CY118">
        <f>AA118</f>
        <v>37996.660000000003</v>
      </c>
      <c r="CZ118">
        <f>AE118</f>
        <v>37996.660000000003</v>
      </c>
      <c r="DA118">
        <f>AI118</f>
        <v>1</v>
      </c>
      <c r="DB118">
        <f t="shared" si="26"/>
        <v>31993.19</v>
      </c>
      <c r="DC118">
        <f t="shared" si="27"/>
        <v>0</v>
      </c>
      <c r="DD118" t="s">
        <v>3</v>
      </c>
      <c r="DE118" t="s">
        <v>3</v>
      </c>
      <c r="DF118">
        <f t="shared" si="21"/>
        <v>17308.310000000001</v>
      </c>
      <c r="DG118">
        <f t="shared" si="22"/>
        <v>0</v>
      </c>
      <c r="DH118">
        <f t="shared" si="23"/>
        <v>0</v>
      </c>
      <c r="DI118">
        <f t="shared" si="24"/>
        <v>0</v>
      </c>
      <c r="DJ118">
        <f>DF118</f>
        <v>17308.310000000001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ROW(Source!A288)</f>
        <v>288</v>
      </c>
      <c r="B119">
        <v>75700856</v>
      </c>
      <c r="C119">
        <v>75701632</v>
      </c>
      <c r="D119">
        <v>75386788</v>
      </c>
      <c r="E119">
        <v>39</v>
      </c>
      <c r="F119">
        <v>1</v>
      </c>
      <c r="G119">
        <v>39</v>
      </c>
      <c r="H119">
        <v>1</v>
      </c>
      <c r="I119" t="s">
        <v>332</v>
      </c>
      <c r="J119" t="s">
        <v>3</v>
      </c>
      <c r="K119" t="s">
        <v>333</v>
      </c>
      <c r="L119">
        <v>1191</v>
      </c>
      <c r="N119">
        <v>1013</v>
      </c>
      <c r="O119" t="s">
        <v>334</v>
      </c>
      <c r="P119" t="s">
        <v>334</v>
      </c>
      <c r="Q119">
        <v>1</v>
      </c>
      <c r="W119">
        <v>0</v>
      </c>
      <c r="X119">
        <v>476480486</v>
      </c>
      <c r="Y119">
        <f t="shared" si="25"/>
        <v>60.04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60.04</v>
      </c>
      <c r="AU119" t="s">
        <v>3</v>
      </c>
      <c r="AV119">
        <v>1</v>
      </c>
      <c r="AW119">
        <v>2</v>
      </c>
      <c r="AX119">
        <v>75702401</v>
      </c>
      <c r="AY119">
        <v>1</v>
      </c>
      <c r="AZ119">
        <v>0</v>
      </c>
      <c r="BA119">
        <v>107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U119">
        <f>ROUND(AT119*Source!I288*AH119*AL119,2)</f>
        <v>0</v>
      </c>
      <c r="CV119">
        <f>ROUND(Y119*Source!I288,9)</f>
        <v>32.481639999999999</v>
      </c>
      <c r="CW119">
        <v>0</v>
      </c>
      <c r="CX119">
        <f>ROUND(Y119*Source!I288,9)</f>
        <v>32.481639999999999</v>
      </c>
      <c r="CY119">
        <f>AD119</f>
        <v>0</v>
      </c>
      <c r="CZ119">
        <f>AH119</f>
        <v>0</v>
      </c>
      <c r="DA119">
        <f>AL119</f>
        <v>1</v>
      </c>
      <c r="DB119">
        <f t="shared" si="26"/>
        <v>0</v>
      </c>
      <c r="DC119">
        <f t="shared" si="27"/>
        <v>0</v>
      </c>
      <c r="DD119" t="s">
        <v>3</v>
      </c>
      <c r="DE119" t="s">
        <v>3</v>
      </c>
      <c r="DF119">
        <f t="shared" si="21"/>
        <v>0</v>
      </c>
      <c r="DG119">
        <f t="shared" si="22"/>
        <v>0</v>
      </c>
      <c r="DH119">
        <f t="shared" si="23"/>
        <v>0</v>
      </c>
      <c r="DI119">
        <f t="shared" si="24"/>
        <v>0</v>
      </c>
      <c r="DJ119">
        <f>DI119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ROW(Source!A288)</f>
        <v>288</v>
      </c>
      <c r="B120">
        <v>75700856</v>
      </c>
      <c r="C120">
        <v>75701632</v>
      </c>
      <c r="D120">
        <v>75388182</v>
      </c>
      <c r="E120">
        <v>1</v>
      </c>
      <c r="F120">
        <v>1</v>
      </c>
      <c r="G120">
        <v>39</v>
      </c>
      <c r="H120">
        <v>2</v>
      </c>
      <c r="I120" t="s">
        <v>341</v>
      </c>
      <c r="J120" t="s">
        <v>342</v>
      </c>
      <c r="K120" t="s">
        <v>343</v>
      </c>
      <c r="L120">
        <v>1368</v>
      </c>
      <c r="N120">
        <v>1011</v>
      </c>
      <c r="O120" t="s">
        <v>338</v>
      </c>
      <c r="P120" t="s">
        <v>338</v>
      </c>
      <c r="Q120">
        <v>1</v>
      </c>
      <c r="W120">
        <v>0</v>
      </c>
      <c r="X120">
        <v>64700738</v>
      </c>
      <c r="Y120">
        <f t="shared" si="25"/>
        <v>6.64</v>
      </c>
      <c r="AA120">
        <v>0</v>
      </c>
      <c r="AB120">
        <v>56.19</v>
      </c>
      <c r="AC120">
        <v>0.31</v>
      </c>
      <c r="AD120">
        <v>0</v>
      </c>
      <c r="AE120">
        <v>0</v>
      </c>
      <c r="AF120">
        <v>56.19</v>
      </c>
      <c r="AG120">
        <v>0.31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6.64</v>
      </c>
      <c r="AU120" t="s">
        <v>3</v>
      </c>
      <c r="AV120">
        <v>0</v>
      </c>
      <c r="AW120">
        <v>2</v>
      </c>
      <c r="AX120">
        <v>75702402</v>
      </c>
      <c r="AY120">
        <v>1</v>
      </c>
      <c r="AZ120">
        <v>0</v>
      </c>
      <c r="BA120">
        <v>108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f>ROUND(Y120*Source!I288*DO120,9)</f>
        <v>0</v>
      </c>
      <c r="CX120">
        <f>ROUND(Y120*Source!I288,9)</f>
        <v>3.5922399999999999</v>
      </c>
      <c r="CY120">
        <f>AB120</f>
        <v>56.19</v>
      </c>
      <c r="CZ120">
        <f>AF120</f>
        <v>56.19</v>
      </c>
      <c r="DA120">
        <f>AJ120</f>
        <v>1</v>
      </c>
      <c r="DB120">
        <f t="shared" si="26"/>
        <v>373.1</v>
      </c>
      <c r="DC120">
        <f t="shared" si="27"/>
        <v>2.06</v>
      </c>
      <c r="DD120" t="s">
        <v>3</v>
      </c>
      <c r="DE120" t="s">
        <v>3</v>
      </c>
      <c r="DF120">
        <f t="shared" si="21"/>
        <v>0</v>
      </c>
      <c r="DG120">
        <f t="shared" si="22"/>
        <v>201.85</v>
      </c>
      <c r="DH120">
        <f t="shared" si="23"/>
        <v>1.1100000000000001</v>
      </c>
      <c r="DI120">
        <f t="shared" si="24"/>
        <v>0</v>
      </c>
      <c r="DJ120">
        <f>DG120</f>
        <v>201.85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ROW(Source!A288)</f>
        <v>288</v>
      </c>
      <c r="B121">
        <v>75700856</v>
      </c>
      <c r="C121">
        <v>75701632</v>
      </c>
      <c r="D121">
        <v>75388325</v>
      </c>
      <c r="E121">
        <v>1</v>
      </c>
      <c r="F121">
        <v>1</v>
      </c>
      <c r="G121">
        <v>39</v>
      </c>
      <c r="H121">
        <v>2</v>
      </c>
      <c r="I121" t="s">
        <v>363</v>
      </c>
      <c r="J121" t="s">
        <v>364</v>
      </c>
      <c r="K121" t="s">
        <v>365</v>
      </c>
      <c r="L121">
        <v>1368</v>
      </c>
      <c r="N121">
        <v>1011</v>
      </c>
      <c r="O121" t="s">
        <v>338</v>
      </c>
      <c r="P121" t="s">
        <v>338</v>
      </c>
      <c r="Q121">
        <v>1</v>
      </c>
      <c r="W121">
        <v>0</v>
      </c>
      <c r="X121">
        <v>-476797040</v>
      </c>
      <c r="Y121">
        <f t="shared" si="25"/>
        <v>4.7</v>
      </c>
      <c r="AA121">
        <v>0</v>
      </c>
      <c r="AB121">
        <v>10.02</v>
      </c>
      <c r="AC121">
        <v>0</v>
      </c>
      <c r="AD121">
        <v>0</v>
      </c>
      <c r="AE121">
        <v>0</v>
      </c>
      <c r="AF121">
        <v>10.02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4.7</v>
      </c>
      <c r="AU121" t="s">
        <v>3</v>
      </c>
      <c r="AV121">
        <v>0</v>
      </c>
      <c r="AW121">
        <v>2</v>
      </c>
      <c r="AX121">
        <v>75702403</v>
      </c>
      <c r="AY121">
        <v>1</v>
      </c>
      <c r="AZ121">
        <v>0</v>
      </c>
      <c r="BA121">
        <v>109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f>ROUND(Y121*Source!I288*DO121,9)</f>
        <v>0</v>
      </c>
      <c r="CX121">
        <f>ROUND(Y121*Source!I288,9)</f>
        <v>2.5427</v>
      </c>
      <c r="CY121">
        <f>AB121</f>
        <v>10.02</v>
      </c>
      <c r="CZ121">
        <f>AF121</f>
        <v>10.02</v>
      </c>
      <c r="DA121">
        <f>AJ121</f>
        <v>1</v>
      </c>
      <c r="DB121">
        <f t="shared" si="26"/>
        <v>47.09</v>
      </c>
      <c r="DC121">
        <f t="shared" si="27"/>
        <v>0</v>
      </c>
      <c r="DD121" t="s">
        <v>3</v>
      </c>
      <c r="DE121" t="s">
        <v>3</v>
      </c>
      <c r="DF121">
        <f t="shared" si="21"/>
        <v>0</v>
      </c>
      <c r="DG121">
        <f t="shared" si="22"/>
        <v>25.48</v>
      </c>
      <c r="DH121">
        <f t="shared" si="23"/>
        <v>0</v>
      </c>
      <c r="DI121">
        <f t="shared" si="24"/>
        <v>0</v>
      </c>
      <c r="DJ121">
        <f>DG121</f>
        <v>25.48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ROW(Source!A288)</f>
        <v>288</v>
      </c>
      <c r="B122">
        <v>75700856</v>
      </c>
      <c r="C122">
        <v>75701632</v>
      </c>
      <c r="D122">
        <v>75388524</v>
      </c>
      <c r="E122">
        <v>1</v>
      </c>
      <c r="F122">
        <v>1</v>
      </c>
      <c r="G122">
        <v>39</v>
      </c>
      <c r="H122">
        <v>2</v>
      </c>
      <c r="I122" t="s">
        <v>366</v>
      </c>
      <c r="J122" t="s">
        <v>367</v>
      </c>
      <c r="K122" t="s">
        <v>368</v>
      </c>
      <c r="L122">
        <v>1368</v>
      </c>
      <c r="N122">
        <v>1011</v>
      </c>
      <c r="O122" t="s">
        <v>338</v>
      </c>
      <c r="P122" t="s">
        <v>338</v>
      </c>
      <c r="Q122">
        <v>1</v>
      </c>
      <c r="W122">
        <v>0</v>
      </c>
      <c r="X122">
        <v>-1279016800</v>
      </c>
      <c r="Y122">
        <f t="shared" si="25"/>
        <v>1.5</v>
      </c>
      <c r="AA122">
        <v>0</v>
      </c>
      <c r="AB122">
        <v>3.57</v>
      </c>
      <c r="AC122">
        <v>0.01</v>
      </c>
      <c r="AD122">
        <v>0</v>
      </c>
      <c r="AE122">
        <v>0</v>
      </c>
      <c r="AF122">
        <v>3.57</v>
      </c>
      <c r="AG122">
        <v>0.01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1.5</v>
      </c>
      <c r="AU122" t="s">
        <v>3</v>
      </c>
      <c r="AV122">
        <v>0</v>
      </c>
      <c r="AW122">
        <v>2</v>
      </c>
      <c r="AX122">
        <v>75702404</v>
      </c>
      <c r="AY122">
        <v>1</v>
      </c>
      <c r="AZ122">
        <v>0</v>
      </c>
      <c r="BA122">
        <v>110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f>ROUND(Y122*Source!I288*DO122,9)</f>
        <v>0</v>
      </c>
      <c r="CX122">
        <f>ROUND(Y122*Source!I288,9)</f>
        <v>0.8115</v>
      </c>
      <c r="CY122">
        <f>AB122</f>
        <v>3.57</v>
      </c>
      <c r="CZ122">
        <f>AF122</f>
        <v>3.57</v>
      </c>
      <c r="DA122">
        <f>AJ122</f>
        <v>1</v>
      </c>
      <c r="DB122">
        <f t="shared" si="26"/>
        <v>5.36</v>
      </c>
      <c r="DC122">
        <f t="shared" si="27"/>
        <v>0.02</v>
      </c>
      <c r="DD122" t="s">
        <v>3</v>
      </c>
      <c r="DE122" t="s">
        <v>3</v>
      </c>
      <c r="DF122">
        <f t="shared" si="21"/>
        <v>0</v>
      </c>
      <c r="DG122">
        <f t="shared" si="22"/>
        <v>2.9</v>
      </c>
      <c r="DH122">
        <f t="shared" si="23"/>
        <v>0.01</v>
      </c>
      <c r="DI122">
        <f t="shared" si="24"/>
        <v>0</v>
      </c>
      <c r="DJ122">
        <f>DG122</f>
        <v>2.9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ROW(Source!A288)</f>
        <v>288</v>
      </c>
      <c r="B123">
        <v>75700856</v>
      </c>
      <c r="C123">
        <v>75701632</v>
      </c>
      <c r="D123">
        <v>75390660</v>
      </c>
      <c r="E123">
        <v>1</v>
      </c>
      <c r="F123">
        <v>1</v>
      </c>
      <c r="G123">
        <v>39</v>
      </c>
      <c r="H123">
        <v>3</v>
      </c>
      <c r="I123" t="s">
        <v>369</v>
      </c>
      <c r="J123" t="s">
        <v>370</v>
      </c>
      <c r="K123" t="s">
        <v>371</v>
      </c>
      <c r="L123">
        <v>1346</v>
      </c>
      <c r="N123">
        <v>1009</v>
      </c>
      <c r="O123" t="s">
        <v>63</v>
      </c>
      <c r="P123" t="s">
        <v>63</v>
      </c>
      <c r="Q123">
        <v>1</v>
      </c>
      <c r="W123">
        <v>0</v>
      </c>
      <c r="X123">
        <v>713614851</v>
      </c>
      <c r="Y123">
        <f t="shared" si="25"/>
        <v>36.049999999999997</v>
      </c>
      <c r="AA123">
        <v>221.14</v>
      </c>
      <c r="AB123">
        <v>0</v>
      </c>
      <c r="AC123">
        <v>0</v>
      </c>
      <c r="AD123">
        <v>0</v>
      </c>
      <c r="AE123">
        <v>221.14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36.049999999999997</v>
      </c>
      <c r="AU123" t="s">
        <v>3</v>
      </c>
      <c r="AV123">
        <v>0</v>
      </c>
      <c r="AW123">
        <v>2</v>
      </c>
      <c r="AX123">
        <v>75702405</v>
      </c>
      <c r="AY123">
        <v>1</v>
      </c>
      <c r="AZ123">
        <v>0</v>
      </c>
      <c r="BA123">
        <v>111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ROUND(Y123*Source!I288,9)</f>
        <v>19.503050000000002</v>
      </c>
      <c r="CY123">
        <f>AA123</f>
        <v>221.14</v>
      </c>
      <c r="CZ123">
        <f>AE123</f>
        <v>221.14</v>
      </c>
      <c r="DA123">
        <f>AI123</f>
        <v>1</v>
      </c>
      <c r="DB123">
        <f t="shared" si="26"/>
        <v>7972.1</v>
      </c>
      <c r="DC123">
        <f t="shared" si="27"/>
        <v>0</v>
      </c>
      <c r="DD123" t="s">
        <v>3</v>
      </c>
      <c r="DE123" t="s">
        <v>3</v>
      </c>
      <c r="DF123">
        <f t="shared" si="21"/>
        <v>4312.8999999999996</v>
      </c>
      <c r="DG123">
        <f t="shared" si="22"/>
        <v>0</v>
      </c>
      <c r="DH123">
        <f t="shared" si="23"/>
        <v>0</v>
      </c>
      <c r="DI123">
        <f t="shared" si="24"/>
        <v>0</v>
      </c>
      <c r="DJ123">
        <f>DF123</f>
        <v>4312.8999999999996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ROW(Source!A288)</f>
        <v>288</v>
      </c>
      <c r="B124">
        <v>75700856</v>
      </c>
      <c r="C124">
        <v>75701632</v>
      </c>
      <c r="D124">
        <v>75391078</v>
      </c>
      <c r="E124">
        <v>1</v>
      </c>
      <c r="F124">
        <v>1</v>
      </c>
      <c r="G124">
        <v>39</v>
      </c>
      <c r="H124">
        <v>3</v>
      </c>
      <c r="I124" t="s">
        <v>372</v>
      </c>
      <c r="J124" t="s">
        <v>373</v>
      </c>
      <c r="K124" t="s">
        <v>374</v>
      </c>
      <c r="L124">
        <v>1327</v>
      </c>
      <c r="N124">
        <v>1005</v>
      </c>
      <c r="O124" t="s">
        <v>132</v>
      </c>
      <c r="P124" t="s">
        <v>132</v>
      </c>
      <c r="Q124">
        <v>1</v>
      </c>
      <c r="W124">
        <v>0</v>
      </c>
      <c r="X124">
        <v>-1901445925</v>
      </c>
      <c r="Y124">
        <f t="shared" si="25"/>
        <v>107</v>
      </c>
      <c r="AA124">
        <v>1117.3499999999999</v>
      </c>
      <c r="AB124">
        <v>0</v>
      </c>
      <c r="AC124">
        <v>0</v>
      </c>
      <c r="AD124">
        <v>0</v>
      </c>
      <c r="AE124">
        <v>1117.3499999999999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107</v>
      </c>
      <c r="AU124" t="s">
        <v>3</v>
      </c>
      <c r="AV124">
        <v>0</v>
      </c>
      <c r="AW124">
        <v>2</v>
      </c>
      <c r="AX124">
        <v>75702406</v>
      </c>
      <c r="AY124">
        <v>1</v>
      </c>
      <c r="AZ124">
        <v>0</v>
      </c>
      <c r="BA124">
        <v>112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ROUND(Y124*Source!I288,9)</f>
        <v>57.887</v>
      </c>
      <c r="CY124">
        <f>AA124</f>
        <v>1117.3499999999999</v>
      </c>
      <c r="CZ124">
        <f>AE124</f>
        <v>1117.3499999999999</v>
      </c>
      <c r="DA124">
        <f>AI124</f>
        <v>1</v>
      </c>
      <c r="DB124">
        <f t="shared" si="26"/>
        <v>119556.45</v>
      </c>
      <c r="DC124">
        <f t="shared" si="27"/>
        <v>0</v>
      </c>
      <c r="DD124" t="s">
        <v>3</v>
      </c>
      <c r="DE124" t="s">
        <v>3</v>
      </c>
      <c r="DF124">
        <f t="shared" si="21"/>
        <v>64680.04</v>
      </c>
      <c r="DG124">
        <f t="shared" si="22"/>
        <v>0</v>
      </c>
      <c r="DH124">
        <f t="shared" si="23"/>
        <v>0</v>
      </c>
      <c r="DI124">
        <f t="shared" si="24"/>
        <v>0</v>
      </c>
      <c r="DJ124">
        <f>DF124</f>
        <v>64680.04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ROW(Source!A288)</f>
        <v>288</v>
      </c>
      <c r="B125">
        <v>75700856</v>
      </c>
      <c r="C125">
        <v>75701632</v>
      </c>
      <c r="D125">
        <v>75391090</v>
      </c>
      <c r="E125">
        <v>1</v>
      </c>
      <c r="F125">
        <v>1</v>
      </c>
      <c r="G125">
        <v>39</v>
      </c>
      <c r="H125">
        <v>3</v>
      </c>
      <c r="I125" t="s">
        <v>375</v>
      </c>
      <c r="J125" t="s">
        <v>376</v>
      </c>
      <c r="K125" t="s">
        <v>377</v>
      </c>
      <c r="L125">
        <v>1301</v>
      </c>
      <c r="N125">
        <v>1003</v>
      </c>
      <c r="O125" t="s">
        <v>49</v>
      </c>
      <c r="P125" t="s">
        <v>49</v>
      </c>
      <c r="Q125">
        <v>1</v>
      </c>
      <c r="W125">
        <v>0</v>
      </c>
      <c r="X125">
        <v>-1400349757</v>
      </c>
      <c r="Y125">
        <f t="shared" si="25"/>
        <v>60</v>
      </c>
      <c r="AA125">
        <v>57.6</v>
      </c>
      <c r="AB125">
        <v>0</v>
      </c>
      <c r="AC125">
        <v>0</v>
      </c>
      <c r="AD125">
        <v>0</v>
      </c>
      <c r="AE125">
        <v>57.6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60</v>
      </c>
      <c r="AU125" t="s">
        <v>3</v>
      </c>
      <c r="AV125">
        <v>0</v>
      </c>
      <c r="AW125">
        <v>2</v>
      </c>
      <c r="AX125">
        <v>75702407</v>
      </c>
      <c r="AY125">
        <v>1</v>
      </c>
      <c r="AZ125">
        <v>0</v>
      </c>
      <c r="BA125">
        <v>113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ROUND(Y125*Source!I288,9)</f>
        <v>32.46</v>
      </c>
      <c r="CY125">
        <f>AA125</f>
        <v>57.6</v>
      </c>
      <c r="CZ125">
        <f>AE125</f>
        <v>57.6</v>
      </c>
      <c r="DA125">
        <f>AI125</f>
        <v>1</v>
      </c>
      <c r="DB125">
        <f t="shared" si="26"/>
        <v>3456</v>
      </c>
      <c r="DC125">
        <f t="shared" si="27"/>
        <v>0</v>
      </c>
      <c r="DD125" t="s">
        <v>3</v>
      </c>
      <c r="DE125" t="s">
        <v>3</v>
      </c>
      <c r="DF125">
        <f t="shared" si="21"/>
        <v>1869.7</v>
      </c>
      <c r="DG125">
        <f t="shared" si="22"/>
        <v>0</v>
      </c>
      <c r="DH125">
        <f t="shared" si="23"/>
        <v>0</v>
      </c>
      <c r="DI125">
        <f t="shared" si="24"/>
        <v>0</v>
      </c>
      <c r="DJ125">
        <f>DF125</f>
        <v>1869.7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ROW(Source!A288)</f>
        <v>288</v>
      </c>
      <c r="B126">
        <v>75700856</v>
      </c>
      <c r="C126">
        <v>75701632</v>
      </c>
      <c r="D126">
        <v>75389139</v>
      </c>
      <c r="E126">
        <v>1</v>
      </c>
      <c r="F126">
        <v>1</v>
      </c>
      <c r="G126">
        <v>39</v>
      </c>
      <c r="H126">
        <v>3</v>
      </c>
      <c r="I126" t="s">
        <v>378</v>
      </c>
      <c r="J126" t="s">
        <v>379</v>
      </c>
      <c r="K126" t="s">
        <v>380</v>
      </c>
      <c r="L126">
        <v>1346</v>
      </c>
      <c r="N126">
        <v>1009</v>
      </c>
      <c r="O126" t="s">
        <v>63</v>
      </c>
      <c r="P126" t="s">
        <v>63</v>
      </c>
      <c r="Q126">
        <v>1</v>
      </c>
      <c r="W126">
        <v>0</v>
      </c>
      <c r="X126">
        <v>538144241</v>
      </c>
      <c r="Y126">
        <f t="shared" si="25"/>
        <v>10.3</v>
      </c>
      <c r="AA126">
        <v>138.59</v>
      </c>
      <c r="AB126">
        <v>0</v>
      </c>
      <c r="AC126">
        <v>0</v>
      </c>
      <c r="AD126">
        <v>0</v>
      </c>
      <c r="AE126">
        <v>138.59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10.3</v>
      </c>
      <c r="AU126" t="s">
        <v>3</v>
      </c>
      <c r="AV126">
        <v>0</v>
      </c>
      <c r="AW126">
        <v>2</v>
      </c>
      <c r="AX126">
        <v>75702408</v>
      </c>
      <c r="AY126">
        <v>1</v>
      </c>
      <c r="AZ126">
        <v>0</v>
      </c>
      <c r="BA126">
        <v>114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ROUND(Y126*Source!I288,9)</f>
        <v>5.5723000000000003</v>
      </c>
      <c r="CY126">
        <f>AA126</f>
        <v>138.59</v>
      </c>
      <c r="CZ126">
        <f>AE126</f>
        <v>138.59</v>
      </c>
      <c r="DA126">
        <f>AI126</f>
        <v>1</v>
      </c>
      <c r="DB126">
        <f t="shared" si="26"/>
        <v>1427.48</v>
      </c>
      <c r="DC126">
        <f t="shared" si="27"/>
        <v>0</v>
      </c>
      <c r="DD126" t="s">
        <v>3</v>
      </c>
      <c r="DE126" t="s">
        <v>3</v>
      </c>
      <c r="DF126">
        <f t="shared" si="21"/>
        <v>772.27</v>
      </c>
      <c r="DG126">
        <f t="shared" si="22"/>
        <v>0</v>
      </c>
      <c r="DH126">
        <f t="shared" si="23"/>
        <v>0</v>
      </c>
      <c r="DI126">
        <f t="shared" si="24"/>
        <v>0</v>
      </c>
      <c r="DJ126">
        <f>DF126</f>
        <v>772.27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ROW(Source!A324)</f>
        <v>324</v>
      </c>
      <c r="B127">
        <v>75700856</v>
      </c>
      <c r="C127">
        <v>75701705</v>
      </c>
      <c r="D127">
        <v>75386788</v>
      </c>
      <c r="E127">
        <v>39</v>
      </c>
      <c r="F127">
        <v>1</v>
      </c>
      <c r="G127">
        <v>39</v>
      </c>
      <c r="H127">
        <v>1</v>
      </c>
      <c r="I127" t="s">
        <v>332</v>
      </c>
      <c r="J127" t="s">
        <v>3</v>
      </c>
      <c r="K127" t="s">
        <v>333</v>
      </c>
      <c r="L127">
        <v>1191</v>
      </c>
      <c r="N127">
        <v>1013</v>
      </c>
      <c r="O127" t="s">
        <v>334</v>
      </c>
      <c r="P127" t="s">
        <v>334</v>
      </c>
      <c r="Q127">
        <v>1</v>
      </c>
      <c r="W127">
        <v>0</v>
      </c>
      <c r="X127">
        <v>476480486</v>
      </c>
      <c r="Y127">
        <f t="shared" si="25"/>
        <v>24.52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24.52</v>
      </c>
      <c r="AU127" t="s">
        <v>3</v>
      </c>
      <c r="AV127">
        <v>1</v>
      </c>
      <c r="AW127">
        <v>2</v>
      </c>
      <c r="AX127">
        <v>75702409</v>
      </c>
      <c r="AY127">
        <v>1</v>
      </c>
      <c r="AZ127">
        <v>0</v>
      </c>
      <c r="BA127">
        <v>115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U127">
        <f>ROUND(AT127*Source!I324*AH127*AL127,2)</f>
        <v>0</v>
      </c>
      <c r="CV127">
        <f>ROUND(Y127*Source!I324,9)</f>
        <v>19.076560000000001</v>
      </c>
      <c r="CW127">
        <v>0</v>
      </c>
      <c r="CX127">
        <f>ROUND(Y127*Source!I324,9)</f>
        <v>19.076560000000001</v>
      </c>
      <c r="CY127">
        <f>AD127</f>
        <v>0</v>
      </c>
      <c r="CZ127">
        <f>AH127</f>
        <v>0</v>
      </c>
      <c r="DA127">
        <f>AL127</f>
        <v>1</v>
      </c>
      <c r="DB127">
        <f t="shared" si="26"/>
        <v>0</v>
      </c>
      <c r="DC127">
        <f t="shared" si="27"/>
        <v>0</v>
      </c>
      <c r="DD127" t="s">
        <v>3</v>
      </c>
      <c r="DE127" t="s">
        <v>3</v>
      </c>
      <c r="DF127">
        <f t="shared" si="21"/>
        <v>0</v>
      </c>
      <c r="DG127">
        <f t="shared" si="22"/>
        <v>0</v>
      </c>
      <c r="DH127">
        <f t="shared" si="23"/>
        <v>0</v>
      </c>
      <c r="DI127">
        <f t="shared" si="24"/>
        <v>0</v>
      </c>
      <c r="DJ127">
        <f>DI127</f>
        <v>0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ROW(Source!A324)</f>
        <v>324</v>
      </c>
      <c r="B128">
        <v>75700856</v>
      </c>
      <c r="C128">
        <v>75701705</v>
      </c>
      <c r="D128">
        <v>75390376</v>
      </c>
      <c r="E128">
        <v>1</v>
      </c>
      <c r="F128">
        <v>1</v>
      </c>
      <c r="G128">
        <v>39</v>
      </c>
      <c r="H128">
        <v>3</v>
      </c>
      <c r="I128" t="s">
        <v>403</v>
      </c>
      <c r="J128" t="s">
        <v>404</v>
      </c>
      <c r="K128" t="s">
        <v>405</v>
      </c>
      <c r="L128">
        <v>1346</v>
      </c>
      <c r="N128">
        <v>1009</v>
      </c>
      <c r="O128" t="s">
        <v>63</v>
      </c>
      <c r="P128" t="s">
        <v>63</v>
      </c>
      <c r="Q128">
        <v>1</v>
      </c>
      <c r="W128">
        <v>0</v>
      </c>
      <c r="X128">
        <v>1118017035</v>
      </c>
      <c r="Y128">
        <f t="shared" si="25"/>
        <v>0.36</v>
      </c>
      <c r="AA128">
        <v>26.09</v>
      </c>
      <c r="AB128">
        <v>0</v>
      </c>
      <c r="AC128">
        <v>0</v>
      </c>
      <c r="AD128">
        <v>0</v>
      </c>
      <c r="AE128">
        <v>26.09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0.36</v>
      </c>
      <c r="AU128" t="s">
        <v>3</v>
      </c>
      <c r="AV128">
        <v>0</v>
      </c>
      <c r="AW128">
        <v>2</v>
      </c>
      <c r="AX128">
        <v>75702410</v>
      </c>
      <c r="AY128">
        <v>1</v>
      </c>
      <c r="AZ128">
        <v>0</v>
      </c>
      <c r="BA128">
        <v>116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ROUND(Y128*Source!I324,9)</f>
        <v>0.28008</v>
      </c>
      <c r="CY128">
        <f t="shared" ref="CY128:CY134" si="28">AA128</f>
        <v>26.09</v>
      </c>
      <c r="CZ128">
        <f t="shared" ref="CZ128:CZ134" si="29">AE128</f>
        <v>26.09</v>
      </c>
      <c r="DA128">
        <f t="shared" ref="DA128:DA134" si="30">AI128</f>
        <v>1</v>
      </c>
      <c r="DB128">
        <f t="shared" si="26"/>
        <v>9.39</v>
      </c>
      <c r="DC128">
        <f t="shared" si="27"/>
        <v>0</v>
      </c>
      <c r="DD128" t="s">
        <v>3</v>
      </c>
      <c r="DE128" t="s">
        <v>3</v>
      </c>
      <c r="DF128">
        <f t="shared" si="21"/>
        <v>7.31</v>
      </c>
      <c r="DG128">
        <f t="shared" si="22"/>
        <v>0</v>
      </c>
      <c r="DH128">
        <f t="shared" si="23"/>
        <v>0</v>
      </c>
      <c r="DI128">
        <f t="shared" si="24"/>
        <v>0</v>
      </c>
      <c r="DJ128">
        <f t="shared" ref="DJ128:DJ134" si="31">DF128</f>
        <v>7.31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ROW(Source!A324)</f>
        <v>324</v>
      </c>
      <c r="B129">
        <v>75700856</v>
      </c>
      <c r="C129">
        <v>75701705</v>
      </c>
      <c r="D129">
        <v>75390588</v>
      </c>
      <c r="E129">
        <v>1</v>
      </c>
      <c r="F129">
        <v>1</v>
      </c>
      <c r="G129">
        <v>39</v>
      </c>
      <c r="H129">
        <v>3</v>
      </c>
      <c r="I129" t="s">
        <v>350</v>
      </c>
      <c r="J129" t="s">
        <v>351</v>
      </c>
      <c r="K129" t="s">
        <v>352</v>
      </c>
      <c r="L129">
        <v>1339</v>
      </c>
      <c r="N129">
        <v>1007</v>
      </c>
      <c r="O129" t="s">
        <v>353</v>
      </c>
      <c r="P129" t="s">
        <v>353</v>
      </c>
      <c r="Q129">
        <v>1</v>
      </c>
      <c r="W129">
        <v>0</v>
      </c>
      <c r="X129">
        <v>973433911</v>
      </c>
      <c r="Y129">
        <f t="shared" ref="Y129:Y141" si="32">AT129</f>
        <v>0.24</v>
      </c>
      <c r="AA129">
        <v>49.83</v>
      </c>
      <c r="AB129">
        <v>0</v>
      </c>
      <c r="AC129">
        <v>0</v>
      </c>
      <c r="AD129">
        <v>0</v>
      </c>
      <c r="AE129">
        <v>49.83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0.24</v>
      </c>
      <c r="AU129" t="s">
        <v>3</v>
      </c>
      <c r="AV129">
        <v>0</v>
      </c>
      <c r="AW129">
        <v>2</v>
      </c>
      <c r="AX129">
        <v>75702411</v>
      </c>
      <c r="AY129">
        <v>1</v>
      </c>
      <c r="AZ129">
        <v>0</v>
      </c>
      <c r="BA129">
        <v>117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ROUND(Y129*Source!I324,9)</f>
        <v>0.18672</v>
      </c>
      <c r="CY129">
        <f t="shared" si="28"/>
        <v>49.83</v>
      </c>
      <c r="CZ129">
        <f t="shared" si="29"/>
        <v>49.83</v>
      </c>
      <c r="DA129">
        <f t="shared" si="30"/>
        <v>1</v>
      </c>
      <c r="DB129">
        <f t="shared" ref="DB129:DB141" si="33">ROUND(ROUND(AT129*CZ129,2),6)</f>
        <v>11.96</v>
      </c>
      <c r="DC129">
        <f t="shared" ref="DC129:DC141" si="34">ROUND(ROUND(AT129*AG129,2),6)</f>
        <v>0</v>
      </c>
      <c r="DD129" t="s">
        <v>3</v>
      </c>
      <c r="DE129" t="s">
        <v>3</v>
      </c>
      <c r="DF129">
        <f t="shared" ref="DF129:DF192" si="35">ROUND(ROUND(AE129,2)*CX129,2)</f>
        <v>9.3000000000000007</v>
      </c>
      <c r="DG129">
        <f t="shared" ref="DG129:DG192" si="36">ROUND(ROUND(AF129,2)*CX129,2)</f>
        <v>0</v>
      </c>
      <c r="DH129">
        <f t="shared" ref="DH129:DH192" si="37">ROUND(ROUND(AG129,2)*CX129,2)</f>
        <v>0</v>
      </c>
      <c r="DI129">
        <f t="shared" ref="DI129:DI192" si="38">ROUND(ROUND(AH129,2)*CX129,2)</f>
        <v>0</v>
      </c>
      <c r="DJ129">
        <f t="shared" si="31"/>
        <v>9.3000000000000007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ROW(Source!A324)</f>
        <v>324</v>
      </c>
      <c r="B130">
        <v>75700856</v>
      </c>
      <c r="C130">
        <v>75701705</v>
      </c>
      <c r="D130">
        <v>75390936</v>
      </c>
      <c r="E130">
        <v>1</v>
      </c>
      <c r="F130">
        <v>1</v>
      </c>
      <c r="G130">
        <v>39</v>
      </c>
      <c r="H130">
        <v>3</v>
      </c>
      <c r="I130" t="s">
        <v>406</v>
      </c>
      <c r="J130" t="s">
        <v>407</v>
      </c>
      <c r="K130" t="s">
        <v>408</v>
      </c>
      <c r="L130">
        <v>1327</v>
      </c>
      <c r="N130">
        <v>1005</v>
      </c>
      <c r="O130" t="s">
        <v>132</v>
      </c>
      <c r="P130" t="s">
        <v>132</v>
      </c>
      <c r="Q130">
        <v>1</v>
      </c>
      <c r="W130">
        <v>0</v>
      </c>
      <c r="X130">
        <v>-668698448</v>
      </c>
      <c r="Y130">
        <f t="shared" si="32"/>
        <v>0.8</v>
      </c>
      <c r="AA130">
        <v>338.51</v>
      </c>
      <c r="AB130">
        <v>0</v>
      </c>
      <c r="AC130">
        <v>0</v>
      </c>
      <c r="AD130">
        <v>0</v>
      </c>
      <c r="AE130">
        <v>338.51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0.8</v>
      </c>
      <c r="AU130" t="s">
        <v>3</v>
      </c>
      <c r="AV130">
        <v>0</v>
      </c>
      <c r="AW130">
        <v>2</v>
      </c>
      <c r="AX130">
        <v>75702412</v>
      </c>
      <c r="AY130">
        <v>1</v>
      </c>
      <c r="AZ130">
        <v>0</v>
      </c>
      <c r="BA130">
        <v>118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ROUND(Y130*Source!I324,9)</f>
        <v>0.62239999999999995</v>
      </c>
      <c r="CY130">
        <f t="shared" si="28"/>
        <v>338.51</v>
      </c>
      <c r="CZ130">
        <f t="shared" si="29"/>
        <v>338.51</v>
      </c>
      <c r="DA130">
        <f t="shared" si="30"/>
        <v>1</v>
      </c>
      <c r="DB130">
        <f t="shared" si="33"/>
        <v>270.81</v>
      </c>
      <c r="DC130">
        <f t="shared" si="34"/>
        <v>0</v>
      </c>
      <c r="DD130" t="s">
        <v>3</v>
      </c>
      <c r="DE130" t="s">
        <v>3</v>
      </c>
      <c r="DF130">
        <f t="shared" si="35"/>
        <v>210.69</v>
      </c>
      <c r="DG130">
        <f t="shared" si="36"/>
        <v>0</v>
      </c>
      <c r="DH130">
        <f t="shared" si="37"/>
        <v>0</v>
      </c>
      <c r="DI130">
        <f t="shared" si="38"/>
        <v>0</v>
      </c>
      <c r="DJ130">
        <f t="shared" si="31"/>
        <v>210.69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ROW(Source!A324)</f>
        <v>324</v>
      </c>
      <c r="B131">
        <v>75700856</v>
      </c>
      <c r="C131">
        <v>75701705</v>
      </c>
      <c r="D131">
        <v>75390952</v>
      </c>
      <c r="E131">
        <v>1</v>
      </c>
      <c r="F131">
        <v>1</v>
      </c>
      <c r="G131">
        <v>39</v>
      </c>
      <c r="H131">
        <v>3</v>
      </c>
      <c r="I131" t="s">
        <v>409</v>
      </c>
      <c r="J131" t="s">
        <v>410</v>
      </c>
      <c r="K131" t="s">
        <v>411</v>
      </c>
      <c r="L131">
        <v>1348</v>
      </c>
      <c r="N131">
        <v>1009</v>
      </c>
      <c r="O131" t="s">
        <v>68</v>
      </c>
      <c r="P131" t="s">
        <v>68</v>
      </c>
      <c r="Q131">
        <v>1000</v>
      </c>
      <c r="W131">
        <v>0</v>
      </c>
      <c r="X131">
        <v>1133369200</v>
      </c>
      <c r="Y131">
        <f t="shared" si="32"/>
        <v>6.4000000000000003E-3</v>
      </c>
      <c r="AA131">
        <v>76204.789999999994</v>
      </c>
      <c r="AB131">
        <v>0</v>
      </c>
      <c r="AC131">
        <v>0</v>
      </c>
      <c r="AD131">
        <v>0</v>
      </c>
      <c r="AE131">
        <v>76204.789999999994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6.4000000000000003E-3</v>
      </c>
      <c r="AU131" t="s">
        <v>3</v>
      </c>
      <c r="AV131">
        <v>0</v>
      </c>
      <c r="AW131">
        <v>2</v>
      </c>
      <c r="AX131">
        <v>75702413</v>
      </c>
      <c r="AY131">
        <v>1</v>
      </c>
      <c r="AZ131">
        <v>0</v>
      </c>
      <c r="BA131">
        <v>119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ROUND(Y131*Source!I324,9)</f>
        <v>4.9791999999999996E-3</v>
      </c>
      <c r="CY131">
        <f t="shared" si="28"/>
        <v>76204.789999999994</v>
      </c>
      <c r="CZ131">
        <f t="shared" si="29"/>
        <v>76204.789999999994</v>
      </c>
      <c r="DA131">
        <f t="shared" si="30"/>
        <v>1</v>
      </c>
      <c r="DB131">
        <f t="shared" si="33"/>
        <v>487.71</v>
      </c>
      <c r="DC131">
        <f t="shared" si="34"/>
        <v>0</v>
      </c>
      <c r="DD131" t="s">
        <v>3</v>
      </c>
      <c r="DE131" t="s">
        <v>3</v>
      </c>
      <c r="DF131">
        <f t="shared" si="35"/>
        <v>379.44</v>
      </c>
      <c r="DG131">
        <f t="shared" si="36"/>
        <v>0</v>
      </c>
      <c r="DH131">
        <f t="shared" si="37"/>
        <v>0</v>
      </c>
      <c r="DI131">
        <f t="shared" si="38"/>
        <v>0</v>
      </c>
      <c r="DJ131">
        <f t="shared" si="31"/>
        <v>379.44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ROW(Source!A324)</f>
        <v>324</v>
      </c>
      <c r="B132">
        <v>75700856</v>
      </c>
      <c r="C132">
        <v>75701705</v>
      </c>
      <c r="D132">
        <v>75389081</v>
      </c>
      <c r="E132">
        <v>1</v>
      </c>
      <c r="F132">
        <v>1</v>
      </c>
      <c r="G132">
        <v>39</v>
      </c>
      <c r="H132">
        <v>3</v>
      </c>
      <c r="I132" t="s">
        <v>146</v>
      </c>
      <c r="J132" t="s">
        <v>148</v>
      </c>
      <c r="K132" t="s">
        <v>147</v>
      </c>
      <c r="L132">
        <v>1348</v>
      </c>
      <c r="N132">
        <v>1009</v>
      </c>
      <c r="O132" t="s">
        <v>68</v>
      </c>
      <c r="P132" t="s">
        <v>68</v>
      </c>
      <c r="Q132">
        <v>1000</v>
      </c>
      <c r="W132">
        <v>0</v>
      </c>
      <c r="X132">
        <v>812432982</v>
      </c>
      <c r="Y132">
        <f t="shared" si="32"/>
        <v>1.6999999999999999E-3</v>
      </c>
      <c r="AA132">
        <v>198992.34</v>
      </c>
      <c r="AB132">
        <v>0</v>
      </c>
      <c r="AC132">
        <v>0</v>
      </c>
      <c r="AD132">
        <v>0</v>
      </c>
      <c r="AE132">
        <v>198992.34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 t="s">
        <v>3</v>
      </c>
      <c r="AT132">
        <v>1.6999999999999999E-3</v>
      </c>
      <c r="AU132" t="s">
        <v>3</v>
      </c>
      <c r="AV132">
        <v>0</v>
      </c>
      <c r="AW132">
        <v>1</v>
      </c>
      <c r="AX132">
        <v>-1</v>
      </c>
      <c r="AY132">
        <v>0</v>
      </c>
      <c r="AZ132">
        <v>0</v>
      </c>
      <c r="BA132" t="s">
        <v>3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ROUND(Y132*Source!I324,9)</f>
        <v>1.3225999999999999E-3</v>
      </c>
      <c r="CY132">
        <f t="shared" si="28"/>
        <v>198992.34</v>
      </c>
      <c r="CZ132">
        <f t="shared" si="29"/>
        <v>198992.34</v>
      </c>
      <c r="DA132">
        <f t="shared" si="30"/>
        <v>1</v>
      </c>
      <c r="DB132">
        <f t="shared" si="33"/>
        <v>338.29</v>
      </c>
      <c r="DC132">
        <f t="shared" si="34"/>
        <v>0</v>
      </c>
      <c r="DD132" t="s">
        <v>3</v>
      </c>
      <c r="DE132" t="s">
        <v>3</v>
      </c>
      <c r="DF132">
        <f t="shared" si="35"/>
        <v>263.19</v>
      </c>
      <c r="DG132">
        <f t="shared" si="36"/>
        <v>0</v>
      </c>
      <c r="DH132">
        <f t="shared" si="37"/>
        <v>0</v>
      </c>
      <c r="DI132">
        <f t="shared" si="38"/>
        <v>0</v>
      </c>
      <c r="DJ132">
        <f t="shared" si="31"/>
        <v>263.19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ROW(Source!A324)</f>
        <v>324</v>
      </c>
      <c r="B133">
        <v>75700856</v>
      </c>
      <c r="C133">
        <v>75701705</v>
      </c>
      <c r="D133">
        <v>75389193</v>
      </c>
      <c r="E133">
        <v>1</v>
      </c>
      <c r="F133">
        <v>1</v>
      </c>
      <c r="G133">
        <v>39</v>
      </c>
      <c r="H133">
        <v>3</v>
      </c>
      <c r="I133" t="s">
        <v>412</v>
      </c>
      <c r="J133" t="s">
        <v>413</v>
      </c>
      <c r="K133" t="s">
        <v>414</v>
      </c>
      <c r="L133">
        <v>1346</v>
      </c>
      <c r="N133">
        <v>1009</v>
      </c>
      <c r="O133" t="s">
        <v>63</v>
      </c>
      <c r="P133" t="s">
        <v>63</v>
      </c>
      <c r="Q133">
        <v>1</v>
      </c>
      <c r="W133">
        <v>0</v>
      </c>
      <c r="X133">
        <v>-1799487693</v>
      </c>
      <c r="Y133">
        <f t="shared" si="32"/>
        <v>24.8</v>
      </c>
      <c r="AA133">
        <v>215.72</v>
      </c>
      <c r="AB133">
        <v>0</v>
      </c>
      <c r="AC133">
        <v>0</v>
      </c>
      <c r="AD133">
        <v>0</v>
      </c>
      <c r="AE133">
        <v>215.72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24.8</v>
      </c>
      <c r="AU133" t="s">
        <v>3</v>
      </c>
      <c r="AV133">
        <v>0</v>
      </c>
      <c r="AW133">
        <v>2</v>
      </c>
      <c r="AX133">
        <v>75702414</v>
      </c>
      <c r="AY133">
        <v>1</v>
      </c>
      <c r="AZ133">
        <v>0</v>
      </c>
      <c r="BA133">
        <v>120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ROUND(Y133*Source!I324,9)</f>
        <v>19.2944</v>
      </c>
      <c r="CY133">
        <f t="shared" si="28"/>
        <v>215.72</v>
      </c>
      <c r="CZ133">
        <f t="shared" si="29"/>
        <v>215.72</v>
      </c>
      <c r="DA133">
        <f t="shared" si="30"/>
        <v>1</v>
      </c>
      <c r="DB133">
        <f t="shared" si="33"/>
        <v>5349.86</v>
      </c>
      <c r="DC133">
        <f t="shared" si="34"/>
        <v>0</v>
      </c>
      <c r="DD133" t="s">
        <v>3</v>
      </c>
      <c r="DE133" t="s">
        <v>3</v>
      </c>
      <c r="DF133">
        <f t="shared" si="35"/>
        <v>4162.1899999999996</v>
      </c>
      <c r="DG133">
        <f t="shared" si="36"/>
        <v>0</v>
      </c>
      <c r="DH133">
        <f t="shared" si="37"/>
        <v>0</v>
      </c>
      <c r="DI133">
        <f t="shared" si="38"/>
        <v>0</v>
      </c>
      <c r="DJ133">
        <f t="shared" si="31"/>
        <v>4162.1899999999996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ROW(Source!A324)</f>
        <v>324</v>
      </c>
      <c r="B134">
        <v>75700856</v>
      </c>
      <c r="C134">
        <v>75701705</v>
      </c>
      <c r="D134">
        <v>75389195</v>
      </c>
      <c r="E134">
        <v>1</v>
      </c>
      <c r="F134">
        <v>1</v>
      </c>
      <c r="G134">
        <v>39</v>
      </c>
      <c r="H134">
        <v>3</v>
      </c>
      <c r="I134" t="s">
        <v>415</v>
      </c>
      <c r="J134" t="s">
        <v>416</v>
      </c>
      <c r="K134" t="s">
        <v>417</v>
      </c>
      <c r="L134">
        <v>1346</v>
      </c>
      <c r="N134">
        <v>1009</v>
      </c>
      <c r="O134" t="s">
        <v>63</v>
      </c>
      <c r="P134" t="s">
        <v>63</v>
      </c>
      <c r="Q134">
        <v>1</v>
      </c>
      <c r="W134">
        <v>0</v>
      </c>
      <c r="X134">
        <v>2089374929</v>
      </c>
      <c r="Y134">
        <f t="shared" si="32"/>
        <v>14</v>
      </c>
      <c r="AA134">
        <v>80.599999999999994</v>
      </c>
      <c r="AB134">
        <v>0</v>
      </c>
      <c r="AC134">
        <v>0</v>
      </c>
      <c r="AD134">
        <v>0</v>
      </c>
      <c r="AE134">
        <v>80.599999999999994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</v>
      </c>
      <c r="AT134">
        <v>14</v>
      </c>
      <c r="AU134" t="s">
        <v>3</v>
      </c>
      <c r="AV134">
        <v>0</v>
      </c>
      <c r="AW134">
        <v>2</v>
      </c>
      <c r="AX134">
        <v>75702415</v>
      </c>
      <c r="AY134">
        <v>1</v>
      </c>
      <c r="AZ134">
        <v>0</v>
      </c>
      <c r="BA134">
        <v>121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ROUND(Y134*Source!I324,9)</f>
        <v>10.891999999999999</v>
      </c>
      <c r="CY134">
        <f t="shared" si="28"/>
        <v>80.599999999999994</v>
      </c>
      <c r="CZ134">
        <f t="shared" si="29"/>
        <v>80.599999999999994</v>
      </c>
      <c r="DA134">
        <f t="shared" si="30"/>
        <v>1</v>
      </c>
      <c r="DB134">
        <f t="shared" si="33"/>
        <v>1128.4000000000001</v>
      </c>
      <c r="DC134">
        <f t="shared" si="34"/>
        <v>0</v>
      </c>
      <c r="DD134" t="s">
        <v>3</v>
      </c>
      <c r="DE134" t="s">
        <v>3</v>
      </c>
      <c r="DF134">
        <f t="shared" si="35"/>
        <v>877.9</v>
      </c>
      <c r="DG134">
        <f t="shared" si="36"/>
        <v>0</v>
      </c>
      <c r="DH134">
        <f t="shared" si="37"/>
        <v>0</v>
      </c>
      <c r="DI134">
        <f t="shared" si="38"/>
        <v>0</v>
      </c>
      <c r="DJ134">
        <f t="shared" si="31"/>
        <v>877.9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ROW(Source!A361)</f>
        <v>361</v>
      </c>
      <c r="B135">
        <v>75700856</v>
      </c>
      <c r="C135">
        <v>75701778</v>
      </c>
      <c r="D135">
        <v>75386788</v>
      </c>
      <c r="E135">
        <v>39</v>
      </c>
      <c r="F135">
        <v>1</v>
      </c>
      <c r="G135">
        <v>39</v>
      </c>
      <c r="H135">
        <v>1</v>
      </c>
      <c r="I135" t="s">
        <v>332</v>
      </c>
      <c r="J135" t="s">
        <v>3</v>
      </c>
      <c r="K135" t="s">
        <v>333</v>
      </c>
      <c r="L135">
        <v>1191</v>
      </c>
      <c r="N135">
        <v>1013</v>
      </c>
      <c r="O135" t="s">
        <v>334</v>
      </c>
      <c r="P135" t="s">
        <v>334</v>
      </c>
      <c r="Q135">
        <v>1</v>
      </c>
      <c r="W135">
        <v>0</v>
      </c>
      <c r="X135">
        <v>476480486</v>
      </c>
      <c r="Y135">
        <f t="shared" si="32"/>
        <v>30.74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30.74</v>
      </c>
      <c r="AU135" t="s">
        <v>3</v>
      </c>
      <c r="AV135">
        <v>1</v>
      </c>
      <c r="AW135">
        <v>2</v>
      </c>
      <c r="AX135">
        <v>75702416</v>
      </c>
      <c r="AY135">
        <v>1</v>
      </c>
      <c r="AZ135">
        <v>0</v>
      </c>
      <c r="BA135">
        <v>122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U135">
        <f>ROUND(AT135*Source!I361*AH135*AL135,2)</f>
        <v>0</v>
      </c>
      <c r="CV135">
        <f>ROUND(Y135*Source!I361,9)</f>
        <v>16.814779999999999</v>
      </c>
      <c r="CW135">
        <v>0</v>
      </c>
      <c r="CX135">
        <f>ROUND(Y135*Source!I361,9)</f>
        <v>16.814779999999999</v>
      </c>
      <c r="CY135">
        <f>AD135</f>
        <v>0</v>
      </c>
      <c r="CZ135">
        <f>AH135</f>
        <v>0</v>
      </c>
      <c r="DA135">
        <f>AL135</f>
        <v>1</v>
      </c>
      <c r="DB135">
        <f t="shared" si="33"/>
        <v>0</v>
      </c>
      <c r="DC135">
        <f t="shared" si="34"/>
        <v>0</v>
      </c>
      <c r="DD135" t="s">
        <v>3</v>
      </c>
      <c r="DE135" t="s">
        <v>3</v>
      </c>
      <c r="DF135">
        <f t="shared" si="35"/>
        <v>0</v>
      </c>
      <c r="DG135">
        <f t="shared" si="36"/>
        <v>0</v>
      </c>
      <c r="DH135">
        <f t="shared" si="37"/>
        <v>0</v>
      </c>
      <c r="DI135">
        <f t="shared" si="38"/>
        <v>0</v>
      </c>
      <c r="DJ135">
        <f>DI135</f>
        <v>0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ROW(Source!A361)</f>
        <v>361</v>
      </c>
      <c r="B136">
        <v>75700856</v>
      </c>
      <c r="C136">
        <v>75701778</v>
      </c>
      <c r="D136">
        <v>75390376</v>
      </c>
      <c r="E136">
        <v>1</v>
      </c>
      <c r="F136">
        <v>1</v>
      </c>
      <c r="G136">
        <v>39</v>
      </c>
      <c r="H136">
        <v>3</v>
      </c>
      <c r="I136" t="s">
        <v>403</v>
      </c>
      <c r="J136" t="s">
        <v>404</v>
      </c>
      <c r="K136" t="s">
        <v>405</v>
      </c>
      <c r="L136">
        <v>1346</v>
      </c>
      <c r="N136">
        <v>1009</v>
      </c>
      <c r="O136" t="s">
        <v>63</v>
      </c>
      <c r="P136" t="s">
        <v>63</v>
      </c>
      <c r="Q136">
        <v>1</v>
      </c>
      <c r="W136">
        <v>0</v>
      </c>
      <c r="X136">
        <v>1118017035</v>
      </c>
      <c r="Y136">
        <f t="shared" si="32"/>
        <v>0.36</v>
      </c>
      <c r="AA136">
        <v>26.09</v>
      </c>
      <c r="AB136">
        <v>0</v>
      </c>
      <c r="AC136">
        <v>0</v>
      </c>
      <c r="AD136">
        <v>0</v>
      </c>
      <c r="AE136">
        <v>26.09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</v>
      </c>
      <c r="AT136">
        <v>0.36</v>
      </c>
      <c r="AU136" t="s">
        <v>3</v>
      </c>
      <c r="AV136">
        <v>0</v>
      </c>
      <c r="AW136">
        <v>2</v>
      </c>
      <c r="AX136">
        <v>75702417</v>
      </c>
      <c r="AY136">
        <v>1</v>
      </c>
      <c r="AZ136">
        <v>0</v>
      </c>
      <c r="BA136">
        <v>123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ROUND(Y136*Source!I361,9)</f>
        <v>0.19692000000000001</v>
      </c>
      <c r="CY136">
        <f t="shared" ref="CY136:CY141" si="39">AA136</f>
        <v>26.09</v>
      </c>
      <c r="CZ136">
        <f t="shared" ref="CZ136:CZ141" si="40">AE136</f>
        <v>26.09</v>
      </c>
      <c r="DA136">
        <f t="shared" ref="DA136:DA141" si="41">AI136</f>
        <v>1</v>
      </c>
      <c r="DB136">
        <f t="shared" si="33"/>
        <v>9.39</v>
      </c>
      <c r="DC136">
        <f t="shared" si="34"/>
        <v>0</v>
      </c>
      <c r="DD136" t="s">
        <v>3</v>
      </c>
      <c r="DE136" t="s">
        <v>3</v>
      </c>
      <c r="DF136">
        <f t="shared" si="35"/>
        <v>5.14</v>
      </c>
      <c r="DG136">
        <f t="shared" si="36"/>
        <v>0</v>
      </c>
      <c r="DH136">
        <f t="shared" si="37"/>
        <v>0</v>
      </c>
      <c r="DI136">
        <f t="shared" si="38"/>
        <v>0</v>
      </c>
      <c r="DJ136">
        <f t="shared" ref="DJ136:DJ141" si="42">DF136</f>
        <v>5.14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ROW(Source!A361)</f>
        <v>361</v>
      </c>
      <c r="B137">
        <v>75700856</v>
      </c>
      <c r="C137">
        <v>75701778</v>
      </c>
      <c r="D137">
        <v>75390588</v>
      </c>
      <c r="E137">
        <v>1</v>
      </c>
      <c r="F137">
        <v>1</v>
      </c>
      <c r="G137">
        <v>39</v>
      </c>
      <c r="H137">
        <v>3</v>
      </c>
      <c r="I137" t="s">
        <v>350</v>
      </c>
      <c r="J137" t="s">
        <v>351</v>
      </c>
      <c r="K137" t="s">
        <v>352</v>
      </c>
      <c r="L137">
        <v>1339</v>
      </c>
      <c r="N137">
        <v>1007</v>
      </c>
      <c r="O137" t="s">
        <v>353</v>
      </c>
      <c r="P137" t="s">
        <v>353</v>
      </c>
      <c r="Q137">
        <v>1</v>
      </c>
      <c r="W137">
        <v>0</v>
      </c>
      <c r="X137">
        <v>973433911</v>
      </c>
      <c r="Y137">
        <f t="shared" si="32"/>
        <v>0.24</v>
      </c>
      <c r="AA137">
        <v>49.83</v>
      </c>
      <c r="AB137">
        <v>0</v>
      </c>
      <c r="AC137">
        <v>0</v>
      </c>
      <c r="AD137">
        <v>0</v>
      </c>
      <c r="AE137">
        <v>49.83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0.24</v>
      </c>
      <c r="AU137" t="s">
        <v>3</v>
      </c>
      <c r="AV137">
        <v>0</v>
      </c>
      <c r="AW137">
        <v>2</v>
      </c>
      <c r="AX137">
        <v>75702418</v>
      </c>
      <c r="AY137">
        <v>1</v>
      </c>
      <c r="AZ137">
        <v>0</v>
      </c>
      <c r="BA137">
        <v>124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ROUND(Y137*Source!I361,9)</f>
        <v>0.13128000000000001</v>
      </c>
      <c r="CY137">
        <f t="shared" si="39"/>
        <v>49.83</v>
      </c>
      <c r="CZ137">
        <f t="shared" si="40"/>
        <v>49.83</v>
      </c>
      <c r="DA137">
        <f t="shared" si="41"/>
        <v>1</v>
      </c>
      <c r="DB137">
        <f t="shared" si="33"/>
        <v>11.96</v>
      </c>
      <c r="DC137">
        <f t="shared" si="34"/>
        <v>0</v>
      </c>
      <c r="DD137" t="s">
        <v>3</v>
      </c>
      <c r="DE137" t="s">
        <v>3</v>
      </c>
      <c r="DF137">
        <f t="shared" si="35"/>
        <v>6.54</v>
      </c>
      <c r="DG137">
        <f t="shared" si="36"/>
        <v>0</v>
      </c>
      <c r="DH137">
        <f t="shared" si="37"/>
        <v>0</v>
      </c>
      <c r="DI137">
        <f t="shared" si="38"/>
        <v>0</v>
      </c>
      <c r="DJ137">
        <f t="shared" si="42"/>
        <v>6.54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ROW(Source!A361)</f>
        <v>361</v>
      </c>
      <c r="B138">
        <v>75700856</v>
      </c>
      <c r="C138">
        <v>75701778</v>
      </c>
      <c r="D138">
        <v>75390936</v>
      </c>
      <c r="E138">
        <v>1</v>
      </c>
      <c r="F138">
        <v>1</v>
      </c>
      <c r="G138">
        <v>39</v>
      </c>
      <c r="H138">
        <v>3</v>
      </c>
      <c r="I138" t="s">
        <v>406</v>
      </c>
      <c r="J138" t="s">
        <v>407</v>
      </c>
      <c r="K138" t="s">
        <v>408</v>
      </c>
      <c r="L138">
        <v>1327</v>
      </c>
      <c r="N138">
        <v>1005</v>
      </c>
      <c r="O138" t="s">
        <v>132</v>
      </c>
      <c r="P138" t="s">
        <v>132</v>
      </c>
      <c r="Q138">
        <v>1</v>
      </c>
      <c r="W138">
        <v>0</v>
      </c>
      <c r="X138">
        <v>-668698448</v>
      </c>
      <c r="Y138">
        <f t="shared" si="32"/>
        <v>1.6</v>
      </c>
      <c r="AA138">
        <v>338.51</v>
      </c>
      <c r="AB138">
        <v>0</v>
      </c>
      <c r="AC138">
        <v>0</v>
      </c>
      <c r="AD138">
        <v>0</v>
      </c>
      <c r="AE138">
        <v>338.51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1.6</v>
      </c>
      <c r="AU138" t="s">
        <v>3</v>
      </c>
      <c r="AV138">
        <v>0</v>
      </c>
      <c r="AW138">
        <v>2</v>
      </c>
      <c r="AX138">
        <v>75702419</v>
      </c>
      <c r="AY138">
        <v>1</v>
      </c>
      <c r="AZ138">
        <v>0</v>
      </c>
      <c r="BA138">
        <v>125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ROUND(Y138*Source!I361,9)</f>
        <v>0.87519999999999998</v>
      </c>
      <c r="CY138">
        <f t="shared" si="39"/>
        <v>338.51</v>
      </c>
      <c r="CZ138">
        <f t="shared" si="40"/>
        <v>338.51</v>
      </c>
      <c r="DA138">
        <f t="shared" si="41"/>
        <v>1</v>
      </c>
      <c r="DB138">
        <f t="shared" si="33"/>
        <v>541.62</v>
      </c>
      <c r="DC138">
        <f t="shared" si="34"/>
        <v>0</v>
      </c>
      <c r="DD138" t="s">
        <v>3</v>
      </c>
      <c r="DE138" t="s">
        <v>3</v>
      </c>
      <c r="DF138">
        <f t="shared" si="35"/>
        <v>296.26</v>
      </c>
      <c r="DG138">
        <f t="shared" si="36"/>
        <v>0</v>
      </c>
      <c r="DH138">
        <f t="shared" si="37"/>
        <v>0</v>
      </c>
      <c r="DI138">
        <f t="shared" si="38"/>
        <v>0</v>
      </c>
      <c r="DJ138">
        <f t="shared" si="42"/>
        <v>296.26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ROW(Source!A361)</f>
        <v>361</v>
      </c>
      <c r="B139">
        <v>75700856</v>
      </c>
      <c r="C139">
        <v>75701778</v>
      </c>
      <c r="D139">
        <v>75390952</v>
      </c>
      <c r="E139">
        <v>1</v>
      </c>
      <c r="F139">
        <v>1</v>
      </c>
      <c r="G139">
        <v>39</v>
      </c>
      <c r="H139">
        <v>3</v>
      </c>
      <c r="I139" t="s">
        <v>409</v>
      </c>
      <c r="J139" t="s">
        <v>410</v>
      </c>
      <c r="K139" t="s">
        <v>411</v>
      </c>
      <c r="L139">
        <v>1348</v>
      </c>
      <c r="N139">
        <v>1009</v>
      </c>
      <c r="O139" t="s">
        <v>68</v>
      </c>
      <c r="P139" t="s">
        <v>68</v>
      </c>
      <c r="Q139">
        <v>1000</v>
      </c>
      <c r="W139">
        <v>0</v>
      </c>
      <c r="X139">
        <v>1133369200</v>
      </c>
      <c r="Y139">
        <f t="shared" si="32"/>
        <v>6.7999999999999996E-3</v>
      </c>
      <c r="AA139">
        <v>76204.789999999994</v>
      </c>
      <c r="AB139">
        <v>0</v>
      </c>
      <c r="AC139">
        <v>0</v>
      </c>
      <c r="AD139">
        <v>0</v>
      </c>
      <c r="AE139">
        <v>76204.789999999994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6.7999999999999996E-3</v>
      </c>
      <c r="AU139" t="s">
        <v>3</v>
      </c>
      <c r="AV139">
        <v>0</v>
      </c>
      <c r="AW139">
        <v>2</v>
      </c>
      <c r="AX139">
        <v>75702420</v>
      </c>
      <c r="AY139">
        <v>1</v>
      </c>
      <c r="AZ139">
        <v>0</v>
      </c>
      <c r="BA139">
        <v>126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ROUND(Y139*Source!I361,9)</f>
        <v>3.7196E-3</v>
      </c>
      <c r="CY139">
        <f t="shared" si="39"/>
        <v>76204.789999999994</v>
      </c>
      <c r="CZ139">
        <f t="shared" si="40"/>
        <v>76204.789999999994</v>
      </c>
      <c r="DA139">
        <f t="shared" si="41"/>
        <v>1</v>
      </c>
      <c r="DB139">
        <f t="shared" si="33"/>
        <v>518.19000000000005</v>
      </c>
      <c r="DC139">
        <f t="shared" si="34"/>
        <v>0</v>
      </c>
      <c r="DD139" t="s">
        <v>3</v>
      </c>
      <c r="DE139" t="s">
        <v>3</v>
      </c>
      <c r="DF139">
        <f t="shared" si="35"/>
        <v>283.45</v>
      </c>
      <c r="DG139">
        <f t="shared" si="36"/>
        <v>0</v>
      </c>
      <c r="DH139">
        <f t="shared" si="37"/>
        <v>0</v>
      </c>
      <c r="DI139">
        <f t="shared" si="38"/>
        <v>0</v>
      </c>
      <c r="DJ139">
        <f t="shared" si="42"/>
        <v>283.45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ROW(Source!A361)</f>
        <v>361</v>
      </c>
      <c r="B140">
        <v>75700856</v>
      </c>
      <c r="C140">
        <v>75701778</v>
      </c>
      <c r="D140">
        <v>75389192</v>
      </c>
      <c r="E140">
        <v>1</v>
      </c>
      <c r="F140">
        <v>1</v>
      </c>
      <c r="G140">
        <v>39</v>
      </c>
      <c r="H140">
        <v>3</v>
      </c>
      <c r="I140" t="s">
        <v>454</v>
      </c>
      <c r="J140" t="s">
        <v>455</v>
      </c>
      <c r="K140" t="s">
        <v>456</v>
      </c>
      <c r="L140">
        <v>1346</v>
      </c>
      <c r="N140">
        <v>1009</v>
      </c>
      <c r="O140" t="s">
        <v>63</v>
      </c>
      <c r="P140" t="s">
        <v>63</v>
      </c>
      <c r="Q140">
        <v>1</v>
      </c>
      <c r="W140">
        <v>0</v>
      </c>
      <c r="X140">
        <v>-959966110</v>
      </c>
      <c r="Y140">
        <f t="shared" si="32"/>
        <v>24.8</v>
      </c>
      <c r="AA140">
        <v>157.52000000000001</v>
      </c>
      <c r="AB140">
        <v>0</v>
      </c>
      <c r="AC140">
        <v>0</v>
      </c>
      <c r="AD140">
        <v>0</v>
      </c>
      <c r="AE140">
        <v>157.52000000000001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24.8</v>
      </c>
      <c r="AU140" t="s">
        <v>3</v>
      </c>
      <c r="AV140">
        <v>0</v>
      </c>
      <c r="AW140">
        <v>2</v>
      </c>
      <c r="AX140">
        <v>75702421</v>
      </c>
      <c r="AY140">
        <v>1</v>
      </c>
      <c r="AZ140">
        <v>0</v>
      </c>
      <c r="BA140">
        <v>127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ROUND(Y140*Source!I361,9)</f>
        <v>13.5656</v>
      </c>
      <c r="CY140">
        <f t="shared" si="39"/>
        <v>157.52000000000001</v>
      </c>
      <c r="CZ140">
        <f t="shared" si="40"/>
        <v>157.52000000000001</v>
      </c>
      <c r="DA140">
        <f t="shared" si="41"/>
        <v>1</v>
      </c>
      <c r="DB140">
        <f t="shared" si="33"/>
        <v>3906.5</v>
      </c>
      <c r="DC140">
        <f t="shared" si="34"/>
        <v>0</v>
      </c>
      <c r="DD140" t="s">
        <v>3</v>
      </c>
      <c r="DE140" t="s">
        <v>3</v>
      </c>
      <c r="DF140">
        <f t="shared" si="35"/>
        <v>2136.85</v>
      </c>
      <c r="DG140">
        <f t="shared" si="36"/>
        <v>0</v>
      </c>
      <c r="DH140">
        <f t="shared" si="37"/>
        <v>0</v>
      </c>
      <c r="DI140">
        <f t="shared" si="38"/>
        <v>0</v>
      </c>
      <c r="DJ140">
        <f t="shared" si="42"/>
        <v>2136.85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ROW(Source!A361)</f>
        <v>361</v>
      </c>
      <c r="B141">
        <v>75700856</v>
      </c>
      <c r="C141">
        <v>75701778</v>
      </c>
      <c r="D141">
        <v>75389195</v>
      </c>
      <c r="E141">
        <v>1</v>
      </c>
      <c r="F141">
        <v>1</v>
      </c>
      <c r="G141">
        <v>39</v>
      </c>
      <c r="H141">
        <v>3</v>
      </c>
      <c r="I141" t="s">
        <v>415</v>
      </c>
      <c r="J141" t="s">
        <v>416</v>
      </c>
      <c r="K141" t="s">
        <v>417</v>
      </c>
      <c r="L141">
        <v>1346</v>
      </c>
      <c r="N141">
        <v>1009</v>
      </c>
      <c r="O141" t="s">
        <v>63</v>
      </c>
      <c r="P141" t="s">
        <v>63</v>
      </c>
      <c r="Q141">
        <v>1</v>
      </c>
      <c r="W141">
        <v>0</v>
      </c>
      <c r="X141">
        <v>2089374929</v>
      </c>
      <c r="Y141">
        <f t="shared" si="32"/>
        <v>14</v>
      </c>
      <c r="AA141">
        <v>80.599999999999994</v>
      </c>
      <c r="AB141">
        <v>0</v>
      </c>
      <c r="AC141">
        <v>0</v>
      </c>
      <c r="AD141">
        <v>0</v>
      </c>
      <c r="AE141">
        <v>80.599999999999994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14</v>
      </c>
      <c r="AU141" t="s">
        <v>3</v>
      </c>
      <c r="AV141">
        <v>0</v>
      </c>
      <c r="AW141">
        <v>2</v>
      </c>
      <c r="AX141">
        <v>75702422</v>
      </c>
      <c r="AY141">
        <v>1</v>
      </c>
      <c r="AZ141">
        <v>0</v>
      </c>
      <c r="BA141">
        <v>128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ROUND(Y141*Source!I361,9)</f>
        <v>7.6580000000000004</v>
      </c>
      <c r="CY141">
        <f t="shared" si="39"/>
        <v>80.599999999999994</v>
      </c>
      <c r="CZ141">
        <f t="shared" si="40"/>
        <v>80.599999999999994</v>
      </c>
      <c r="DA141">
        <f t="shared" si="41"/>
        <v>1</v>
      </c>
      <c r="DB141">
        <f t="shared" si="33"/>
        <v>1128.4000000000001</v>
      </c>
      <c r="DC141">
        <f t="shared" si="34"/>
        <v>0</v>
      </c>
      <c r="DD141" t="s">
        <v>3</v>
      </c>
      <c r="DE141" t="s">
        <v>3</v>
      </c>
      <c r="DF141">
        <f t="shared" si="35"/>
        <v>617.23</v>
      </c>
      <c r="DG141">
        <f t="shared" si="36"/>
        <v>0</v>
      </c>
      <c r="DH141">
        <f t="shared" si="37"/>
        <v>0</v>
      </c>
      <c r="DI141">
        <f t="shared" si="38"/>
        <v>0</v>
      </c>
      <c r="DJ141">
        <f t="shared" si="42"/>
        <v>617.23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ROW(Source!A397)</f>
        <v>397</v>
      </c>
      <c r="B142">
        <v>75700856</v>
      </c>
      <c r="C142">
        <v>75701849</v>
      </c>
      <c r="D142">
        <v>75386788</v>
      </c>
      <c r="E142">
        <v>39</v>
      </c>
      <c r="F142">
        <v>1</v>
      </c>
      <c r="G142">
        <v>39</v>
      </c>
      <c r="H142">
        <v>1</v>
      </c>
      <c r="I142" t="s">
        <v>332</v>
      </c>
      <c r="J142" t="s">
        <v>3</v>
      </c>
      <c r="K142" t="s">
        <v>333</v>
      </c>
      <c r="L142">
        <v>1191</v>
      </c>
      <c r="N142">
        <v>1013</v>
      </c>
      <c r="O142" t="s">
        <v>334</v>
      </c>
      <c r="P142" t="s">
        <v>334</v>
      </c>
      <c r="Q142">
        <v>1</v>
      </c>
      <c r="W142">
        <v>0</v>
      </c>
      <c r="X142">
        <v>476480486</v>
      </c>
      <c r="Y142">
        <f>(AT142*0.2)</f>
        <v>1.4800000000000002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7.4</v>
      </c>
      <c r="AU142" t="s">
        <v>261</v>
      </c>
      <c r="AV142">
        <v>1</v>
      </c>
      <c r="AW142">
        <v>2</v>
      </c>
      <c r="AX142">
        <v>75702423</v>
      </c>
      <c r="AY142">
        <v>1</v>
      </c>
      <c r="AZ142">
        <v>0</v>
      </c>
      <c r="BA142">
        <v>129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U142">
        <f>ROUND(AT142*Source!I397*AH142*AL142,2)</f>
        <v>0</v>
      </c>
      <c r="CV142">
        <f>ROUND(Y142*Source!I397,9)</f>
        <v>0.18204000000000001</v>
      </c>
      <c r="CW142">
        <v>0</v>
      </c>
      <c r="CX142">
        <f>ROUND(Y142*Source!I397,9)</f>
        <v>0.18204000000000001</v>
      </c>
      <c r="CY142">
        <f>AD142</f>
        <v>0</v>
      </c>
      <c r="CZ142">
        <f>AH142</f>
        <v>0</v>
      </c>
      <c r="DA142">
        <f>AL142</f>
        <v>1</v>
      </c>
      <c r="DB142">
        <f>ROUND((ROUND(AT142*CZ142,2)*0.2),6)</f>
        <v>0</v>
      </c>
      <c r="DC142">
        <f>ROUND((ROUND(AT142*AG142,2)*0.2),6)</f>
        <v>0</v>
      </c>
      <c r="DD142" t="s">
        <v>3</v>
      </c>
      <c r="DE142" t="s">
        <v>3</v>
      </c>
      <c r="DF142">
        <f t="shared" si="35"/>
        <v>0</v>
      </c>
      <c r="DG142">
        <f t="shared" si="36"/>
        <v>0</v>
      </c>
      <c r="DH142">
        <f t="shared" si="37"/>
        <v>0</v>
      </c>
      <c r="DI142">
        <f t="shared" si="38"/>
        <v>0</v>
      </c>
      <c r="DJ142">
        <f>DI142</f>
        <v>0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ROW(Source!A397)</f>
        <v>397</v>
      </c>
      <c r="B143">
        <v>75700856</v>
      </c>
      <c r="C143">
        <v>75701849</v>
      </c>
      <c r="D143">
        <v>75390706</v>
      </c>
      <c r="E143">
        <v>1</v>
      </c>
      <c r="F143">
        <v>1</v>
      </c>
      <c r="G143">
        <v>39</v>
      </c>
      <c r="H143">
        <v>3</v>
      </c>
      <c r="I143" t="s">
        <v>457</v>
      </c>
      <c r="J143" t="s">
        <v>458</v>
      </c>
      <c r="K143" t="s">
        <v>459</v>
      </c>
      <c r="L143">
        <v>1301</v>
      </c>
      <c r="N143">
        <v>1003</v>
      </c>
      <c r="O143" t="s">
        <v>49</v>
      </c>
      <c r="P143" t="s">
        <v>49</v>
      </c>
      <c r="Q143">
        <v>1</v>
      </c>
      <c r="W143">
        <v>0</v>
      </c>
      <c r="X143">
        <v>1792308677</v>
      </c>
      <c r="Y143">
        <f>(AT143*0)</f>
        <v>0</v>
      </c>
      <c r="AA143">
        <v>2.2400000000000002</v>
      </c>
      <c r="AB143">
        <v>0</v>
      </c>
      <c r="AC143">
        <v>0</v>
      </c>
      <c r="AD143">
        <v>0</v>
      </c>
      <c r="AE143">
        <v>2.2400000000000002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13</v>
      </c>
      <c r="AU143" t="s">
        <v>260</v>
      </c>
      <c r="AV143">
        <v>0</v>
      </c>
      <c r="AW143">
        <v>2</v>
      </c>
      <c r="AX143">
        <v>75702424</v>
      </c>
      <c r="AY143">
        <v>1</v>
      </c>
      <c r="AZ143">
        <v>0</v>
      </c>
      <c r="BA143">
        <v>130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ROUND(Y143*Source!I397,9)</f>
        <v>0</v>
      </c>
      <c r="CY143">
        <f>AA143</f>
        <v>2.2400000000000002</v>
      </c>
      <c r="CZ143">
        <f>AE143</f>
        <v>2.2400000000000002</v>
      </c>
      <c r="DA143">
        <f>AI143</f>
        <v>1</v>
      </c>
      <c r="DB143">
        <f>ROUND((ROUND(AT143*CZ143,2)*0),6)</f>
        <v>0</v>
      </c>
      <c r="DC143">
        <f>ROUND((ROUND(AT143*AG143,2)*0),6)</f>
        <v>0</v>
      </c>
      <c r="DD143" t="s">
        <v>3</v>
      </c>
      <c r="DE143" t="s">
        <v>3</v>
      </c>
      <c r="DF143">
        <f t="shared" si="35"/>
        <v>0</v>
      </c>
      <c r="DG143">
        <f t="shared" si="36"/>
        <v>0</v>
      </c>
      <c r="DH143">
        <f t="shared" si="37"/>
        <v>0</v>
      </c>
      <c r="DI143">
        <f t="shared" si="38"/>
        <v>0</v>
      </c>
      <c r="DJ143">
        <f>DF143</f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ROW(Source!A397)</f>
        <v>397</v>
      </c>
      <c r="B144">
        <v>75700856</v>
      </c>
      <c r="C144">
        <v>75701849</v>
      </c>
      <c r="D144">
        <v>75390645</v>
      </c>
      <c r="E144">
        <v>1</v>
      </c>
      <c r="F144">
        <v>1</v>
      </c>
      <c r="G144">
        <v>39</v>
      </c>
      <c r="H144">
        <v>3</v>
      </c>
      <c r="I144" t="s">
        <v>460</v>
      </c>
      <c r="J144" t="s">
        <v>461</v>
      </c>
      <c r="K144" t="s">
        <v>462</v>
      </c>
      <c r="L144">
        <v>1296</v>
      </c>
      <c r="N144">
        <v>1002</v>
      </c>
      <c r="O144" t="s">
        <v>402</v>
      </c>
      <c r="P144" t="s">
        <v>402</v>
      </c>
      <c r="Q144">
        <v>1</v>
      </c>
      <c r="W144">
        <v>0</v>
      </c>
      <c r="X144">
        <v>2116147259</v>
      </c>
      <c r="Y144">
        <f>(AT144*0)</f>
        <v>0</v>
      </c>
      <c r="AA144">
        <v>594.64</v>
      </c>
      <c r="AB144">
        <v>0</v>
      </c>
      <c r="AC144">
        <v>0</v>
      </c>
      <c r="AD144">
        <v>0</v>
      </c>
      <c r="AE144">
        <v>594.64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0.56999999999999995</v>
      </c>
      <c r="AU144" t="s">
        <v>260</v>
      </c>
      <c r="AV144">
        <v>0</v>
      </c>
      <c r="AW144">
        <v>2</v>
      </c>
      <c r="AX144">
        <v>75702425</v>
      </c>
      <c r="AY144">
        <v>1</v>
      </c>
      <c r="AZ144">
        <v>0</v>
      </c>
      <c r="BA144">
        <v>131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ROUND(Y144*Source!I397,9)</f>
        <v>0</v>
      </c>
      <c r="CY144">
        <f>AA144</f>
        <v>594.64</v>
      </c>
      <c r="CZ144">
        <f>AE144</f>
        <v>594.64</v>
      </c>
      <c r="DA144">
        <f>AI144</f>
        <v>1</v>
      </c>
      <c r="DB144">
        <f>ROUND((ROUND(AT144*CZ144,2)*0),6)</f>
        <v>0</v>
      </c>
      <c r="DC144">
        <f>ROUND((ROUND(AT144*AG144,2)*0),6)</f>
        <v>0</v>
      </c>
      <c r="DD144" t="s">
        <v>3</v>
      </c>
      <c r="DE144" t="s">
        <v>3</v>
      </c>
      <c r="DF144">
        <f t="shared" si="35"/>
        <v>0</v>
      </c>
      <c r="DG144">
        <f t="shared" si="36"/>
        <v>0</v>
      </c>
      <c r="DH144">
        <f t="shared" si="37"/>
        <v>0</v>
      </c>
      <c r="DI144">
        <f t="shared" si="38"/>
        <v>0</v>
      </c>
      <c r="DJ144">
        <f>DF144</f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ROW(Source!A398)</f>
        <v>398</v>
      </c>
      <c r="B145">
        <v>75700856</v>
      </c>
      <c r="C145">
        <v>75701857</v>
      </c>
      <c r="D145">
        <v>75386788</v>
      </c>
      <c r="E145">
        <v>39</v>
      </c>
      <c r="F145">
        <v>1</v>
      </c>
      <c r="G145">
        <v>39</v>
      </c>
      <c r="H145">
        <v>1</v>
      </c>
      <c r="I145" t="s">
        <v>332</v>
      </c>
      <c r="J145" t="s">
        <v>3</v>
      </c>
      <c r="K145" t="s">
        <v>333</v>
      </c>
      <c r="L145">
        <v>1191</v>
      </c>
      <c r="N145">
        <v>1013</v>
      </c>
      <c r="O145" t="s">
        <v>334</v>
      </c>
      <c r="P145" t="s">
        <v>334</v>
      </c>
      <c r="Q145">
        <v>1</v>
      </c>
      <c r="W145">
        <v>0</v>
      </c>
      <c r="X145">
        <v>476480486</v>
      </c>
      <c r="Y145">
        <f>(AT145*0.2)</f>
        <v>1.6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8</v>
      </c>
      <c r="AU145" t="s">
        <v>261</v>
      </c>
      <c r="AV145">
        <v>1</v>
      </c>
      <c r="AW145">
        <v>2</v>
      </c>
      <c r="AX145">
        <v>75702427</v>
      </c>
      <c r="AY145">
        <v>1</v>
      </c>
      <c r="AZ145">
        <v>0</v>
      </c>
      <c r="BA145">
        <v>133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U145">
        <f>ROUND(AT145*Source!I398*AH145*AL145,2)</f>
        <v>0</v>
      </c>
      <c r="CV145">
        <f>ROUND(Y145*Source!I398,9)</f>
        <v>0.1152</v>
      </c>
      <c r="CW145">
        <v>0</v>
      </c>
      <c r="CX145">
        <f>ROUND(Y145*Source!I398,9)</f>
        <v>0.1152</v>
      </c>
      <c r="CY145">
        <f>AD145</f>
        <v>0</v>
      </c>
      <c r="CZ145">
        <f>AH145</f>
        <v>0</v>
      </c>
      <c r="DA145">
        <f>AL145</f>
        <v>1</v>
      </c>
      <c r="DB145">
        <f>ROUND((ROUND(AT145*CZ145,2)*0.2),6)</f>
        <v>0</v>
      </c>
      <c r="DC145">
        <f>ROUND((ROUND(AT145*AG145,2)*0.2),6)</f>
        <v>0</v>
      </c>
      <c r="DD145" t="s">
        <v>3</v>
      </c>
      <c r="DE145" t="s">
        <v>3</v>
      </c>
      <c r="DF145">
        <f t="shared" si="35"/>
        <v>0</v>
      </c>
      <c r="DG145">
        <f t="shared" si="36"/>
        <v>0</v>
      </c>
      <c r="DH145">
        <f t="shared" si="37"/>
        <v>0</v>
      </c>
      <c r="DI145">
        <f t="shared" si="38"/>
        <v>0</v>
      </c>
      <c r="DJ145">
        <f>DI145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ROW(Source!A398)</f>
        <v>398</v>
      </c>
      <c r="B146">
        <v>75700856</v>
      </c>
      <c r="C146">
        <v>75701857</v>
      </c>
      <c r="D146">
        <v>75390706</v>
      </c>
      <c r="E146">
        <v>1</v>
      </c>
      <c r="F146">
        <v>1</v>
      </c>
      <c r="G146">
        <v>39</v>
      </c>
      <c r="H146">
        <v>3</v>
      </c>
      <c r="I146" t="s">
        <v>457</v>
      </c>
      <c r="J146" t="s">
        <v>458</v>
      </c>
      <c r="K146" t="s">
        <v>459</v>
      </c>
      <c r="L146">
        <v>1301</v>
      </c>
      <c r="N146">
        <v>1003</v>
      </c>
      <c r="O146" t="s">
        <v>49</v>
      </c>
      <c r="P146" t="s">
        <v>49</v>
      </c>
      <c r="Q146">
        <v>1</v>
      </c>
      <c r="W146">
        <v>0</v>
      </c>
      <c r="X146">
        <v>1792308677</v>
      </c>
      <c r="Y146">
        <f>(AT146*0)</f>
        <v>0</v>
      </c>
      <c r="AA146">
        <v>2.2400000000000002</v>
      </c>
      <c r="AB146">
        <v>0</v>
      </c>
      <c r="AC146">
        <v>0</v>
      </c>
      <c r="AD146">
        <v>0</v>
      </c>
      <c r="AE146">
        <v>2.2400000000000002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13</v>
      </c>
      <c r="AU146" t="s">
        <v>260</v>
      </c>
      <c r="AV146">
        <v>0</v>
      </c>
      <c r="AW146">
        <v>2</v>
      </c>
      <c r="AX146">
        <v>75702428</v>
      </c>
      <c r="AY146">
        <v>1</v>
      </c>
      <c r="AZ146">
        <v>0</v>
      </c>
      <c r="BA146">
        <v>134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ROUND(Y146*Source!I398,9)</f>
        <v>0</v>
      </c>
      <c r="CY146">
        <f>AA146</f>
        <v>2.2400000000000002</v>
      </c>
      <c r="CZ146">
        <f>AE146</f>
        <v>2.2400000000000002</v>
      </c>
      <c r="DA146">
        <f>AI146</f>
        <v>1</v>
      </c>
      <c r="DB146">
        <f>ROUND((ROUND(AT146*CZ146,2)*0),6)</f>
        <v>0</v>
      </c>
      <c r="DC146">
        <f>ROUND((ROUND(AT146*AG146,2)*0),6)</f>
        <v>0</v>
      </c>
      <c r="DD146" t="s">
        <v>3</v>
      </c>
      <c r="DE146" t="s">
        <v>3</v>
      </c>
      <c r="DF146">
        <f t="shared" si="35"/>
        <v>0</v>
      </c>
      <c r="DG146">
        <f t="shared" si="36"/>
        <v>0</v>
      </c>
      <c r="DH146">
        <f t="shared" si="37"/>
        <v>0</v>
      </c>
      <c r="DI146">
        <f t="shared" si="38"/>
        <v>0</v>
      </c>
      <c r="DJ146">
        <f>DF146</f>
        <v>0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ROW(Source!A398)</f>
        <v>398</v>
      </c>
      <c r="B147">
        <v>75700856</v>
      </c>
      <c r="C147">
        <v>75701857</v>
      </c>
      <c r="D147">
        <v>75390645</v>
      </c>
      <c r="E147">
        <v>1</v>
      </c>
      <c r="F147">
        <v>1</v>
      </c>
      <c r="G147">
        <v>39</v>
      </c>
      <c r="H147">
        <v>3</v>
      </c>
      <c r="I147" t="s">
        <v>460</v>
      </c>
      <c r="J147" t="s">
        <v>461</v>
      </c>
      <c r="K147" t="s">
        <v>462</v>
      </c>
      <c r="L147">
        <v>1296</v>
      </c>
      <c r="N147">
        <v>1002</v>
      </c>
      <c r="O147" t="s">
        <v>402</v>
      </c>
      <c r="P147" t="s">
        <v>402</v>
      </c>
      <c r="Q147">
        <v>1</v>
      </c>
      <c r="W147">
        <v>0</v>
      </c>
      <c r="X147">
        <v>2116147259</v>
      </c>
      <c r="Y147">
        <f>(AT147*0)</f>
        <v>0</v>
      </c>
      <c r="AA147">
        <v>594.64</v>
      </c>
      <c r="AB147">
        <v>0</v>
      </c>
      <c r="AC147">
        <v>0</v>
      </c>
      <c r="AD147">
        <v>0</v>
      </c>
      <c r="AE147">
        <v>594.64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0.56999999999999995</v>
      </c>
      <c r="AU147" t="s">
        <v>260</v>
      </c>
      <c r="AV147">
        <v>0</v>
      </c>
      <c r="AW147">
        <v>2</v>
      </c>
      <c r="AX147">
        <v>75702429</v>
      </c>
      <c r="AY147">
        <v>1</v>
      </c>
      <c r="AZ147">
        <v>0</v>
      </c>
      <c r="BA147">
        <v>135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ROUND(Y147*Source!I398,9)</f>
        <v>0</v>
      </c>
      <c r="CY147">
        <f>AA147</f>
        <v>594.64</v>
      </c>
      <c r="CZ147">
        <f>AE147</f>
        <v>594.64</v>
      </c>
      <c r="DA147">
        <f>AI147</f>
        <v>1</v>
      </c>
      <c r="DB147">
        <f>ROUND((ROUND(AT147*CZ147,2)*0),6)</f>
        <v>0</v>
      </c>
      <c r="DC147">
        <f>ROUND((ROUND(AT147*AG147,2)*0),6)</f>
        <v>0</v>
      </c>
      <c r="DD147" t="s">
        <v>3</v>
      </c>
      <c r="DE147" t="s">
        <v>3</v>
      </c>
      <c r="DF147">
        <f t="shared" si="35"/>
        <v>0</v>
      </c>
      <c r="DG147">
        <f t="shared" si="36"/>
        <v>0</v>
      </c>
      <c r="DH147">
        <f t="shared" si="37"/>
        <v>0</v>
      </c>
      <c r="DI147">
        <f t="shared" si="38"/>
        <v>0</v>
      </c>
      <c r="DJ147">
        <f>DF147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ROW(Source!A399)</f>
        <v>399</v>
      </c>
      <c r="B148">
        <v>75700856</v>
      </c>
      <c r="C148">
        <v>75701865</v>
      </c>
      <c r="D148">
        <v>75386788</v>
      </c>
      <c r="E148">
        <v>39</v>
      </c>
      <c r="F148">
        <v>1</v>
      </c>
      <c r="G148">
        <v>39</v>
      </c>
      <c r="H148">
        <v>1</v>
      </c>
      <c r="I148" t="s">
        <v>332</v>
      </c>
      <c r="J148" t="s">
        <v>3</v>
      </c>
      <c r="K148" t="s">
        <v>333</v>
      </c>
      <c r="L148">
        <v>1191</v>
      </c>
      <c r="N148">
        <v>1013</v>
      </c>
      <c r="O148" t="s">
        <v>334</v>
      </c>
      <c r="P148" t="s">
        <v>334</v>
      </c>
      <c r="Q148">
        <v>1</v>
      </c>
      <c r="W148">
        <v>0</v>
      </c>
      <c r="X148">
        <v>476480486</v>
      </c>
      <c r="Y148">
        <f t="shared" ref="Y148:Y179" si="43">AT148</f>
        <v>7.4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7.4</v>
      </c>
      <c r="AU148" t="s">
        <v>3</v>
      </c>
      <c r="AV148">
        <v>1</v>
      </c>
      <c r="AW148">
        <v>2</v>
      </c>
      <c r="AX148">
        <v>75702431</v>
      </c>
      <c r="AY148">
        <v>1</v>
      </c>
      <c r="AZ148">
        <v>0</v>
      </c>
      <c r="BA148">
        <v>137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U148">
        <f>ROUND(AT148*Source!I399*AH148*AL148,2)</f>
        <v>0</v>
      </c>
      <c r="CV148">
        <f>ROUND(Y148*Source!I399,9)</f>
        <v>0.91020000000000001</v>
      </c>
      <c r="CW148">
        <v>0</v>
      </c>
      <c r="CX148">
        <f>ROUND(Y148*Source!I399,9)</f>
        <v>0.91020000000000001</v>
      </c>
      <c r="CY148">
        <f>AD148</f>
        <v>0</v>
      </c>
      <c r="CZ148">
        <f>AH148</f>
        <v>0</v>
      </c>
      <c r="DA148">
        <f>AL148</f>
        <v>1</v>
      </c>
      <c r="DB148">
        <f t="shared" ref="DB148:DB179" si="44">ROUND(ROUND(AT148*CZ148,2),6)</f>
        <v>0</v>
      </c>
      <c r="DC148">
        <f t="shared" ref="DC148:DC179" si="45">ROUND(ROUND(AT148*AG148,2),6)</f>
        <v>0</v>
      </c>
      <c r="DD148" t="s">
        <v>3</v>
      </c>
      <c r="DE148" t="s">
        <v>3</v>
      </c>
      <c r="DF148">
        <f t="shared" si="35"/>
        <v>0</v>
      </c>
      <c r="DG148">
        <f t="shared" si="36"/>
        <v>0</v>
      </c>
      <c r="DH148">
        <f t="shared" si="37"/>
        <v>0</v>
      </c>
      <c r="DI148">
        <f t="shared" si="38"/>
        <v>0</v>
      </c>
      <c r="DJ148">
        <f>DI148</f>
        <v>0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ROW(Source!A399)</f>
        <v>399</v>
      </c>
      <c r="B149">
        <v>75700856</v>
      </c>
      <c r="C149">
        <v>75701865</v>
      </c>
      <c r="D149">
        <v>75391395</v>
      </c>
      <c r="E149">
        <v>1</v>
      </c>
      <c r="F149">
        <v>1</v>
      </c>
      <c r="G149">
        <v>39</v>
      </c>
      <c r="H149">
        <v>3</v>
      </c>
      <c r="I149" t="s">
        <v>269</v>
      </c>
      <c r="J149" t="s">
        <v>271</v>
      </c>
      <c r="K149" t="s">
        <v>270</v>
      </c>
      <c r="L149">
        <v>1301</v>
      </c>
      <c r="N149">
        <v>1003</v>
      </c>
      <c r="O149" t="s">
        <v>49</v>
      </c>
      <c r="P149" t="s">
        <v>49</v>
      </c>
      <c r="Q149">
        <v>1</v>
      </c>
      <c r="W149">
        <v>0</v>
      </c>
      <c r="X149">
        <v>170470939</v>
      </c>
      <c r="Y149">
        <f t="shared" si="43"/>
        <v>101</v>
      </c>
      <c r="AA149">
        <v>28.54</v>
      </c>
      <c r="AB149">
        <v>0</v>
      </c>
      <c r="AC149">
        <v>0</v>
      </c>
      <c r="AD149">
        <v>0</v>
      </c>
      <c r="AE149">
        <v>28.54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0</v>
      </c>
      <c r="AN149">
        <v>0</v>
      </c>
      <c r="AO149">
        <v>0</v>
      </c>
      <c r="AP149">
        <v>1</v>
      </c>
      <c r="AQ149">
        <v>0</v>
      </c>
      <c r="AR149">
        <v>0</v>
      </c>
      <c r="AS149" t="s">
        <v>3</v>
      </c>
      <c r="AT149">
        <v>101</v>
      </c>
      <c r="AU149" t="s">
        <v>3</v>
      </c>
      <c r="AV149">
        <v>0</v>
      </c>
      <c r="AW149">
        <v>1</v>
      </c>
      <c r="AX149">
        <v>-1</v>
      </c>
      <c r="AY149">
        <v>0</v>
      </c>
      <c r="AZ149">
        <v>0</v>
      </c>
      <c r="BA149" t="s">
        <v>3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ROUND(Y149*Source!I399,9)</f>
        <v>12.423</v>
      </c>
      <c r="CY149">
        <f>AA149</f>
        <v>28.54</v>
      </c>
      <c r="CZ149">
        <f>AE149</f>
        <v>28.54</v>
      </c>
      <c r="DA149">
        <f>AI149</f>
        <v>1</v>
      </c>
      <c r="DB149">
        <f t="shared" si="44"/>
        <v>2882.54</v>
      </c>
      <c r="DC149">
        <f t="shared" si="45"/>
        <v>0</v>
      </c>
      <c r="DD149" t="s">
        <v>3</v>
      </c>
      <c r="DE149" t="s">
        <v>3</v>
      </c>
      <c r="DF149">
        <f t="shared" si="35"/>
        <v>354.55</v>
      </c>
      <c r="DG149">
        <f t="shared" si="36"/>
        <v>0</v>
      </c>
      <c r="DH149">
        <f t="shared" si="37"/>
        <v>0</v>
      </c>
      <c r="DI149">
        <f t="shared" si="38"/>
        <v>0</v>
      </c>
      <c r="DJ149">
        <f>DF149</f>
        <v>354.55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ROW(Source!A399)</f>
        <v>399</v>
      </c>
      <c r="B150">
        <v>75700856</v>
      </c>
      <c r="C150">
        <v>75701865</v>
      </c>
      <c r="D150">
        <v>75390706</v>
      </c>
      <c r="E150">
        <v>1</v>
      </c>
      <c r="F150">
        <v>1</v>
      </c>
      <c r="G150">
        <v>39</v>
      </c>
      <c r="H150">
        <v>3</v>
      </c>
      <c r="I150" t="s">
        <v>457</v>
      </c>
      <c r="J150" t="s">
        <v>458</v>
      </c>
      <c r="K150" t="s">
        <v>459</v>
      </c>
      <c r="L150">
        <v>1301</v>
      </c>
      <c r="N150">
        <v>1003</v>
      </c>
      <c r="O150" t="s">
        <v>49</v>
      </c>
      <c r="P150" t="s">
        <v>49</v>
      </c>
      <c r="Q150">
        <v>1</v>
      </c>
      <c r="W150">
        <v>0</v>
      </c>
      <c r="X150">
        <v>1792308677</v>
      </c>
      <c r="Y150">
        <f t="shared" si="43"/>
        <v>13</v>
      </c>
      <c r="AA150">
        <v>2.2400000000000002</v>
      </c>
      <c r="AB150">
        <v>0</v>
      </c>
      <c r="AC150">
        <v>0</v>
      </c>
      <c r="AD150">
        <v>0</v>
      </c>
      <c r="AE150">
        <v>2.2400000000000002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3</v>
      </c>
      <c r="AT150">
        <v>13</v>
      </c>
      <c r="AU150" t="s">
        <v>3</v>
      </c>
      <c r="AV150">
        <v>0</v>
      </c>
      <c r="AW150">
        <v>2</v>
      </c>
      <c r="AX150">
        <v>75702432</v>
      </c>
      <c r="AY150">
        <v>1</v>
      </c>
      <c r="AZ150">
        <v>0</v>
      </c>
      <c r="BA150">
        <v>138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ROUND(Y150*Source!I399,9)</f>
        <v>1.599</v>
      </c>
      <c r="CY150">
        <f>AA150</f>
        <v>2.2400000000000002</v>
      </c>
      <c r="CZ150">
        <f>AE150</f>
        <v>2.2400000000000002</v>
      </c>
      <c r="DA150">
        <f>AI150</f>
        <v>1</v>
      </c>
      <c r="DB150">
        <f t="shared" si="44"/>
        <v>29.12</v>
      </c>
      <c r="DC150">
        <f t="shared" si="45"/>
        <v>0</v>
      </c>
      <c r="DD150" t="s">
        <v>3</v>
      </c>
      <c r="DE150" t="s">
        <v>3</v>
      </c>
      <c r="DF150">
        <f t="shared" si="35"/>
        <v>3.58</v>
      </c>
      <c r="DG150">
        <f t="shared" si="36"/>
        <v>0</v>
      </c>
      <c r="DH150">
        <f t="shared" si="37"/>
        <v>0</v>
      </c>
      <c r="DI150">
        <f t="shared" si="38"/>
        <v>0</v>
      </c>
      <c r="DJ150">
        <f>DF150</f>
        <v>3.58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ROW(Source!A399)</f>
        <v>399</v>
      </c>
      <c r="B151">
        <v>75700856</v>
      </c>
      <c r="C151">
        <v>75701865</v>
      </c>
      <c r="D151">
        <v>75390645</v>
      </c>
      <c r="E151">
        <v>1</v>
      </c>
      <c r="F151">
        <v>1</v>
      </c>
      <c r="G151">
        <v>39</v>
      </c>
      <c r="H151">
        <v>3</v>
      </c>
      <c r="I151" t="s">
        <v>460</v>
      </c>
      <c r="J151" t="s">
        <v>461</v>
      </c>
      <c r="K151" t="s">
        <v>462</v>
      </c>
      <c r="L151">
        <v>1296</v>
      </c>
      <c r="N151">
        <v>1002</v>
      </c>
      <c r="O151" t="s">
        <v>402</v>
      </c>
      <c r="P151" t="s">
        <v>402</v>
      </c>
      <c r="Q151">
        <v>1</v>
      </c>
      <c r="W151">
        <v>0</v>
      </c>
      <c r="X151">
        <v>2116147259</v>
      </c>
      <c r="Y151">
        <f t="shared" si="43"/>
        <v>0.56999999999999995</v>
      </c>
      <c r="AA151">
        <v>594.64</v>
      </c>
      <c r="AB151">
        <v>0</v>
      </c>
      <c r="AC151">
        <v>0</v>
      </c>
      <c r="AD151">
        <v>0</v>
      </c>
      <c r="AE151">
        <v>594.64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0.56999999999999995</v>
      </c>
      <c r="AU151" t="s">
        <v>3</v>
      </c>
      <c r="AV151">
        <v>0</v>
      </c>
      <c r="AW151">
        <v>2</v>
      </c>
      <c r="AX151">
        <v>75702433</v>
      </c>
      <c r="AY151">
        <v>1</v>
      </c>
      <c r="AZ151">
        <v>0</v>
      </c>
      <c r="BA151">
        <v>139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ROUND(Y151*Source!I399,9)</f>
        <v>7.0110000000000006E-2</v>
      </c>
      <c r="CY151">
        <f>AA151</f>
        <v>594.64</v>
      </c>
      <c r="CZ151">
        <f>AE151</f>
        <v>594.64</v>
      </c>
      <c r="DA151">
        <f>AI151</f>
        <v>1</v>
      </c>
      <c r="DB151">
        <f t="shared" si="44"/>
        <v>338.94</v>
      </c>
      <c r="DC151">
        <f t="shared" si="45"/>
        <v>0</v>
      </c>
      <c r="DD151" t="s">
        <v>3</v>
      </c>
      <c r="DE151" t="s">
        <v>3</v>
      </c>
      <c r="DF151">
        <f t="shared" si="35"/>
        <v>41.69</v>
      </c>
      <c r="DG151">
        <f t="shared" si="36"/>
        <v>0</v>
      </c>
      <c r="DH151">
        <f t="shared" si="37"/>
        <v>0</v>
      </c>
      <c r="DI151">
        <f t="shared" si="38"/>
        <v>0</v>
      </c>
      <c r="DJ151">
        <f>DF151</f>
        <v>41.69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ROW(Source!A401)</f>
        <v>401</v>
      </c>
      <c r="B152">
        <v>75700856</v>
      </c>
      <c r="C152">
        <v>75701875</v>
      </c>
      <c r="D152">
        <v>75386788</v>
      </c>
      <c r="E152">
        <v>39</v>
      </c>
      <c r="F152">
        <v>1</v>
      </c>
      <c r="G152">
        <v>39</v>
      </c>
      <c r="H152">
        <v>1</v>
      </c>
      <c r="I152" t="s">
        <v>332</v>
      </c>
      <c r="J152" t="s">
        <v>3</v>
      </c>
      <c r="K152" t="s">
        <v>333</v>
      </c>
      <c r="L152">
        <v>1191</v>
      </c>
      <c r="N152">
        <v>1013</v>
      </c>
      <c r="O152" t="s">
        <v>334</v>
      </c>
      <c r="P152" t="s">
        <v>334</v>
      </c>
      <c r="Q152">
        <v>1</v>
      </c>
      <c r="W152">
        <v>0</v>
      </c>
      <c r="X152">
        <v>476480486</v>
      </c>
      <c r="Y152">
        <f t="shared" si="43"/>
        <v>8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</v>
      </c>
      <c r="AT152">
        <v>8</v>
      </c>
      <c r="AU152" t="s">
        <v>3</v>
      </c>
      <c r="AV152">
        <v>1</v>
      </c>
      <c r="AW152">
        <v>2</v>
      </c>
      <c r="AX152">
        <v>75702435</v>
      </c>
      <c r="AY152">
        <v>1</v>
      </c>
      <c r="AZ152">
        <v>0</v>
      </c>
      <c r="BA152">
        <v>141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U152">
        <f>ROUND(AT152*Source!I401*AH152*AL152,2)</f>
        <v>0</v>
      </c>
      <c r="CV152">
        <f>ROUND(Y152*Source!I401,9)</f>
        <v>0.57599999999999996</v>
      </c>
      <c r="CW152">
        <v>0</v>
      </c>
      <c r="CX152">
        <f>ROUND(Y152*Source!I401,9)</f>
        <v>0.57599999999999996</v>
      </c>
      <c r="CY152">
        <f>AD152</f>
        <v>0</v>
      </c>
      <c r="CZ152">
        <f>AH152</f>
        <v>0</v>
      </c>
      <c r="DA152">
        <f>AL152</f>
        <v>1</v>
      </c>
      <c r="DB152">
        <f t="shared" si="44"/>
        <v>0</v>
      </c>
      <c r="DC152">
        <f t="shared" si="45"/>
        <v>0</v>
      </c>
      <c r="DD152" t="s">
        <v>3</v>
      </c>
      <c r="DE152" t="s">
        <v>3</v>
      </c>
      <c r="DF152">
        <f t="shared" si="35"/>
        <v>0</v>
      </c>
      <c r="DG152">
        <f t="shared" si="36"/>
        <v>0</v>
      </c>
      <c r="DH152">
        <f t="shared" si="37"/>
        <v>0</v>
      </c>
      <c r="DI152">
        <f t="shared" si="38"/>
        <v>0</v>
      </c>
      <c r="DJ152">
        <f>DI152</f>
        <v>0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ROW(Source!A401)</f>
        <v>401</v>
      </c>
      <c r="B153">
        <v>75700856</v>
      </c>
      <c r="C153">
        <v>75701875</v>
      </c>
      <c r="D153">
        <v>75391395</v>
      </c>
      <c r="E153">
        <v>1</v>
      </c>
      <c r="F153">
        <v>1</v>
      </c>
      <c r="G153">
        <v>39</v>
      </c>
      <c r="H153">
        <v>3</v>
      </c>
      <c r="I153" t="s">
        <v>269</v>
      </c>
      <c r="J153" t="s">
        <v>271</v>
      </c>
      <c r="K153" t="s">
        <v>270</v>
      </c>
      <c r="L153">
        <v>1301</v>
      </c>
      <c r="N153">
        <v>1003</v>
      </c>
      <c r="O153" t="s">
        <v>49</v>
      </c>
      <c r="P153" t="s">
        <v>49</v>
      </c>
      <c r="Q153">
        <v>1</v>
      </c>
      <c r="W153">
        <v>0</v>
      </c>
      <c r="X153">
        <v>170470939</v>
      </c>
      <c r="Y153">
        <f t="shared" si="43"/>
        <v>101</v>
      </c>
      <c r="AA153">
        <v>28.54</v>
      </c>
      <c r="AB153">
        <v>0</v>
      </c>
      <c r="AC153">
        <v>0</v>
      </c>
      <c r="AD153">
        <v>0</v>
      </c>
      <c r="AE153">
        <v>28.54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0</v>
      </c>
      <c r="AN153">
        <v>0</v>
      </c>
      <c r="AO153">
        <v>0</v>
      </c>
      <c r="AP153">
        <v>1</v>
      </c>
      <c r="AQ153">
        <v>0</v>
      </c>
      <c r="AR153">
        <v>0</v>
      </c>
      <c r="AS153" t="s">
        <v>3</v>
      </c>
      <c r="AT153">
        <v>101</v>
      </c>
      <c r="AU153" t="s">
        <v>3</v>
      </c>
      <c r="AV153">
        <v>0</v>
      </c>
      <c r="AW153">
        <v>1</v>
      </c>
      <c r="AX153">
        <v>-1</v>
      </c>
      <c r="AY153">
        <v>0</v>
      </c>
      <c r="AZ153">
        <v>0</v>
      </c>
      <c r="BA153" t="s">
        <v>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ROUND(Y153*Source!I401,9)</f>
        <v>7.2720000000000002</v>
      </c>
      <c r="CY153">
        <f>AA153</f>
        <v>28.54</v>
      </c>
      <c r="CZ153">
        <f>AE153</f>
        <v>28.54</v>
      </c>
      <c r="DA153">
        <f>AI153</f>
        <v>1</v>
      </c>
      <c r="DB153">
        <f t="shared" si="44"/>
        <v>2882.54</v>
      </c>
      <c r="DC153">
        <f t="shared" si="45"/>
        <v>0</v>
      </c>
      <c r="DD153" t="s">
        <v>3</v>
      </c>
      <c r="DE153" t="s">
        <v>3</v>
      </c>
      <c r="DF153">
        <f t="shared" si="35"/>
        <v>207.54</v>
      </c>
      <c r="DG153">
        <f t="shared" si="36"/>
        <v>0</v>
      </c>
      <c r="DH153">
        <f t="shared" si="37"/>
        <v>0</v>
      </c>
      <c r="DI153">
        <f t="shared" si="38"/>
        <v>0</v>
      </c>
      <c r="DJ153">
        <f>DF153</f>
        <v>207.54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ROW(Source!A401)</f>
        <v>401</v>
      </c>
      <c r="B154">
        <v>75700856</v>
      </c>
      <c r="C154">
        <v>75701875</v>
      </c>
      <c r="D154">
        <v>75390706</v>
      </c>
      <c r="E154">
        <v>1</v>
      </c>
      <c r="F154">
        <v>1</v>
      </c>
      <c r="G154">
        <v>39</v>
      </c>
      <c r="H154">
        <v>3</v>
      </c>
      <c r="I154" t="s">
        <v>457</v>
      </c>
      <c r="J154" t="s">
        <v>458</v>
      </c>
      <c r="K154" t="s">
        <v>459</v>
      </c>
      <c r="L154">
        <v>1301</v>
      </c>
      <c r="N154">
        <v>1003</v>
      </c>
      <c r="O154" t="s">
        <v>49</v>
      </c>
      <c r="P154" t="s">
        <v>49</v>
      </c>
      <c r="Q154">
        <v>1</v>
      </c>
      <c r="W154">
        <v>0</v>
      </c>
      <c r="X154">
        <v>1792308677</v>
      </c>
      <c r="Y154">
        <f t="shared" si="43"/>
        <v>13</v>
      </c>
      <c r="AA154">
        <v>2.2400000000000002</v>
      </c>
      <c r="AB154">
        <v>0</v>
      </c>
      <c r="AC154">
        <v>0</v>
      </c>
      <c r="AD154">
        <v>0</v>
      </c>
      <c r="AE154">
        <v>2.2400000000000002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13</v>
      </c>
      <c r="AU154" t="s">
        <v>3</v>
      </c>
      <c r="AV154">
        <v>0</v>
      </c>
      <c r="AW154">
        <v>2</v>
      </c>
      <c r="AX154">
        <v>75702436</v>
      </c>
      <c r="AY154">
        <v>1</v>
      </c>
      <c r="AZ154">
        <v>0</v>
      </c>
      <c r="BA154">
        <v>142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ROUND(Y154*Source!I401,9)</f>
        <v>0.93600000000000005</v>
      </c>
      <c r="CY154">
        <f>AA154</f>
        <v>2.2400000000000002</v>
      </c>
      <c r="CZ154">
        <f>AE154</f>
        <v>2.2400000000000002</v>
      </c>
      <c r="DA154">
        <f>AI154</f>
        <v>1</v>
      </c>
      <c r="DB154">
        <f t="shared" si="44"/>
        <v>29.12</v>
      </c>
      <c r="DC154">
        <f t="shared" si="45"/>
        <v>0</v>
      </c>
      <c r="DD154" t="s">
        <v>3</v>
      </c>
      <c r="DE154" t="s">
        <v>3</v>
      </c>
      <c r="DF154">
        <f t="shared" si="35"/>
        <v>2.1</v>
      </c>
      <c r="DG154">
        <f t="shared" si="36"/>
        <v>0</v>
      </c>
      <c r="DH154">
        <f t="shared" si="37"/>
        <v>0</v>
      </c>
      <c r="DI154">
        <f t="shared" si="38"/>
        <v>0</v>
      </c>
      <c r="DJ154">
        <f>DF154</f>
        <v>2.1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ROW(Source!A401)</f>
        <v>401</v>
      </c>
      <c r="B155">
        <v>75700856</v>
      </c>
      <c r="C155">
        <v>75701875</v>
      </c>
      <c r="D155">
        <v>75390645</v>
      </c>
      <c r="E155">
        <v>1</v>
      </c>
      <c r="F155">
        <v>1</v>
      </c>
      <c r="G155">
        <v>39</v>
      </c>
      <c r="H155">
        <v>3</v>
      </c>
      <c r="I155" t="s">
        <v>460</v>
      </c>
      <c r="J155" t="s">
        <v>461</v>
      </c>
      <c r="K155" t="s">
        <v>462</v>
      </c>
      <c r="L155">
        <v>1296</v>
      </c>
      <c r="N155">
        <v>1002</v>
      </c>
      <c r="O155" t="s">
        <v>402</v>
      </c>
      <c r="P155" t="s">
        <v>402</v>
      </c>
      <c r="Q155">
        <v>1</v>
      </c>
      <c r="W155">
        <v>0</v>
      </c>
      <c r="X155">
        <v>2116147259</v>
      </c>
      <c r="Y155">
        <f t="shared" si="43"/>
        <v>0.56999999999999995</v>
      </c>
      <c r="AA155">
        <v>594.64</v>
      </c>
      <c r="AB155">
        <v>0</v>
      </c>
      <c r="AC155">
        <v>0</v>
      </c>
      <c r="AD155">
        <v>0</v>
      </c>
      <c r="AE155">
        <v>594.64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0.56999999999999995</v>
      </c>
      <c r="AU155" t="s">
        <v>3</v>
      </c>
      <c r="AV155">
        <v>0</v>
      </c>
      <c r="AW155">
        <v>2</v>
      </c>
      <c r="AX155">
        <v>75702437</v>
      </c>
      <c r="AY155">
        <v>1</v>
      </c>
      <c r="AZ155">
        <v>0</v>
      </c>
      <c r="BA155">
        <v>143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v>0</v>
      </c>
      <c r="CX155">
        <f>ROUND(Y155*Source!I401,9)</f>
        <v>4.104E-2</v>
      </c>
      <c r="CY155">
        <f>AA155</f>
        <v>594.64</v>
      </c>
      <c r="CZ155">
        <f>AE155</f>
        <v>594.64</v>
      </c>
      <c r="DA155">
        <f>AI155</f>
        <v>1</v>
      </c>
      <c r="DB155">
        <f t="shared" si="44"/>
        <v>338.94</v>
      </c>
      <c r="DC155">
        <f t="shared" si="45"/>
        <v>0</v>
      </c>
      <c r="DD155" t="s">
        <v>3</v>
      </c>
      <c r="DE155" t="s">
        <v>3</v>
      </c>
      <c r="DF155">
        <f t="shared" si="35"/>
        <v>24.4</v>
      </c>
      <c r="DG155">
        <f t="shared" si="36"/>
        <v>0</v>
      </c>
      <c r="DH155">
        <f t="shared" si="37"/>
        <v>0</v>
      </c>
      <c r="DI155">
        <f t="shared" si="38"/>
        <v>0</v>
      </c>
      <c r="DJ155">
        <f>DF155</f>
        <v>24.4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ROW(Source!A438)</f>
        <v>438</v>
      </c>
      <c r="B156">
        <v>75700856</v>
      </c>
      <c r="C156">
        <v>75701941</v>
      </c>
      <c r="D156">
        <v>75386788</v>
      </c>
      <c r="E156">
        <v>39</v>
      </c>
      <c r="F156">
        <v>1</v>
      </c>
      <c r="G156">
        <v>39</v>
      </c>
      <c r="H156">
        <v>1</v>
      </c>
      <c r="I156" t="s">
        <v>332</v>
      </c>
      <c r="J156" t="s">
        <v>3</v>
      </c>
      <c r="K156" t="s">
        <v>333</v>
      </c>
      <c r="L156">
        <v>1191</v>
      </c>
      <c r="N156">
        <v>1013</v>
      </c>
      <c r="O156" t="s">
        <v>334</v>
      </c>
      <c r="P156" t="s">
        <v>334</v>
      </c>
      <c r="Q156">
        <v>1</v>
      </c>
      <c r="W156">
        <v>0</v>
      </c>
      <c r="X156">
        <v>476480486</v>
      </c>
      <c r="Y156">
        <f t="shared" si="43"/>
        <v>60.8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60.8</v>
      </c>
      <c r="AU156" t="s">
        <v>3</v>
      </c>
      <c r="AV156">
        <v>1</v>
      </c>
      <c r="AW156">
        <v>2</v>
      </c>
      <c r="AX156">
        <v>75702439</v>
      </c>
      <c r="AY156">
        <v>1</v>
      </c>
      <c r="AZ156">
        <v>0</v>
      </c>
      <c r="BA156">
        <v>145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U156">
        <f>ROUND(AT156*Source!I438*AH156*AL156,2)</f>
        <v>0</v>
      </c>
      <c r="CV156">
        <f>ROUND(Y156*Source!I438,9)</f>
        <v>0.60799999999999998</v>
      </c>
      <c r="CW156">
        <v>0</v>
      </c>
      <c r="CX156">
        <f>ROUND(Y156*Source!I438,9)</f>
        <v>0.60799999999999998</v>
      </c>
      <c r="CY156">
        <f>AD156</f>
        <v>0</v>
      </c>
      <c r="CZ156">
        <f>AH156</f>
        <v>0</v>
      </c>
      <c r="DA156">
        <f>AL156</f>
        <v>1</v>
      </c>
      <c r="DB156">
        <f t="shared" si="44"/>
        <v>0</v>
      </c>
      <c r="DC156">
        <f t="shared" si="45"/>
        <v>0</v>
      </c>
      <c r="DD156" t="s">
        <v>3</v>
      </c>
      <c r="DE156" t="s">
        <v>3</v>
      </c>
      <c r="DF156">
        <f t="shared" si="35"/>
        <v>0</v>
      </c>
      <c r="DG156">
        <f t="shared" si="36"/>
        <v>0</v>
      </c>
      <c r="DH156">
        <f t="shared" si="37"/>
        <v>0</v>
      </c>
      <c r="DI156">
        <f t="shared" si="38"/>
        <v>0</v>
      </c>
      <c r="DJ156">
        <f>DI156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ROW(Source!A438)</f>
        <v>438</v>
      </c>
      <c r="B157">
        <v>75700856</v>
      </c>
      <c r="C157">
        <v>75701941</v>
      </c>
      <c r="D157">
        <v>75386789</v>
      </c>
      <c r="E157">
        <v>39</v>
      </c>
      <c r="F157">
        <v>1</v>
      </c>
      <c r="G157">
        <v>39</v>
      </c>
      <c r="H157">
        <v>3</v>
      </c>
      <c r="I157" t="s">
        <v>339</v>
      </c>
      <c r="J157" t="s">
        <v>3</v>
      </c>
      <c r="K157" t="s">
        <v>340</v>
      </c>
      <c r="L157">
        <v>1348</v>
      </c>
      <c r="N157">
        <v>1009</v>
      </c>
      <c r="O157" t="s">
        <v>68</v>
      </c>
      <c r="P157" t="s">
        <v>68</v>
      </c>
      <c r="Q157">
        <v>1000</v>
      </c>
      <c r="W157">
        <v>0</v>
      </c>
      <c r="X157">
        <v>1489638031</v>
      </c>
      <c r="Y157">
        <f t="shared" si="43"/>
        <v>1.66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1.66</v>
      </c>
      <c r="AU157" t="s">
        <v>3</v>
      </c>
      <c r="AV157">
        <v>0</v>
      </c>
      <c r="AW157">
        <v>2</v>
      </c>
      <c r="AX157">
        <v>75702440</v>
      </c>
      <c r="AY157">
        <v>1</v>
      </c>
      <c r="AZ157">
        <v>0</v>
      </c>
      <c r="BA157">
        <v>146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ROUND(Y157*Source!I438,9)</f>
        <v>1.66E-2</v>
      </c>
      <c r="CY157">
        <f>AA157</f>
        <v>0</v>
      </c>
      <c r="CZ157">
        <f>AE157</f>
        <v>0</v>
      </c>
      <c r="DA157">
        <f>AI157</f>
        <v>1</v>
      </c>
      <c r="DB157">
        <f t="shared" si="44"/>
        <v>0</v>
      </c>
      <c r="DC157">
        <f t="shared" si="45"/>
        <v>0</v>
      </c>
      <c r="DD157" t="s">
        <v>3</v>
      </c>
      <c r="DE157" t="s">
        <v>3</v>
      </c>
      <c r="DF157">
        <f t="shared" si="35"/>
        <v>0</v>
      </c>
      <c r="DG157">
        <f t="shared" si="36"/>
        <v>0</v>
      </c>
      <c r="DH157">
        <f t="shared" si="37"/>
        <v>0</v>
      </c>
      <c r="DI157">
        <f t="shared" si="38"/>
        <v>0</v>
      </c>
      <c r="DJ157">
        <f>DF157</f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ROW(Source!A439)</f>
        <v>439</v>
      </c>
      <c r="B158">
        <v>75700856</v>
      </c>
      <c r="C158">
        <v>75701946</v>
      </c>
      <c r="D158">
        <v>75386788</v>
      </c>
      <c r="E158">
        <v>39</v>
      </c>
      <c r="F158">
        <v>1</v>
      </c>
      <c r="G158">
        <v>39</v>
      </c>
      <c r="H158">
        <v>1</v>
      </c>
      <c r="I158" t="s">
        <v>332</v>
      </c>
      <c r="J158" t="s">
        <v>3</v>
      </c>
      <c r="K158" t="s">
        <v>333</v>
      </c>
      <c r="L158">
        <v>1191</v>
      </c>
      <c r="N158">
        <v>1013</v>
      </c>
      <c r="O158" t="s">
        <v>334</v>
      </c>
      <c r="P158" t="s">
        <v>334</v>
      </c>
      <c r="Q158">
        <v>1</v>
      </c>
      <c r="W158">
        <v>0</v>
      </c>
      <c r="X158">
        <v>476480486</v>
      </c>
      <c r="Y158">
        <f t="shared" si="43"/>
        <v>77.86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77.86</v>
      </c>
      <c r="AU158" t="s">
        <v>3</v>
      </c>
      <c r="AV158">
        <v>1</v>
      </c>
      <c r="AW158">
        <v>2</v>
      </c>
      <c r="AX158">
        <v>75702441</v>
      </c>
      <c r="AY158">
        <v>1</v>
      </c>
      <c r="AZ158">
        <v>2048</v>
      </c>
      <c r="BA158">
        <v>147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U158">
        <f>ROUND(AT158*Source!I439*AH158*AL158,2)</f>
        <v>0</v>
      </c>
      <c r="CV158">
        <f>ROUND(Y158*Source!I439,9)</f>
        <v>0.77859999999999996</v>
      </c>
      <c r="CW158">
        <v>0</v>
      </c>
      <c r="CX158">
        <f>ROUND(Y158*Source!I439,9)</f>
        <v>0.77859999999999996</v>
      </c>
      <c r="CY158">
        <f>AD158</f>
        <v>0</v>
      </c>
      <c r="CZ158">
        <f>AH158</f>
        <v>0</v>
      </c>
      <c r="DA158">
        <f>AL158</f>
        <v>1</v>
      </c>
      <c r="DB158">
        <f t="shared" si="44"/>
        <v>0</v>
      </c>
      <c r="DC158">
        <f t="shared" si="45"/>
        <v>0</v>
      </c>
      <c r="DD158" t="s">
        <v>3</v>
      </c>
      <c r="DE158" t="s">
        <v>3</v>
      </c>
      <c r="DF158">
        <f t="shared" si="35"/>
        <v>0</v>
      </c>
      <c r="DG158">
        <f t="shared" si="36"/>
        <v>0</v>
      </c>
      <c r="DH158">
        <f t="shared" si="37"/>
        <v>0</v>
      </c>
      <c r="DI158">
        <f t="shared" si="38"/>
        <v>0</v>
      </c>
      <c r="DJ158">
        <f>DI158</f>
        <v>0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ROW(Source!A439)</f>
        <v>439</v>
      </c>
      <c r="B159">
        <v>75700856</v>
      </c>
      <c r="C159">
        <v>75701946</v>
      </c>
      <c r="D159">
        <v>75389672</v>
      </c>
      <c r="E159">
        <v>1</v>
      </c>
      <c r="F159">
        <v>1</v>
      </c>
      <c r="G159">
        <v>39</v>
      </c>
      <c r="H159">
        <v>3</v>
      </c>
      <c r="I159" t="s">
        <v>381</v>
      </c>
      <c r="J159" t="s">
        <v>382</v>
      </c>
      <c r="K159" t="s">
        <v>383</v>
      </c>
      <c r="L159">
        <v>1348</v>
      </c>
      <c r="N159">
        <v>1009</v>
      </c>
      <c r="O159" t="s">
        <v>68</v>
      </c>
      <c r="P159" t="s">
        <v>68</v>
      </c>
      <c r="Q159">
        <v>1000</v>
      </c>
      <c r="W159">
        <v>0</v>
      </c>
      <c r="X159">
        <v>-799169102</v>
      </c>
      <c r="Y159">
        <f t="shared" si="43"/>
        <v>1.2E-2</v>
      </c>
      <c r="AA159">
        <v>95976.83</v>
      </c>
      <c r="AB159">
        <v>0</v>
      </c>
      <c r="AC159">
        <v>0</v>
      </c>
      <c r="AD159">
        <v>0</v>
      </c>
      <c r="AE159">
        <v>95976.83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1.2E-2</v>
      </c>
      <c r="AU159" t="s">
        <v>3</v>
      </c>
      <c r="AV159">
        <v>0</v>
      </c>
      <c r="AW159">
        <v>2</v>
      </c>
      <c r="AX159">
        <v>75702442</v>
      </c>
      <c r="AY159">
        <v>1</v>
      </c>
      <c r="AZ159">
        <v>2048</v>
      </c>
      <c r="BA159">
        <v>148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ROUND(Y159*Source!I439,9)</f>
        <v>1.2E-4</v>
      </c>
      <c r="CY159">
        <f>AA159</f>
        <v>95976.83</v>
      </c>
      <c r="CZ159">
        <f>AE159</f>
        <v>95976.83</v>
      </c>
      <c r="DA159">
        <f>AI159</f>
        <v>1</v>
      </c>
      <c r="DB159">
        <f t="shared" si="44"/>
        <v>1151.72</v>
      </c>
      <c r="DC159">
        <f t="shared" si="45"/>
        <v>0</v>
      </c>
      <c r="DD159" t="s">
        <v>3</v>
      </c>
      <c r="DE159" t="s">
        <v>3</v>
      </c>
      <c r="DF159">
        <f t="shared" si="35"/>
        <v>11.52</v>
      </c>
      <c r="DG159">
        <f t="shared" si="36"/>
        <v>0</v>
      </c>
      <c r="DH159">
        <f t="shared" si="37"/>
        <v>0</v>
      </c>
      <c r="DI159">
        <f t="shared" si="38"/>
        <v>0</v>
      </c>
      <c r="DJ159">
        <f>DF159</f>
        <v>11.52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ROW(Source!A439)</f>
        <v>439</v>
      </c>
      <c r="B160">
        <v>75700856</v>
      </c>
      <c r="C160">
        <v>75701946</v>
      </c>
      <c r="D160">
        <v>75389710</v>
      </c>
      <c r="E160">
        <v>1</v>
      </c>
      <c r="F160">
        <v>1</v>
      </c>
      <c r="G160">
        <v>39</v>
      </c>
      <c r="H160">
        <v>3</v>
      </c>
      <c r="I160" t="s">
        <v>418</v>
      </c>
      <c r="J160" t="s">
        <v>419</v>
      </c>
      <c r="K160" t="s">
        <v>420</v>
      </c>
      <c r="L160">
        <v>1348</v>
      </c>
      <c r="N160">
        <v>1009</v>
      </c>
      <c r="O160" t="s">
        <v>68</v>
      </c>
      <c r="P160" t="s">
        <v>68</v>
      </c>
      <c r="Q160">
        <v>1000</v>
      </c>
      <c r="W160">
        <v>0</v>
      </c>
      <c r="X160">
        <v>-1980536396</v>
      </c>
      <c r="Y160">
        <f t="shared" si="43"/>
        <v>3.5000000000000003E-2</v>
      </c>
      <c r="AA160">
        <v>87313.75</v>
      </c>
      <c r="AB160">
        <v>0</v>
      </c>
      <c r="AC160">
        <v>0</v>
      </c>
      <c r="AD160">
        <v>0</v>
      </c>
      <c r="AE160">
        <v>87313.75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3.5000000000000003E-2</v>
      </c>
      <c r="AU160" t="s">
        <v>3</v>
      </c>
      <c r="AV160">
        <v>0</v>
      </c>
      <c r="AW160">
        <v>2</v>
      </c>
      <c r="AX160">
        <v>75702443</v>
      </c>
      <c r="AY160">
        <v>1</v>
      </c>
      <c r="AZ160">
        <v>2048</v>
      </c>
      <c r="BA160">
        <v>149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ROUND(Y160*Source!I439,9)</f>
        <v>3.5E-4</v>
      </c>
      <c r="CY160">
        <f>AA160</f>
        <v>87313.75</v>
      </c>
      <c r="CZ160">
        <f>AE160</f>
        <v>87313.75</v>
      </c>
      <c r="DA160">
        <f>AI160</f>
        <v>1</v>
      </c>
      <c r="DB160">
        <f t="shared" si="44"/>
        <v>3055.98</v>
      </c>
      <c r="DC160">
        <f t="shared" si="45"/>
        <v>0</v>
      </c>
      <c r="DD160" t="s">
        <v>3</v>
      </c>
      <c r="DE160" t="s">
        <v>3</v>
      </c>
      <c r="DF160">
        <f t="shared" si="35"/>
        <v>30.56</v>
      </c>
      <c r="DG160">
        <f t="shared" si="36"/>
        <v>0</v>
      </c>
      <c r="DH160">
        <f t="shared" si="37"/>
        <v>0</v>
      </c>
      <c r="DI160">
        <f t="shared" si="38"/>
        <v>0</v>
      </c>
      <c r="DJ160">
        <f>DF160</f>
        <v>30.56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ROW(Source!A439)</f>
        <v>439</v>
      </c>
      <c r="B161">
        <v>75700856</v>
      </c>
      <c r="C161">
        <v>75701946</v>
      </c>
      <c r="D161">
        <v>75393920</v>
      </c>
      <c r="E161">
        <v>1</v>
      </c>
      <c r="F161">
        <v>1</v>
      </c>
      <c r="G161">
        <v>39</v>
      </c>
      <c r="H161">
        <v>3</v>
      </c>
      <c r="I161" t="s">
        <v>421</v>
      </c>
      <c r="J161" t="s">
        <v>422</v>
      </c>
      <c r="K161" t="s">
        <v>423</v>
      </c>
      <c r="L161">
        <v>1301</v>
      </c>
      <c r="N161">
        <v>1003</v>
      </c>
      <c r="O161" t="s">
        <v>49</v>
      </c>
      <c r="P161" t="s">
        <v>49</v>
      </c>
      <c r="Q161">
        <v>1</v>
      </c>
      <c r="W161">
        <v>0</v>
      </c>
      <c r="X161">
        <v>-1908336614</v>
      </c>
      <c r="Y161">
        <f t="shared" si="43"/>
        <v>400</v>
      </c>
      <c r="AA161">
        <v>27.14</v>
      </c>
      <c r="AB161">
        <v>0</v>
      </c>
      <c r="AC161">
        <v>0</v>
      </c>
      <c r="AD161">
        <v>0</v>
      </c>
      <c r="AE161">
        <v>27.14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400</v>
      </c>
      <c r="AU161" t="s">
        <v>3</v>
      </c>
      <c r="AV161">
        <v>0</v>
      </c>
      <c r="AW161">
        <v>2</v>
      </c>
      <c r="AX161">
        <v>75702444</v>
      </c>
      <c r="AY161">
        <v>1</v>
      </c>
      <c r="AZ161">
        <v>2048</v>
      </c>
      <c r="BA161">
        <v>150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ROUND(Y161*Source!I439,9)</f>
        <v>4</v>
      </c>
      <c r="CY161">
        <f>AA161</f>
        <v>27.14</v>
      </c>
      <c r="CZ161">
        <f>AE161</f>
        <v>27.14</v>
      </c>
      <c r="DA161">
        <f>AI161</f>
        <v>1</v>
      </c>
      <c r="DB161">
        <f t="shared" si="44"/>
        <v>10856</v>
      </c>
      <c r="DC161">
        <f t="shared" si="45"/>
        <v>0</v>
      </c>
      <c r="DD161" t="s">
        <v>3</v>
      </c>
      <c r="DE161" t="s">
        <v>3</v>
      </c>
      <c r="DF161">
        <f t="shared" si="35"/>
        <v>108.56</v>
      </c>
      <c r="DG161">
        <f t="shared" si="36"/>
        <v>0</v>
      </c>
      <c r="DH161">
        <f t="shared" si="37"/>
        <v>0</v>
      </c>
      <c r="DI161">
        <f t="shared" si="38"/>
        <v>0</v>
      </c>
      <c r="DJ161">
        <f>DF161</f>
        <v>108.56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ROW(Source!A440)</f>
        <v>440</v>
      </c>
      <c r="B162">
        <v>75700856</v>
      </c>
      <c r="C162">
        <v>75701955</v>
      </c>
      <c r="D162">
        <v>75386788</v>
      </c>
      <c r="E162">
        <v>39</v>
      </c>
      <c r="F162">
        <v>1</v>
      </c>
      <c r="G162">
        <v>39</v>
      </c>
      <c r="H162">
        <v>1</v>
      </c>
      <c r="I162" t="s">
        <v>332</v>
      </c>
      <c r="J162" t="s">
        <v>3</v>
      </c>
      <c r="K162" t="s">
        <v>333</v>
      </c>
      <c r="L162">
        <v>1191</v>
      </c>
      <c r="N162">
        <v>1013</v>
      </c>
      <c r="O162" t="s">
        <v>334</v>
      </c>
      <c r="P162" t="s">
        <v>334</v>
      </c>
      <c r="Q162">
        <v>1</v>
      </c>
      <c r="W162">
        <v>0</v>
      </c>
      <c r="X162">
        <v>476480486</v>
      </c>
      <c r="Y162">
        <f t="shared" si="43"/>
        <v>2.2400000000000002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2.2400000000000002</v>
      </c>
      <c r="AU162" t="s">
        <v>3</v>
      </c>
      <c r="AV162">
        <v>1</v>
      </c>
      <c r="AW162">
        <v>2</v>
      </c>
      <c r="AX162">
        <v>75702445</v>
      </c>
      <c r="AY162">
        <v>1</v>
      </c>
      <c r="AZ162">
        <v>0</v>
      </c>
      <c r="BA162">
        <v>151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U162">
        <f>ROUND(AT162*Source!I440*AH162*AL162,2)</f>
        <v>0</v>
      </c>
      <c r="CV162">
        <f>ROUND(Y162*Source!I440,9)</f>
        <v>2.2400000000000002</v>
      </c>
      <c r="CW162">
        <v>0</v>
      </c>
      <c r="CX162">
        <f>ROUND(Y162*Source!I440,9)</f>
        <v>2.2400000000000002</v>
      </c>
      <c r="CY162">
        <f>AD162</f>
        <v>0</v>
      </c>
      <c r="CZ162">
        <f>AH162</f>
        <v>0</v>
      </c>
      <c r="DA162">
        <f>AL162</f>
        <v>1</v>
      </c>
      <c r="DB162">
        <f t="shared" si="44"/>
        <v>0</v>
      </c>
      <c r="DC162">
        <f t="shared" si="45"/>
        <v>0</v>
      </c>
      <c r="DD162" t="s">
        <v>3</v>
      </c>
      <c r="DE162" t="s">
        <v>3</v>
      </c>
      <c r="DF162">
        <f t="shared" si="35"/>
        <v>0</v>
      </c>
      <c r="DG162">
        <f t="shared" si="36"/>
        <v>0</v>
      </c>
      <c r="DH162">
        <f t="shared" si="37"/>
        <v>0</v>
      </c>
      <c r="DI162">
        <f t="shared" si="38"/>
        <v>0</v>
      </c>
      <c r="DJ162">
        <f>DI162</f>
        <v>0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ROW(Source!A440)</f>
        <v>440</v>
      </c>
      <c r="B163">
        <v>75700856</v>
      </c>
      <c r="C163">
        <v>75701955</v>
      </c>
      <c r="D163">
        <v>75388585</v>
      </c>
      <c r="E163">
        <v>1</v>
      </c>
      <c r="F163">
        <v>1</v>
      </c>
      <c r="G163">
        <v>39</v>
      </c>
      <c r="H163">
        <v>2</v>
      </c>
      <c r="I163" t="s">
        <v>384</v>
      </c>
      <c r="J163" t="s">
        <v>385</v>
      </c>
      <c r="K163" t="s">
        <v>386</v>
      </c>
      <c r="L163">
        <v>1368</v>
      </c>
      <c r="N163">
        <v>1011</v>
      </c>
      <c r="O163" t="s">
        <v>338</v>
      </c>
      <c r="P163" t="s">
        <v>338</v>
      </c>
      <c r="Q163">
        <v>1</v>
      </c>
      <c r="W163">
        <v>0</v>
      </c>
      <c r="X163">
        <v>1989376342</v>
      </c>
      <c r="Y163">
        <f t="shared" si="43"/>
        <v>0.02</v>
      </c>
      <c r="AA163">
        <v>0</v>
      </c>
      <c r="AB163">
        <v>6.13</v>
      </c>
      <c r="AC163">
        <v>1.91</v>
      </c>
      <c r="AD163">
        <v>0</v>
      </c>
      <c r="AE163">
        <v>0</v>
      </c>
      <c r="AF163">
        <v>6.13</v>
      </c>
      <c r="AG163">
        <v>1.91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0.02</v>
      </c>
      <c r="AU163" t="s">
        <v>3</v>
      </c>
      <c r="AV163">
        <v>0</v>
      </c>
      <c r="AW163">
        <v>2</v>
      </c>
      <c r="AX163">
        <v>75702446</v>
      </c>
      <c r="AY163">
        <v>1</v>
      </c>
      <c r="AZ163">
        <v>0</v>
      </c>
      <c r="BA163">
        <v>152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f>ROUND(Y163*Source!I440*DO163,9)</f>
        <v>0</v>
      </c>
      <c r="CX163">
        <f>ROUND(Y163*Source!I440,9)</f>
        <v>0.02</v>
      </c>
      <c r="CY163">
        <f>AB163</f>
        <v>6.13</v>
      </c>
      <c r="CZ163">
        <f>AF163</f>
        <v>6.13</v>
      </c>
      <c r="DA163">
        <f>AJ163</f>
        <v>1</v>
      </c>
      <c r="DB163">
        <f t="shared" si="44"/>
        <v>0.12</v>
      </c>
      <c r="DC163">
        <f t="shared" si="45"/>
        <v>0.04</v>
      </c>
      <c r="DD163" t="s">
        <v>3</v>
      </c>
      <c r="DE163" t="s">
        <v>3</v>
      </c>
      <c r="DF163">
        <f t="shared" si="35"/>
        <v>0</v>
      </c>
      <c r="DG163">
        <f t="shared" si="36"/>
        <v>0.12</v>
      </c>
      <c r="DH163">
        <f t="shared" si="37"/>
        <v>0.04</v>
      </c>
      <c r="DI163">
        <f t="shared" si="38"/>
        <v>0</v>
      </c>
      <c r="DJ163">
        <f>DG163</f>
        <v>0.12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ROW(Source!A440)</f>
        <v>440</v>
      </c>
      <c r="B164">
        <v>75700856</v>
      </c>
      <c r="C164">
        <v>75701955</v>
      </c>
      <c r="D164">
        <v>75389751</v>
      </c>
      <c r="E164">
        <v>1</v>
      </c>
      <c r="F164">
        <v>1</v>
      </c>
      <c r="G164">
        <v>39</v>
      </c>
      <c r="H164">
        <v>3</v>
      </c>
      <c r="I164" t="s">
        <v>424</v>
      </c>
      <c r="J164" t="s">
        <v>425</v>
      </c>
      <c r="K164" t="s">
        <v>426</v>
      </c>
      <c r="L164">
        <v>1348</v>
      </c>
      <c r="N164">
        <v>1009</v>
      </c>
      <c r="O164" t="s">
        <v>68</v>
      </c>
      <c r="P164" t="s">
        <v>68</v>
      </c>
      <c r="Q164">
        <v>1000</v>
      </c>
      <c r="W164">
        <v>0</v>
      </c>
      <c r="X164">
        <v>-1788654527</v>
      </c>
      <c r="Y164">
        <f t="shared" si="43"/>
        <v>6.9999999999999994E-5</v>
      </c>
      <c r="AA164">
        <v>239140.75</v>
      </c>
      <c r="AB164">
        <v>0</v>
      </c>
      <c r="AC164">
        <v>0</v>
      </c>
      <c r="AD164">
        <v>0</v>
      </c>
      <c r="AE164">
        <v>239140.75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6.9999999999999994E-5</v>
      </c>
      <c r="AU164" t="s">
        <v>3</v>
      </c>
      <c r="AV164">
        <v>0</v>
      </c>
      <c r="AW164">
        <v>2</v>
      </c>
      <c r="AX164">
        <v>75702447</v>
      </c>
      <c r="AY164">
        <v>1</v>
      </c>
      <c r="AZ164">
        <v>0</v>
      </c>
      <c r="BA164">
        <v>153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ROUND(Y164*Source!I440,9)</f>
        <v>6.9999999999999994E-5</v>
      </c>
      <c r="CY164">
        <f t="shared" ref="CY164:CY176" si="46">AA164</f>
        <v>239140.75</v>
      </c>
      <c r="CZ164">
        <f t="shared" ref="CZ164:CZ176" si="47">AE164</f>
        <v>239140.75</v>
      </c>
      <c r="DA164">
        <f t="shared" ref="DA164:DA176" si="48">AI164</f>
        <v>1</v>
      </c>
      <c r="DB164">
        <f t="shared" si="44"/>
        <v>16.739999999999998</v>
      </c>
      <c r="DC164">
        <f t="shared" si="45"/>
        <v>0</v>
      </c>
      <c r="DD164" t="s">
        <v>3</v>
      </c>
      <c r="DE164" t="s">
        <v>3</v>
      </c>
      <c r="DF164">
        <f t="shared" si="35"/>
        <v>16.739999999999998</v>
      </c>
      <c r="DG164">
        <f t="shared" si="36"/>
        <v>0</v>
      </c>
      <c r="DH164">
        <f t="shared" si="37"/>
        <v>0</v>
      </c>
      <c r="DI164">
        <f t="shared" si="38"/>
        <v>0</v>
      </c>
      <c r="DJ164">
        <f t="shared" ref="DJ164:DJ176" si="49">DF164</f>
        <v>16.739999999999998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ROW(Source!A440)</f>
        <v>440</v>
      </c>
      <c r="B165">
        <v>75700856</v>
      </c>
      <c r="C165">
        <v>75701955</v>
      </c>
      <c r="D165">
        <v>75389824</v>
      </c>
      <c r="E165">
        <v>1</v>
      </c>
      <c r="F165">
        <v>1</v>
      </c>
      <c r="G165">
        <v>39</v>
      </c>
      <c r="H165">
        <v>3</v>
      </c>
      <c r="I165" t="s">
        <v>427</v>
      </c>
      <c r="J165" t="s">
        <v>428</v>
      </c>
      <c r="K165" t="s">
        <v>429</v>
      </c>
      <c r="L165">
        <v>1354</v>
      </c>
      <c r="N165">
        <v>1010</v>
      </c>
      <c r="O165" t="s">
        <v>171</v>
      </c>
      <c r="P165" t="s">
        <v>171</v>
      </c>
      <c r="Q165">
        <v>1</v>
      </c>
      <c r="W165">
        <v>0</v>
      </c>
      <c r="X165">
        <v>1799219779</v>
      </c>
      <c r="Y165">
        <f t="shared" si="43"/>
        <v>0.04</v>
      </c>
      <c r="AA165">
        <v>2.31</v>
      </c>
      <c r="AB165">
        <v>0</v>
      </c>
      <c r="AC165">
        <v>0</v>
      </c>
      <c r="AD165">
        <v>0</v>
      </c>
      <c r="AE165">
        <v>2.31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0.04</v>
      </c>
      <c r="AU165" t="s">
        <v>3</v>
      </c>
      <c r="AV165">
        <v>0</v>
      </c>
      <c r="AW165">
        <v>2</v>
      </c>
      <c r="AX165">
        <v>75702448</v>
      </c>
      <c r="AY165">
        <v>1</v>
      </c>
      <c r="AZ165">
        <v>0</v>
      </c>
      <c r="BA165">
        <v>154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ROUND(Y165*Source!I440,9)</f>
        <v>0.04</v>
      </c>
      <c r="CY165">
        <f t="shared" si="46"/>
        <v>2.31</v>
      </c>
      <c r="CZ165">
        <f t="shared" si="47"/>
        <v>2.31</v>
      </c>
      <c r="DA165">
        <f t="shared" si="48"/>
        <v>1</v>
      </c>
      <c r="DB165">
        <f t="shared" si="44"/>
        <v>0.09</v>
      </c>
      <c r="DC165">
        <f t="shared" si="45"/>
        <v>0</v>
      </c>
      <c r="DD165" t="s">
        <v>3</v>
      </c>
      <c r="DE165" t="s">
        <v>3</v>
      </c>
      <c r="DF165">
        <f t="shared" si="35"/>
        <v>0.09</v>
      </c>
      <c r="DG165">
        <f t="shared" si="36"/>
        <v>0</v>
      </c>
      <c r="DH165">
        <f t="shared" si="37"/>
        <v>0</v>
      </c>
      <c r="DI165">
        <f t="shared" si="38"/>
        <v>0</v>
      </c>
      <c r="DJ165">
        <f t="shared" si="49"/>
        <v>0.09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ROW(Source!A440)</f>
        <v>440</v>
      </c>
      <c r="B166">
        <v>75700856</v>
      </c>
      <c r="C166">
        <v>75701955</v>
      </c>
      <c r="D166">
        <v>75389710</v>
      </c>
      <c r="E166">
        <v>1</v>
      </c>
      <c r="F166">
        <v>1</v>
      </c>
      <c r="G166">
        <v>39</v>
      </c>
      <c r="H166">
        <v>3</v>
      </c>
      <c r="I166" t="s">
        <v>418</v>
      </c>
      <c r="J166" t="s">
        <v>419</v>
      </c>
      <c r="K166" t="s">
        <v>420</v>
      </c>
      <c r="L166">
        <v>1348</v>
      </c>
      <c r="N166">
        <v>1009</v>
      </c>
      <c r="O166" t="s">
        <v>68</v>
      </c>
      <c r="P166" t="s">
        <v>68</v>
      </c>
      <c r="Q166">
        <v>1000</v>
      </c>
      <c r="W166">
        <v>0</v>
      </c>
      <c r="X166">
        <v>-1980536396</v>
      </c>
      <c r="Y166">
        <f t="shared" si="43"/>
        <v>3.6000000000000002E-4</v>
      </c>
      <c r="AA166">
        <v>87313.75</v>
      </c>
      <c r="AB166">
        <v>0</v>
      </c>
      <c r="AC166">
        <v>0</v>
      </c>
      <c r="AD166">
        <v>0</v>
      </c>
      <c r="AE166">
        <v>87313.75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3.6000000000000002E-4</v>
      </c>
      <c r="AU166" t="s">
        <v>3</v>
      </c>
      <c r="AV166">
        <v>0</v>
      </c>
      <c r="AW166">
        <v>2</v>
      </c>
      <c r="AX166">
        <v>75702449</v>
      </c>
      <c r="AY166">
        <v>1</v>
      </c>
      <c r="AZ166">
        <v>0</v>
      </c>
      <c r="BA166">
        <v>155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ROUND(Y166*Source!I440,9)</f>
        <v>3.6000000000000002E-4</v>
      </c>
      <c r="CY166">
        <f t="shared" si="46"/>
        <v>87313.75</v>
      </c>
      <c r="CZ166">
        <f t="shared" si="47"/>
        <v>87313.75</v>
      </c>
      <c r="DA166">
        <f t="shared" si="48"/>
        <v>1</v>
      </c>
      <c r="DB166">
        <f t="shared" si="44"/>
        <v>31.43</v>
      </c>
      <c r="DC166">
        <f t="shared" si="45"/>
        <v>0</v>
      </c>
      <c r="DD166" t="s">
        <v>3</v>
      </c>
      <c r="DE166" t="s">
        <v>3</v>
      </c>
      <c r="DF166">
        <f t="shared" si="35"/>
        <v>31.43</v>
      </c>
      <c r="DG166">
        <f t="shared" si="36"/>
        <v>0</v>
      </c>
      <c r="DH166">
        <f t="shared" si="37"/>
        <v>0</v>
      </c>
      <c r="DI166">
        <f t="shared" si="38"/>
        <v>0</v>
      </c>
      <c r="DJ166">
        <f t="shared" si="49"/>
        <v>31.43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ROW(Source!A440)</f>
        <v>440</v>
      </c>
      <c r="B167">
        <v>75700856</v>
      </c>
      <c r="C167">
        <v>75701955</v>
      </c>
      <c r="D167">
        <v>75390591</v>
      </c>
      <c r="E167">
        <v>1</v>
      </c>
      <c r="F167">
        <v>1</v>
      </c>
      <c r="G167">
        <v>39</v>
      </c>
      <c r="H167">
        <v>3</v>
      </c>
      <c r="I167" t="s">
        <v>430</v>
      </c>
      <c r="J167" t="s">
        <v>431</v>
      </c>
      <c r="K167" t="s">
        <v>432</v>
      </c>
      <c r="L167">
        <v>1346</v>
      </c>
      <c r="N167">
        <v>1009</v>
      </c>
      <c r="O167" t="s">
        <v>63</v>
      </c>
      <c r="P167" t="s">
        <v>63</v>
      </c>
      <c r="Q167">
        <v>1</v>
      </c>
      <c r="W167">
        <v>0</v>
      </c>
      <c r="X167">
        <v>-901272518</v>
      </c>
      <c r="Y167">
        <f t="shared" si="43"/>
        <v>0.03</v>
      </c>
      <c r="AA167">
        <v>656.56</v>
      </c>
      <c r="AB167">
        <v>0</v>
      </c>
      <c r="AC167">
        <v>0</v>
      </c>
      <c r="AD167">
        <v>0</v>
      </c>
      <c r="AE167">
        <v>656.56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0.03</v>
      </c>
      <c r="AU167" t="s">
        <v>3</v>
      </c>
      <c r="AV167">
        <v>0</v>
      </c>
      <c r="AW167">
        <v>2</v>
      </c>
      <c r="AX167">
        <v>75702450</v>
      </c>
      <c r="AY167">
        <v>1</v>
      </c>
      <c r="AZ167">
        <v>0</v>
      </c>
      <c r="BA167">
        <v>156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ROUND(Y167*Source!I440,9)</f>
        <v>0.03</v>
      </c>
      <c r="CY167">
        <f t="shared" si="46"/>
        <v>656.56</v>
      </c>
      <c r="CZ167">
        <f t="shared" si="47"/>
        <v>656.56</v>
      </c>
      <c r="DA167">
        <f t="shared" si="48"/>
        <v>1</v>
      </c>
      <c r="DB167">
        <f t="shared" si="44"/>
        <v>19.7</v>
      </c>
      <c r="DC167">
        <f t="shared" si="45"/>
        <v>0</v>
      </c>
      <c r="DD167" t="s">
        <v>3</v>
      </c>
      <c r="DE167" t="s">
        <v>3</v>
      </c>
      <c r="DF167">
        <f t="shared" si="35"/>
        <v>19.7</v>
      </c>
      <c r="DG167">
        <f t="shared" si="36"/>
        <v>0</v>
      </c>
      <c r="DH167">
        <f t="shared" si="37"/>
        <v>0</v>
      </c>
      <c r="DI167">
        <f t="shared" si="38"/>
        <v>0</v>
      </c>
      <c r="DJ167">
        <f t="shared" si="49"/>
        <v>19.7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ROW(Source!A440)</f>
        <v>440</v>
      </c>
      <c r="B168">
        <v>75700856</v>
      </c>
      <c r="C168">
        <v>75701955</v>
      </c>
      <c r="D168">
        <v>75390621</v>
      </c>
      <c r="E168">
        <v>1</v>
      </c>
      <c r="F168">
        <v>1</v>
      </c>
      <c r="G168">
        <v>39</v>
      </c>
      <c r="H168">
        <v>3</v>
      </c>
      <c r="I168" t="s">
        <v>433</v>
      </c>
      <c r="J168" t="s">
        <v>434</v>
      </c>
      <c r="K168" t="s">
        <v>435</v>
      </c>
      <c r="L168">
        <v>1348</v>
      </c>
      <c r="N168">
        <v>1009</v>
      </c>
      <c r="O168" t="s">
        <v>68</v>
      </c>
      <c r="P168" t="s">
        <v>68</v>
      </c>
      <c r="Q168">
        <v>1000</v>
      </c>
      <c r="W168">
        <v>0</v>
      </c>
      <c r="X168">
        <v>-1019129760</v>
      </c>
      <c r="Y168">
        <f t="shared" si="43"/>
        <v>2.0000000000000001E-4</v>
      </c>
      <c r="AA168">
        <v>58866.75</v>
      </c>
      <c r="AB168">
        <v>0</v>
      </c>
      <c r="AC168">
        <v>0</v>
      </c>
      <c r="AD168">
        <v>0</v>
      </c>
      <c r="AE168">
        <v>58866.75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2.0000000000000001E-4</v>
      </c>
      <c r="AU168" t="s">
        <v>3</v>
      </c>
      <c r="AV168">
        <v>0</v>
      </c>
      <c r="AW168">
        <v>2</v>
      </c>
      <c r="AX168">
        <v>75702451</v>
      </c>
      <c r="AY168">
        <v>1</v>
      </c>
      <c r="AZ168">
        <v>0</v>
      </c>
      <c r="BA168">
        <v>157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v>0</v>
      </c>
      <c r="CX168">
        <f>ROUND(Y168*Source!I440,9)</f>
        <v>2.0000000000000001E-4</v>
      </c>
      <c r="CY168">
        <f t="shared" si="46"/>
        <v>58866.75</v>
      </c>
      <c r="CZ168">
        <f t="shared" si="47"/>
        <v>58866.75</v>
      </c>
      <c r="DA168">
        <f t="shared" si="48"/>
        <v>1</v>
      </c>
      <c r="DB168">
        <f t="shared" si="44"/>
        <v>11.77</v>
      </c>
      <c r="DC168">
        <f t="shared" si="45"/>
        <v>0</v>
      </c>
      <c r="DD168" t="s">
        <v>3</v>
      </c>
      <c r="DE168" t="s">
        <v>3</v>
      </c>
      <c r="DF168">
        <f t="shared" si="35"/>
        <v>11.77</v>
      </c>
      <c r="DG168">
        <f t="shared" si="36"/>
        <v>0</v>
      </c>
      <c r="DH168">
        <f t="shared" si="37"/>
        <v>0</v>
      </c>
      <c r="DI168">
        <f t="shared" si="38"/>
        <v>0</v>
      </c>
      <c r="DJ168">
        <f t="shared" si="49"/>
        <v>11.77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ROW(Source!A440)</f>
        <v>440</v>
      </c>
      <c r="B169">
        <v>75700856</v>
      </c>
      <c r="C169">
        <v>75701955</v>
      </c>
      <c r="D169">
        <v>75389029</v>
      </c>
      <c r="E169">
        <v>1</v>
      </c>
      <c r="F169">
        <v>1</v>
      </c>
      <c r="G169">
        <v>39</v>
      </c>
      <c r="H169">
        <v>3</v>
      </c>
      <c r="I169" t="s">
        <v>436</v>
      </c>
      <c r="J169" t="s">
        <v>437</v>
      </c>
      <c r="K169" t="s">
        <v>438</v>
      </c>
      <c r="L169">
        <v>1348</v>
      </c>
      <c r="N169">
        <v>1009</v>
      </c>
      <c r="O169" t="s">
        <v>68</v>
      </c>
      <c r="P169" t="s">
        <v>68</v>
      </c>
      <c r="Q169">
        <v>1000</v>
      </c>
      <c r="W169">
        <v>0</v>
      </c>
      <c r="X169">
        <v>169962723</v>
      </c>
      <c r="Y169">
        <f t="shared" si="43"/>
        <v>3.8000000000000002E-4</v>
      </c>
      <c r="AA169">
        <v>91558.65</v>
      </c>
      <c r="AB169">
        <v>0</v>
      </c>
      <c r="AC169">
        <v>0</v>
      </c>
      <c r="AD169">
        <v>0</v>
      </c>
      <c r="AE169">
        <v>91558.65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3.8000000000000002E-4</v>
      </c>
      <c r="AU169" t="s">
        <v>3</v>
      </c>
      <c r="AV169">
        <v>0</v>
      </c>
      <c r="AW169">
        <v>2</v>
      </c>
      <c r="AX169">
        <v>75702452</v>
      </c>
      <c r="AY169">
        <v>1</v>
      </c>
      <c r="AZ169">
        <v>0</v>
      </c>
      <c r="BA169">
        <v>158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ROUND(Y169*Source!I440,9)</f>
        <v>3.8000000000000002E-4</v>
      </c>
      <c r="CY169">
        <f t="shared" si="46"/>
        <v>91558.65</v>
      </c>
      <c r="CZ169">
        <f t="shared" si="47"/>
        <v>91558.65</v>
      </c>
      <c r="DA169">
        <f t="shared" si="48"/>
        <v>1</v>
      </c>
      <c r="DB169">
        <f t="shared" si="44"/>
        <v>34.79</v>
      </c>
      <c r="DC169">
        <f t="shared" si="45"/>
        <v>0</v>
      </c>
      <c r="DD169" t="s">
        <v>3</v>
      </c>
      <c r="DE169" t="s">
        <v>3</v>
      </c>
      <c r="DF169">
        <f t="shared" si="35"/>
        <v>34.79</v>
      </c>
      <c r="DG169">
        <f t="shared" si="36"/>
        <v>0</v>
      </c>
      <c r="DH169">
        <f t="shared" si="37"/>
        <v>0</v>
      </c>
      <c r="DI169">
        <f t="shared" si="38"/>
        <v>0</v>
      </c>
      <c r="DJ169">
        <f t="shared" si="49"/>
        <v>34.79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ROW(Source!A440)</f>
        <v>440</v>
      </c>
      <c r="B170">
        <v>75700856</v>
      </c>
      <c r="C170">
        <v>75701955</v>
      </c>
      <c r="D170">
        <v>75389070</v>
      </c>
      <c r="E170">
        <v>1</v>
      </c>
      <c r="F170">
        <v>1</v>
      </c>
      <c r="G170">
        <v>39</v>
      </c>
      <c r="H170">
        <v>3</v>
      </c>
      <c r="I170" t="s">
        <v>439</v>
      </c>
      <c r="J170" t="s">
        <v>440</v>
      </c>
      <c r="K170" t="s">
        <v>441</v>
      </c>
      <c r="L170">
        <v>1346</v>
      </c>
      <c r="N170">
        <v>1009</v>
      </c>
      <c r="O170" t="s">
        <v>63</v>
      </c>
      <c r="P170" t="s">
        <v>63</v>
      </c>
      <c r="Q170">
        <v>1</v>
      </c>
      <c r="W170">
        <v>0</v>
      </c>
      <c r="X170">
        <v>720467407</v>
      </c>
      <c r="Y170">
        <f t="shared" si="43"/>
        <v>0.04</v>
      </c>
      <c r="AA170">
        <v>99.65</v>
      </c>
      <c r="AB170">
        <v>0</v>
      </c>
      <c r="AC170">
        <v>0</v>
      </c>
      <c r="AD170">
        <v>0</v>
      </c>
      <c r="AE170">
        <v>99.65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0.04</v>
      </c>
      <c r="AU170" t="s">
        <v>3</v>
      </c>
      <c r="AV170">
        <v>0</v>
      </c>
      <c r="AW170">
        <v>2</v>
      </c>
      <c r="AX170">
        <v>75702453</v>
      </c>
      <c r="AY170">
        <v>1</v>
      </c>
      <c r="AZ170">
        <v>0</v>
      </c>
      <c r="BA170">
        <v>159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ROUND(Y170*Source!I440,9)</f>
        <v>0.04</v>
      </c>
      <c r="CY170">
        <f t="shared" si="46"/>
        <v>99.65</v>
      </c>
      <c r="CZ170">
        <f t="shared" si="47"/>
        <v>99.65</v>
      </c>
      <c r="DA170">
        <f t="shared" si="48"/>
        <v>1</v>
      </c>
      <c r="DB170">
        <f t="shared" si="44"/>
        <v>3.99</v>
      </c>
      <c r="DC170">
        <f t="shared" si="45"/>
        <v>0</v>
      </c>
      <c r="DD170" t="s">
        <v>3</v>
      </c>
      <c r="DE170" t="s">
        <v>3</v>
      </c>
      <c r="DF170">
        <f t="shared" si="35"/>
        <v>3.99</v>
      </c>
      <c r="DG170">
        <f t="shared" si="36"/>
        <v>0</v>
      </c>
      <c r="DH170">
        <f t="shared" si="37"/>
        <v>0</v>
      </c>
      <c r="DI170">
        <f t="shared" si="38"/>
        <v>0</v>
      </c>
      <c r="DJ170">
        <f t="shared" si="49"/>
        <v>3.99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ROW(Source!A440)</f>
        <v>440</v>
      </c>
      <c r="B171">
        <v>75700856</v>
      </c>
      <c r="C171">
        <v>75701955</v>
      </c>
      <c r="D171">
        <v>75396250</v>
      </c>
      <c r="E171">
        <v>1</v>
      </c>
      <c r="F171">
        <v>1</v>
      </c>
      <c r="G171">
        <v>39</v>
      </c>
      <c r="H171">
        <v>3</v>
      </c>
      <c r="I171" t="s">
        <v>179</v>
      </c>
      <c r="J171" t="s">
        <v>181</v>
      </c>
      <c r="K171" t="s">
        <v>180</v>
      </c>
      <c r="L171">
        <v>1354</v>
      </c>
      <c r="N171">
        <v>1010</v>
      </c>
      <c r="O171" t="s">
        <v>171</v>
      </c>
      <c r="P171" t="s">
        <v>171</v>
      </c>
      <c r="Q171">
        <v>1</v>
      </c>
      <c r="W171">
        <v>1</v>
      </c>
      <c r="X171">
        <v>-2016625611</v>
      </c>
      <c r="Y171">
        <f t="shared" si="43"/>
        <v>-1</v>
      </c>
      <c r="AA171">
        <v>1624.55</v>
      </c>
      <c r="AB171">
        <v>0</v>
      </c>
      <c r="AC171">
        <v>0</v>
      </c>
      <c r="AD171">
        <v>0</v>
      </c>
      <c r="AE171">
        <v>1624.55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0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3</v>
      </c>
      <c r="AT171">
        <v>-1</v>
      </c>
      <c r="AU171" t="s">
        <v>3</v>
      </c>
      <c r="AV171">
        <v>0</v>
      </c>
      <c r="AW171">
        <v>2</v>
      </c>
      <c r="AX171">
        <v>75702454</v>
      </c>
      <c r="AY171">
        <v>1</v>
      </c>
      <c r="AZ171">
        <v>6144</v>
      </c>
      <c r="BA171">
        <v>160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ROUND(Y171*Source!I440,9)</f>
        <v>-1</v>
      </c>
      <c r="CY171">
        <f t="shared" si="46"/>
        <v>1624.55</v>
      </c>
      <c r="CZ171">
        <f t="shared" si="47"/>
        <v>1624.55</v>
      </c>
      <c r="DA171">
        <f t="shared" si="48"/>
        <v>1</v>
      </c>
      <c r="DB171">
        <f t="shared" si="44"/>
        <v>-1624.55</v>
      </c>
      <c r="DC171">
        <f t="shared" si="45"/>
        <v>0</v>
      </c>
      <c r="DD171" t="s">
        <v>3</v>
      </c>
      <c r="DE171" t="s">
        <v>3</v>
      </c>
      <c r="DF171">
        <f t="shared" si="35"/>
        <v>-1624.55</v>
      </c>
      <c r="DG171">
        <f t="shared" si="36"/>
        <v>0</v>
      </c>
      <c r="DH171">
        <f t="shared" si="37"/>
        <v>0</v>
      </c>
      <c r="DI171">
        <f t="shared" si="38"/>
        <v>0</v>
      </c>
      <c r="DJ171">
        <f t="shared" si="49"/>
        <v>-1624.55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ROW(Source!A440)</f>
        <v>440</v>
      </c>
      <c r="B172">
        <v>75700856</v>
      </c>
      <c r="C172">
        <v>75701955</v>
      </c>
      <c r="D172">
        <v>75396306</v>
      </c>
      <c r="E172">
        <v>1</v>
      </c>
      <c r="F172">
        <v>1</v>
      </c>
      <c r="G172">
        <v>39</v>
      </c>
      <c r="H172">
        <v>3</v>
      </c>
      <c r="I172" t="s">
        <v>442</v>
      </c>
      <c r="J172" t="s">
        <v>443</v>
      </c>
      <c r="K172" t="s">
        <v>444</v>
      </c>
      <c r="L172">
        <v>1354</v>
      </c>
      <c r="N172">
        <v>1010</v>
      </c>
      <c r="O172" t="s">
        <v>171</v>
      </c>
      <c r="P172" t="s">
        <v>171</v>
      </c>
      <c r="Q172">
        <v>1</v>
      </c>
      <c r="W172">
        <v>0</v>
      </c>
      <c r="X172">
        <v>911396742</v>
      </c>
      <c r="Y172">
        <f t="shared" si="43"/>
        <v>2</v>
      </c>
      <c r="AA172">
        <v>271.39999999999998</v>
      </c>
      <c r="AB172">
        <v>0</v>
      </c>
      <c r="AC172">
        <v>0</v>
      </c>
      <c r="AD172">
        <v>0</v>
      </c>
      <c r="AE172">
        <v>271.39999999999998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2</v>
      </c>
      <c r="AU172" t="s">
        <v>3</v>
      </c>
      <c r="AV172">
        <v>0</v>
      </c>
      <c r="AW172">
        <v>2</v>
      </c>
      <c r="AX172">
        <v>75702455</v>
      </c>
      <c r="AY172">
        <v>1</v>
      </c>
      <c r="AZ172">
        <v>0</v>
      </c>
      <c r="BA172">
        <v>161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ROUND(Y172*Source!I440,9)</f>
        <v>2</v>
      </c>
      <c r="CY172">
        <f t="shared" si="46"/>
        <v>271.39999999999998</v>
      </c>
      <c r="CZ172">
        <f t="shared" si="47"/>
        <v>271.39999999999998</v>
      </c>
      <c r="DA172">
        <f t="shared" si="48"/>
        <v>1</v>
      </c>
      <c r="DB172">
        <f t="shared" si="44"/>
        <v>542.79999999999995</v>
      </c>
      <c r="DC172">
        <f t="shared" si="45"/>
        <v>0</v>
      </c>
      <c r="DD172" t="s">
        <v>3</v>
      </c>
      <c r="DE172" t="s">
        <v>3</v>
      </c>
      <c r="DF172">
        <f t="shared" si="35"/>
        <v>542.79999999999995</v>
      </c>
      <c r="DG172">
        <f t="shared" si="36"/>
        <v>0</v>
      </c>
      <c r="DH172">
        <f t="shared" si="37"/>
        <v>0</v>
      </c>
      <c r="DI172">
        <f t="shared" si="38"/>
        <v>0</v>
      </c>
      <c r="DJ172">
        <f t="shared" si="49"/>
        <v>542.79999999999995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ROW(Source!A440)</f>
        <v>440</v>
      </c>
      <c r="B173">
        <v>75700856</v>
      </c>
      <c r="C173">
        <v>75701955</v>
      </c>
      <c r="D173">
        <v>75396309</v>
      </c>
      <c r="E173">
        <v>1</v>
      </c>
      <c r="F173">
        <v>1</v>
      </c>
      <c r="G173">
        <v>39</v>
      </c>
      <c r="H173">
        <v>3</v>
      </c>
      <c r="I173" t="s">
        <v>445</v>
      </c>
      <c r="J173" t="s">
        <v>446</v>
      </c>
      <c r="K173" t="s">
        <v>447</v>
      </c>
      <c r="L173">
        <v>1354</v>
      </c>
      <c r="N173">
        <v>1010</v>
      </c>
      <c r="O173" t="s">
        <v>171</v>
      </c>
      <c r="P173" t="s">
        <v>171</v>
      </c>
      <c r="Q173">
        <v>1</v>
      </c>
      <c r="W173">
        <v>0</v>
      </c>
      <c r="X173">
        <v>530957503</v>
      </c>
      <c r="Y173">
        <f t="shared" si="43"/>
        <v>1</v>
      </c>
      <c r="AA173">
        <v>603.87</v>
      </c>
      <c r="AB173">
        <v>0</v>
      </c>
      <c r="AC173">
        <v>0</v>
      </c>
      <c r="AD173">
        <v>0</v>
      </c>
      <c r="AE173">
        <v>603.87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3</v>
      </c>
      <c r="AT173">
        <v>1</v>
      </c>
      <c r="AU173" t="s">
        <v>3</v>
      </c>
      <c r="AV173">
        <v>0</v>
      </c>
      <c r="AW173">
        <v>2</v>
      </c>
      <c r="AX173">
        <v>75702456</v>
      </c>
      <c r="AY173">
        <v>1</v>
      </c>
      <c r="AZ173">
        <v>0</v>
      </c>
      <c r="BA173">
        <v>162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ROUND(Y173*Source!I440,9)</f>
        <v>1</v>
      </c>
      <c r="CY173">
        <f t="shared" si="46"/>
        <v>603.87</v>
      </c>
      <c r="CZ173">
        <f t="shared" si="47"/>
        <v>603.87</v>
      </c>
      <c r="DA173">
        <f t="shared" si="48"/>
        <v>1</v>
      </c>
      <c r="DB173">
        <f t="shared" si="44"/>
        <v>603.87</v>
      </c>
      <c r="DC173">
        <f t="shared" si="45"/>
        <v>0</v>
      </c>
      <c r="DD173" t="s">
        <v>3</v>
      </c>
      <c r="DE173" t="s">
        <v>3</v>
      </c>
      <c r="DF173">
        <f t="shared" si="35"/>
        <v>603.87</v>
      </c>
      <c r="DG173">
        <f t="shared" si="36"/>
        <v>0</v>
      </c>
      <c r="DH173">
        <f t="shared" si="37"/>
        <v>0</v>
      </c>
      <c r="DI173">
        <f t="shared" si="38"/>
        <v>0</v>
      </c>
      <c r="DJ173">
        <f t="shared" si="49"/>
        <v>603.87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ROW(Source!A440)</f>
        <v>440</v>
      </c>
      <c r="B174">
        <v>75700856</v>
      </c>
      <c r="C174">
        <v>75701955</v>
      </c>
      <c r="D174">
        <v>75396313</v>
      </c>
      <c r="E174">
        <v>1</v>
      </c>
      <c r="F174">
        <v>1</v>
      </c>
      <c r="G174">
        <v>39</v>
      </c>
      <c r="H174">
        <v>3</v>
      </c>
      <c r="I174" t="s">
        <v>169</v>
      </c>
      <c r="J174" t="s">
        <v>172</v>
      </c>
      <c r="K174" t="s">
        <v>170</v>
      </c>
      <c r="L174">
        <v>1354</v>
      </c>
      <c r="N174">
        <v>1010</v>
      </c>
      <c r="O174" t="s">
        <v>171</v>
      </c>
      <c r="P174" t="s">
        <v>171</v>
      </c>
      <c r="Q174">
        <v>1</v>
      </c>
      <c r="W174">
        <v>0</v>
      </c>
      <c r="X174">
        <v>-125063506</v>
      </c>
      <c r="Y174">
        <f t="shared" si="43"/>
        <v>1</v>
      </c>
      <c r="AA174">
        <v>5025.26</v>
      </c>
      <c r="AB174">
        <v>0</v>
      </c>
      <c r="AC174">
        <v>0</v>
      </c>
      <c r="AD174">
        <v>0</v>
      </c>
      <c r="AE174">
        <v>5025.26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0</v>
      </c>
      <c r="AN174">
        <v>0</v>
      </c>
      <c r="AO174">
        <v>0</v>
      </c>
      <c r="AP174">
        <v>1</v>
      </c>
      <c r="AQ174">
        <v>0</v>
      </c>
      <c r="AR174">
        <v>0</v>
      </c>
      <c r="AS174" t="s">
        <v>3</v>
      </c>
      <c r="AT174">
        <v>1</v>
      </c>
      <c r="AU174" t="s">
        <v>3</v>
      </c>
      <c r="AV174">
        <v>0</v>
      </c>
      <c r="AW174">
        <v>2</v>
      </c>
      <c r="AX174">
        <v>75702457</v>
      </c>
      <c r="AY174">
        <v>1</v>
      </c>
      <c r="AZ174">
        <v>0</v>
      </c>
      <c r="BA174">
        <v>163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ROUND(Y174*Source!I440,9)</f>
        <v>1</v>
      </c>
      <c r="CY174">
        <f t="shared" si="46"/>
        <v>5025.26</v>
      </c>
      <c r="CZ174">
        <f t="shared" si="47"/>
        <v>5025.26</v>
      </c>
      <c r="DA174">
        <f t="shared" si="48"/>
        <v>1</v>
      </c>
      <c r="DB174">
        <f t="shared" si="44"/>
        <v>5025.26</v>
      </c>
      <c r="DC174">
        <f t="shared" si="45"/>
        <v>0</v>
      </c>
      <c r="DD174" t="s">
        <v>3</v>
      </c>
      <c r="DE174" t="s">
        <v>3</v>
      </c>
      <c r="DF174">
        <f t="shared" si="35"/>
        <v>5025.26</v>
      </c>
      <c r="DG174">
        <f t="shared" si="36"/>
        <v>0</v>
      </c>
      <c r="DH174">
        <f t="shared" si="37"/>
        <v>0</v>
      </c>
      <c r="DI174">
        <f t="shared" si="38"/>
        <v>0</v>
      </c>
      <c r="DJ174">
        <f t="shared" si="49"/>
        <v>5025.26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ROW(Source!A440)</f>
        <v>440</v>
      </c>
      <c r="B175">
        <v>75700856</v>
      </c>
      <c r="C175">
        <v>75701955</v>
      </c>
      <c r="D175">
        <v>75396313</v>
      </c>
      <c r="E175">
        <v>1</v>
      </c>
      <c r="F175">
        <v>1</v>
      </c>
      <c r="G175">
        <v>39</v>
      </c>
      <c r="H175">
        <v>3</v>
      </c>
      <c r="I175" t="s">
        <v>169</v>
      </c>
      <c r="J175" t="s">
        <v>172</v>
      </c>
      <c r="K175" t="s">
        <v>170</v>
      </c>
      <c r="L175">
        <v>1354</v>
      </c>
      <c r="N175">
        <v>1010</v>
      </c>
      <c r="O175" t="s">
        <v>171</v>
      </c>
      <c r="P175" t="s">
        <v>171</v>
      </c>
      <c r="Q175">
        <v>1</v>
      </c>
      <c r="W175">
        <v>1</v>
      </c>
      <c r="X175">
        <v>-125063506</v>
      </c>
      <c r="Y175">
        <f t="shared" si="43"/>
        <v>-1</v>
      </c>
      <c r="AA175">
        <v>5025.26</v>
      </c>
      <c r="AB175">
        <v>0</v>
      </c>
      <c r="AC175">
        <v>0</v>
      </c>
      <c r="AD175">
        <v>0</v>
      </c>
      <c r="AE175">
        <v>5025.26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0</v>
      </c>
      <c r="AN175">
        <v>0</v>
      </c>
      <c r="AO175">
        <v>1</v>
      </c>
      <c r="AP175">
        <v>0</v>
      </c>
      <c r="AQ175">
        <v>0</v>
      </c>
      <c r="AR175">
        <v>0</v>
      </c>
      <c r="AS175" t="s">
        <v>3</v>
      </c>
      <c r="AT175">
        <v>-1</v>
      </c>
      <c r="AU175" t="s">
        <v>3</v>
      </c>
      <c r="AV175">
        <v>0</v>
      </c>
      <c r="AW175">
        <v>1</v>
      </c>
      <c r="AX175">
        <v>-1</v>
      </c>
      <c r="AY175">
        <v>0</v>
      </c>
      <c r="AZ175">
        <v>0</v>
      </c>
      <c r="BA175" t="s">
        <v>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ROUND(Y175*Source!I440,9)</f>
        <v>-1</v>
      </c>
      <c r="CY175">
        <f t="shared" si="46"/>
        <v>5025.26</v>
      </c>
      <c r="CZ175">
        <f t="shared" si="47"/>
        <v>5025.26</v>
      </c>
      <c r="DA175">
        <f t="shared" si="48"/>
        <v>1</v>
      </c>
      <c r="DB175">
        <f t="shared" si="44"/>
        <v>-5025.26</v>
      </c>
      <c r="DC175">
        <f t="shared" si="45"/>
        <v>0</v>
      </c>
      <c r="DD175" t="s">
        <v>3</v>
      </c>
      <c r="DE175" t="s">
        <v>3</v>
      </c>
      <c r="DF175">
        <f t="shared" si="35"/>
        <v>-5025.26</v>
      </c>
      <c r="DG175">
        <f t="shared" si="36"/>
        <v>0</v>
      </c>
      <c r="DH175">
        <f t="shared" si="37"/>
        <v>0</v>
      </c>
      <c r="DI175">
        <f t="shared" si="38"/>
        <v>0</v>
      </c>
      <c r="DJ175">
        <f t="shared" si="49"/>
        <v>-5025.26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ROW(Source!A440)</f>
        <v>440</v>
      </c>
      <c r="B176">
        <v>75700856</v>
      </c>
      <c r="C176">
        <v>75701955</v>
      </c>
      <c r="D176">
        <v>0</v>
      </c>
      <c r="E176">
        <v>39</v>
      </c>
      <c r="F176">
        <v>1</v>
      </c>
      <c r="G176">
        <v>39</v>
      </c>
      <c r="H176">
        <v>3</v>
      </c>
      <c r="I176" t="s">
        <v>174</v>
      </c>
      <c r="J176" t="s">
        <v>3</v>
      </c>
      <c r="K176" t="s">
        <v>175</v>
      </c>
      <c r="L176">
        <v>1354</v>
      </c>
      <c r="N176">
        <v>1010</v>
      </c>
      <c r="O176" t="s">
        <v>171</v>
      </c>
      <c r="P176" t="s">
        <v>171</v>
      </c>
      <c r="Q176">
        <v>1</v>
      </c>
      <c r="W176">
        <v>0</v>
      </c>
      <c r="X176">
        <v>1407851726</v>
      </c>
      <c r="Y176">
        <f t="shared" si="43"/>
        <v>1</v>
      </c>
      <c r="AA176">
        <v>37.5</v>
      </c>
      <c r="AB176">
        <v>0</v>
      </c>
      <c r="AC176">
        <v>0</v>
      </c>
      <c r="AD176">
        <v>0</v>
      </c>
      <c r="AE176">
        <v>37.5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 t="s">
        <v>3</v>
      </c>
      <c r="AT176">
        <v>1</v>
      </c>
      <c r="AU176" t="s">
        <v>3</v>
      </c>
      <c r="AV176">
        <v>0</v>
      </c>
      <c r="AW176">
        <v>1</v>
      </c>
      <c r="AX176">
        <v>-1</v>
      </c>
      <c r="AY176">
        <v>0</v>
      </c>
      <c r="AZ176">
        <v>0</v>
      </c>
      <c r="BA176" t="s">
        <v>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v>0</v>
      </c>
      <c r="CX176">
        <f>ROUND(Y176*Source!I440,9)</f>
        <v>1</v>
      </c>
      <c r="CY176">
        <f t="shared" si="46"/>
        <v>37.5</v>
      </c>
      <c r="CZ176">
        <f t="shared" si="47"/>
        <v>37.5</v>
      </c>
      <c r="DA176">
        <f t="shared" si="48"/>
        <v>1</v>
      </c>
      <c r="DB176">
        <f t="shared" si="44"/>
        <v>37.5</v>
      </c>
      <c r="DC176">
        <f t="shared" si="45"/>
        <v>0</v>
      </c>
      <c r="DD176" t="s">
        <v>3</v>
      </c>
      <c r="DE176" t="s">
        <v>3</v>
      </c>
      <c r="DF176">
        <f t="shared" si="35"/>
        <v>37.5</v>
      </c>
      <c r="DG176">
        <f t="shared" si="36"/>
        <v>0</v>
      </c>
      <c r="DH176">
        <f t="shared" si="37"/>
        <v>0</v>
      </c>
      <c r="DI176">
        <f t="shared" si="38"/>
        <v>0</v>
      </c>
      <c r="DJ176">
        <f t="shared" si="49"/>
        <v>37.5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ROW(Source!A445)</f>
        <v>445</v>
      </c>
      <c r="B177">
        <v>75700856</v>
      </c>
      <c r="C177">
        <v>75701988</v>
      </c>
      <c r="D177">
        <v>75386788</v>
      </c>
      <c r="E177">
        <v>39</v>
      </c>
      <c r="F177">
        <v>1</v>
      </c>
      <c r="G177">
        <v>39</v>
      </c>
      <c r="H177">
        <v>1</v>
      </c>
      <c r="I177" t="s">
        <v>332</v>
      </c>
      <c r="J177" t="s">
        <v>3</v>
      </c>
      <c r="K177" t="s">
        <v>333</v>
      </c>
      <c r="L177">
        <v>1191</v>
      </c>
      <c r="N177">
        <v>1013</v>
      </c>
      <c r="O177" t="s">
        <v>334</v>
      </c>
      <c r="P177" t="s">
        <v>334</v>
      </c>
      <c r="Q177">
        <v>1</v>
      </c>
      <c r="W177">
        <v>0</v>
      </c>
      <c r="X177">
        <v>476480486</v>
      </c>
      <c r="Y177">
        <f t="shared" si="43"/>
        <v>77.86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77.86</v>
      </c>
      <c r="AU177" t="s">
        <v>3</v>
      </c>
      <c r="AV177">
        <v>1</v>
      </c>
      <c r="AW177">
        <v>2</v>
      </c>
      <c r="AX177">
        <v>75702458</v>
      </c>
      <c r="AY177">
        <v>1</v>
      </c>
      <c r="AZ177">
        <v>0</v>
      </c>
      <c r="BA177">
        <v>164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U177">
        <f>ROUND(AT177*Source!I445*AH177*AL177,2)</f>
        <v>0</v>
      </c>
      <c r="CV177">
        <f>ROUND(Y177*Source!I445,9)</f>
        <v>0.77859999999999996</v>
      </c>
      <c r="CW177">
        <v>0</v>
      </c>
      <c r="CX177">
        <f>ROUND(Y177*Source!I445,9)</f>
        <v>0.77859999999999996</v>
      </c>
      <c r="CY177">
        <f>AD177</f>
        <v>0</v>
      </c>
      <c r="CZ177">
        <f>AH177</f>
        <v>0</v>
      </c>
      <c r="DA177">
        <f>AL177</f>
        <v>1</v>
      </c>
      <c r="DB177">
        <f t="shared" si="44"/>
        <v>0</v>
      </c>
      <c r="DC177">
        <f t="shared" si="45"/>
        <v>0</v>
      </c>
      <c r="DD177" t="s">
        <v>3</v>
      </c>
      <c r="DE177" t="s">
        <v>3</v>
      </c>
      <c r="DF177">
        <f t="shared" si="35"/>
        <v>0</v>
      </c>
      <c r="DG177">
        <f t="shared" si="36"/>
        <v>0</v>
      </c>
      <c r="DH177">
        <f t="shared" si="37"/>
        <v>0</v>
      </c>
      <c r="DI177">
        <f t="shared" si="38"/>
        <v>0</v>
      </c>
      <c r="DJ177">
        <f>DI177</f>
        <v>0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ROW(Source!A445)</f>
        <v>445</v>
      </c>
      <c r="B178">
        <v>75700856</v>
      </c>
      <c r="C178">
        <v>75701988</v>
      </c>
      <c r="D178">
        <v>75389672</v>
      </c>
      <c r="E178">
        <v>1</v>
      </c>
      <c r="F178">
        <v>1</v>
      </c>
      <c r="G178">
        <v>39</v>
      </c>
      <c r="H178">
        <v>3</v>
      </c>
      <c r="I178" t="s">
        <v>381</v>
      </c>
      <c r="J178" t="s">
        <v>382</v>
      </c>
      <c r="K178" t="s">
        <v>383</v>
      </c>
      <c r="L178">
        <v>1348</v>
      </c>
      <c r="N178">
        <v>1009</v>
      </c>
      <c r="O178" t="s">
        <v>68</v>
      </c>
      <c r="P178" t="s">
        <v>68</v>
      </c>
      <c r="Q178">
        <v>1000</v>
      </c>
      <c r="W178">
        <v>0</v>
      </c>
      <c r="X178">
        <v>-799169102</v>
      </c>
      <c r="Y178">
        <f t="shared" si="43"/>
        <v>1.2E-2</v>
      </c>
      <c r="AA178">
        <v>95976.83</v>
      </c>
      <c r="AB178">
        <v>0</v>
      </c>
      <c r="AC178">
        <v>0</v>
      </c>
      <c r="AD178">
        <v>0</v>
      </c>
      <c r="AE178">
        <v>95976.83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1.2E-2</v>
      </c>
      <c r="AU178" t="s">
        <v>3</v>
      </c>
      <c r="AV178">
        <v>0</v>
      </c>
      <c r="AW178">
        <v>2</v>
      </c>
      <c r="AX178">
        <v>75702459</v>
      </c>
      <c r="AY178">
        <v>1</v>
      </c>
      <c r="AZ178">
        <v>0</v>
      </c>
      <c r="BA178">
        <v>165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ROUND(Y178*Source!I445,9)</f>
        <v>1.2E-4</v>
      </c>
      <c r="CY178">
        <f>AA178</f>
        <v>95976.83</v>
      </c>
      <c r="CZ178">
        <f>AE178</f>
        <v>95976.83</v>
      </c>
      <c r="DA178">
        <f>AI178</f>
        <v>1</v>
      </c>
      <c r="DB178">
        <f t="shared" si="44"/>
        <v>1151.72</v>
      </c>
      <c r="DC178">
        <f t="shared" si="45"/>
        <v>0</v>
      </c>
      <c r="DD178" t="s">
        <v>3</v>
      </c>
      <c r="DE178" t="s">
        <v>3</v>
      </c>
      <c r="DF178">
        <f t="shared" si="35"/>
        <v>11.52</v>
      </c>
      <c r="DG178">
        <f t="shared" si="36"/>
        <v>0</v>
      </c>
      <c r="DH178">
        <f t="shared" si="37"/>
        <v>0</v>
      </c>
      <c r="DI178">
        <f t="shared" si="38"/>
        <v>0</v>
      </c>
      <c r="DJ178">
        <f>DF178</f>
        <v>11.52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ROW(Source!A445)</f>
        <v>445</v>
      </c>
      <c r="B179">
        <v>75700856</v>
      </c>
      <c r="C179">
        <v>75701988</v>
      </c>
      <c r="D179">
        <v>75389710</v>
      </c>
      <c r="E179">
        <v>1</v>
      </c>
      <c r="F179">
        <v>1</v>
      </c>
      <c r="G179">
        <v>39</v>
      </c>
      <c r="H179">
        <v>3</v>
      </c>
      <c r="I179" t="s">
        <v>418</v>
      </c>
      <c r="J179" t="s">
        <v>419</v>
      </c>
      <c r="K179" t="s">
        <v>420</v>
      </c>
      <c r="L179">
        <v>1348</v>
      </c>
      <c r="N179">
        <v>1009</v>
      </c>
      <c r="O179" t="s">
        <v>68</v>
      </c>
      <c r="P179" t="s">
        <v>68</v>
      </c>
      <c r="Q179">
        <v>1000</v>
      </c>
      <c r="W179">
        <v>0</v>
      </c>
      <c r="X179">
        <v>-1980536396</v>
      </c>
      <c r="Y179">
        <f t="shared" si="43"/>
        <v>3.5000000000000003E-2</v>
      </c>
      <c r="AA179">
        <v>87313.75</v>
      </c>
      <c r="AB179">
        <v>0</v>
      </c>
      <c r="AC179">
        <v>0</v>
      </c>
      <c r="AD179">
        <v>0</v>
      </c>
      <c r="AE179">
        <v>87313.75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3.5000000000000003E-2</v>
      </c>
      <c r="AU179" t="s">
        <v>3</v>
      </c>
      <c r="AV179">
        <v>0</v>
      </c>
      <c r="AW179">
        <v>2</v>
      </c>
      <c r="AX179">
        <v>75702460</v>
      </c>
      <c r="AY179">
        <v>1</v>
      </c>
      <c r="AZ179">
        <v>0</v>
      </c>
      <c r="BA179">
        <v>166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ROUND(Y179*Source!I445,9)</f>
        <v>3.5E-4</v>
      </c>
      <c r="CY179">
        <f>AA179</f>
        <v>87313.75</v>
      </c>
      <c r="CZ179">
        <f>AE179</f>
        <v>87313.75</v>
      </c>
      <c r="DA179">
        <f>AI179</f>
        <v>1</v>
      </c>
      <c r="DB179">
        <f t="shared" si="44"/>
        <v>3055.98</v>
      </c>
      <c r="DC179">
        <f t="shared" si="45"/>
        <v>0</v>
      </c>
      <c r="DD179" t="s">
        <v>3</v>
      </c>
      <c r="DE179" t="s">
        <v>3</v>
      </c>
      <c r="DF179">
        <f t="shared" si="35"/>
        <v>30.56</v>
      </c>
      <c r="DG179">
        <f t="shared" si="36"/>
        <v>0</v>
      </c>
      <c r="DH179">
        <f t="shared" si="37"/>
        <v>0</v>
      </c>
      <c r="DI179">
        <f t="shared" si="38"/>
        <v>0</v>
      </c>
      <c r="DJ179">
        <f>DF179</f>
        <v>30.56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ROW(Source!A445)</f>
        <v>445</v>
      </c>
      <c r="B180">
        <v>75700856</v>
      </c>
      <c r="C180">
        <v>75701988</v>
      </c>
      <c r="D180">
        <v>75393920</v>
      </c>
      <c r="E180">
        <v>1</v>
      </c>
      <c r="F180">
        <v>1</v>
      </c>
      <c r="G180">
        <v>39</v>
      </c>
      <c r="H180">
        <v>3</v>
      </c>
      <c r="I180" t="s">
        <v>421</v>
      </c>
      <c r="J180" t="s">
        <v>422</v>
      </c>
      <c r="K180" t="s">
        <v>423</v>
      </c>
      <c r="L180">
        <v>1301</v>
      </c>
      <c r="N180">
        <v>1003</v>
      </c>
      <c r="O180" t="s">
        <v>49</v>
      </c>
      <c r="P180" t="s">
        <v>49</v>
      </c>
      <c r="Q180">
        <v>1</v>
      </c>
      <c r="W180">
        <v>0</v>
      </c>
      <c r="X180">
        <v>-1908336614</v>
      </c>
      <c r="Y180">
        <f t="shared" ref="Y180:Y208" si="50">AT180</f>
        <v>400</v>
      </c>
      <c r="AA180">
        <v>27.14</v>
      </c>
      <c r="AB180">
        <v>0</v>
      </c>
      <c r="AC180">
        <v>0</v>
      </c>
      <c r="AD180">
        <v>0</v>
      </c>
      <c r="AE180">
        <v>27.14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400</v>
      </c>
      <c r="AU180" t="s">
        <v>3</v>
      </c>
      <c r="AV180">
        <v>0</v>
      </c>
      <c r="AW180">
        <v>2</v>
      </c>
      <c r="AX180">
        <v>75702461</v>
      </c>
      <c r="AY180">
        <v>1</v>
      </c>
      <c r="AZ180">
        <v>0</v>
      </c>
      <c r="BA180">
        <v>167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v>0</v>
      </c>
      <c r="CX180">
        <f>ROUND(Y180*Source!I445,9)</f>
        <v>4</v>
      </c>
      <c r="CY180">
        <f>AA180</f>
        <v>27.14</v>
      </c>
      <c r="CZ180">
        <f>AE180</f>
        <v>27.14</v>
      </c>
      <c r="DA180">
        <f>AI180</f>
        <v>1</v>
      </c>
      <c r="DB180">
        <f t="shared" ref="DB180:DB208" si="51">ROUND(ROUND(AT180*CZ180,2),6)</f>
        <v>10856</v>
      </c>
      <c r="DC180">
        <f t="shared" ref="DC180:DC208" si="52">ROUND(ROUND(AT180*AG180,2),6)</f>
        <v>0</v>
      </c>
      <c r="DD180" t="s">
        <v>3</v>
      </c>
      <c r="DE180" t="s">
        <v>3</v>
      </c>
      <c r="DF180">
        <f t="shared" si="35"/>
        <v>108.56</v>
      </c>
      <c r="DG180">
        <f t="shared" si="36"/>
        <v>0</v>
      </c>
      <c r="DH180">
        <f t="shared" si="37"/>
        <v>0</v>
      </c>
      <c r="DI180">
        <f t="shared" si="38"/>
        <v>0</v>
      </c>
      <c r="DJ180">
        <f>DF180</f>
        <v>108.56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ROW(Source!A445)</f>
        <v>445</v>
      </c>
      <c r="B181">
        <v>75700856</v>
      </c>
      <c r="C181">
        <v>75701988</v>
      </c>
      <c r="D181">
        <v>0</v>
      </c>
      <c r="E181">
        <v>39</v>
      </c>
      <c r="F181">
        <v>1</v>
      </c>
      <c r="G181">
        <v>39</v>
      </c>
      <c r="H181">
        <v>3</v>
      </c>
      <c r="I181" t="s">
        <v>174</v>
      </c>
      <c r="J181" t="s">
        <v>3</v>
      </c>
      <c r="K181" t="s">
        <v>185</v>
      </c>
      <c r="L181">
        <v>1354</v>
      </c>
      <c r="N181">
        <v>1010</v>
      </c>
      <c r="O181" t="s">
        <v>171</v>
      </c>
      <c r="P181" t="s">
        <v>171</v>
      </c>
      <c r="Q181">
        <v>1</v>
      </c>
      <c r="W181">
        <v>0</v>
      </c>
      <c r="X181">
        <v>-541391768</v>
      </c>
      <c r="Y181">
        <f t="shared" si="50"/>
        <v>1</v>
      </c>
      <c r="AA181">
        <v>10050.83</v>
      </c>
      <c r="AB181">
        <v>0</v>
      </c>
      <c r="AC181">
        <v>0</v>
      </c>
      <c r="AD181">
        <v>0</v>
      </c>
      <c r="AE181">
        <v>10050.83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 t="s">
        <v>3</v>
      </c>
      <c r="AT181">
        <v>1</v>
      </c>
      <c r="AU181" t="s">
        <v>3</v>
      </c>
      <c r="AV181">
        <v>0</v>
      </c>
      <c r="AW181">
        <v>1</v>
      </c>
      <c r="AX181">
        <v>-1</v>
      </c>
      <c r="AY181">
        <v>0</v>
      </c>
      <c r="AZ181">
        <v>0</v>
      </c>
      <c r="BA181" t="s">
        <v>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ROUND(Y181*Source!I445,9)</f>
        <v>0.01</v>
      </c>
      <c r="CY181">
        <f>AA181</f>
        <v>10050.83</v>
      </c>
      <c r="CZ181">
        <f>AE181</f>
        <v>10050.83</v>
      </c>
      <c r="DA181">
        <f>AI181</f>
        <v>1</v>
      </c>
      <c r="DB181">
        <f t="shared" si="51"/>
        <v>10050.83</v>
      </c>
      <c r="DC181">
        <f t="shared" si="52"/>
        <v>0</v>
      </c>
      <c r="DD181" t="s">
        <v>3</v>
      </c>
      <c r="DE181" t="s">
        <v>3</v>
      </c>
      <c r="DF181">
        <f t="shared" si="35"/>
        <v>100.51</v>
      </c>
      <c r="DG181">
        <f t="shared" si="36"/>
        <v>0</v>
      </c>
      <c r="DH181">
        <f t="shared" si="37"/>
        <v>0</v>
      </c>
      <c r="DI181">
        <f t="shared" si="38"/>
        <v>0</v>
      </c>
      <c r="DJ181">
        <f>DF181</f>
        <v>100.51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ROW(Source!A447)</f>
        <v>447</v>
      </c>
      <c r="B182">
        <v>75700856</v>
      </c>
      <c r="C182">
        <v>75701999</v>
      </c>
      <c r="D182">
        <v>75386788</v>
      </c>
      <c r="E182">
        <v>39</v>
      </c>
      <c r="F182">
        <v>1</v>
      </c>
      <c r="G182">
        <v>39</v>
      </c>
      <c r="H182">
        <v>1</v>
      </c>
      <c r="I182" t="s">
        <v>332</v>
      </c>
      <c r="J182" t="s">
        <v>3</v>
      </c>
      <c r="K182" t="s">
        <v>333</v>
      </c>
      <c r="L182">
        <v>1191</v>
      </c>
      <c r="N182">
        <v>1013</v>
      </c>
      <c r="O182" t="s">
        <v>334</v>
      </c>
      <c r="P182" t="s">
        <v>334</v>
      </c>
      <c r="Q182">
        <v>1</v>
      </c>
      <c r="W182">
        <v>0</v>
      </c>
      <c r="X182">
        <v>476480486</v>
      </c>
      <c r="Y182">
        <f t="shared" si="50"/>
        <v>38.76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38.76</v>
      </c>
      <c r="AU182" t="s">
        <v>3</v>
      </c>
      <c r="AV182">
        <v>1</v>
      </c>
      <c r="AW182">
        <v>2</v>
      </c>
      <c r="AX182">
        <v>75702462</v>
      </c>
      <c r="AY182">
        <v>1</v>
      </c>
      <c r="AZ182">
        <v>0</v>
      </c>
      <c r="BA182">
        <v>168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ROUND(AT182*Source!I447*AH182*AL182,2)</f>
        <v>0</v>
      </c>
      <c r="CV182">
        <f>ROUND(Y182*Source!I447,9)</f>
        <v>0.3876</v>
      </c>
      <c r="CW182">
        <v>0</v>
      </c>
      <c r="CX182">
        <f>ROUND(Y182*Source!I447,9)</f>
        <v>0.3876</v>
      </c>
      <c r="CY182">
        <f>AD182</f>
        <v>0</v>
      </c>
      <c r="CZ182">
        <f>AH182</f>
        <v>0</v>
      </c>
      <c r="DA182">
        <f>AL182</f>
        <v>1</v>
      </c>
      <c r="DB182">
        <f t="shared" si="51"/>
        <v>0</v>
      </c>
      <c r="DC182">
        <f t="shared" si="52"/>
        <v>0</v>
      </c>
      <c r="DD182" t="s">
        <v>3</v>
      </c>
      <c r="DE182" t="s">
        <v>3</v>
      </c>
      <c r="DF182">
        <f t="shared" si="35"/>
        <v>0</v>
      </c>
      <c r="DG182">
        <f t="shared" si="36"/>
        <v>0</v>
      </c>
      <c r="DH182">
        <f t="shared" si="37"/>
        <v>0</v>
      </c>
      <c r="DI182">
        <f t="shared" si="38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ROW(Source!A447)</f>
        <v>447</v>
      </c>
      <c r="B183">
        <v>75700856</v>
      </c>
      <c r="C183">
        <v>75701999</v>
      </c>
      <c r="D183">
        <v>75394576</v>
      </c>
      <c r="E183">
        <v>1</v>
      </c>
      <c r="F183">
        <v>1</v>
      </c>
      <c r="G183">
        <v>39</v>
      </c>
      <c r="H183">
        <v>3</v>
      </c>
      <c r="I183" t="s">
        <v>448</v>
      </c>
      <c r="J183" t="s">
        <v>449</v>
      </c>
      <c r="K183" t="s">
        <v>450</v>
      </c>
      <c r="L183">
        <v>1035</v>
      </c>
      <c r="N183">
        <v>1013</v>
      </c>
      <c r="O183" t="s">
        <v>166</v>
      </c>
      <c r="P183" t="s">
        <v>166</v>
      </c>
      <c r="Q183">
        <v>1</v>
      </c>
      <c r="W183">
        <v>0</v>
      </c>
      <c r="X183">
        <v>1711651658</v>
      </c>
      <c r="Y183">
        <f t="shared" si="50"/>
        <v>200</v>
      </c>
      <c r="AA183">
        <v>132.30000000000001</v>
      </c>
      <c r="AB183">
        <v>0</v>
      </c>
      <c r="AC183">
        <v>0</v>
      </c>
      <c r="AD183">
        <v>0</v>
      </c>
      <c r="AE183">
        <v>132.30000000000001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200</v>
      </c>
      <c r="AU183" t="s">
        <v>3</v>
      </c>
      <c r="AV183">
        <v>0</v>
      </c>
      <c r="AW183">
        <v>2</v>
      </c>
      <c r="AX183">
        <v>75702463</v>
      </c>
      <c r="AY183">
        <v>1</v>
      </c>
      <c r="AZ183">
        <v>0</v>
      </c>
      <c r="BA183">
        <v>169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ROUND(Y183*Source!I447,9)</f>
        <v>2</v>
      </c>
      <c r="CY183">
        <f>AA183</f>
        <v>132.30000000000001</v>
      </c>
      <c r="CZ183">
        <f>AE183</f>
        <v>132.30000000000001</v>
      </c>
      <c r="DA183">
        <f>AI183</f>
        <v>1</v>
      </c>
      <c r="DB183">
        <f t="shared" si="51"/>
        <v>26460</v>
      </c>
      <c r="DC183">
        <f t="shared" si="52"/>
        <v>0</v>
      </c>
      <c r="DD183" t="s">
        <v>3</v>
      </c>
      <c r="DE183" t="s">
        <v>3</v>
      </c>
      <c r="DF183">
        <f t="shared" si="35"/>
        <v>264.60000000000002</v>
      </c>
      <c r="DG183">
        <f t="shared" si="36"/>
        <v>0</v>
      </c>
      <c r="DH183">
        <f t="shared" si="37"/>
        <v>0</v>
      </c>
      <c r="DI183">
        <f t="shared" si="38"/>
        <v>0</v>
      </c>
      <c r="DJ183">
        <f>DF183</f>
        <v>264.60000000000002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ROW(Source!A448)</f>
        <v>448</v>
      </c>
      <c r="B184">
        <v>75700856</v>
      </c>
      <c r="C184">
        <v>75702004</v>
      </c>
      <c r="D184">
        <v>75386788</v>
      </c>
      <c r="E184">
        <v>39</v>
      </c>
      <c r="F184">
        <v>1</v>
      </c>
      <c r="G184">
        <v>39</v>
      </c>
      <c r="H184">
        <v>1</v>
      </c>
      <c r="I184" t="s">
        <v>332</v>
      </c>
      <c r="J184" t="s">
        <v>3</v>
      </c>
      <c r="K184" t="s">
        <v>333</v>
      </c>
      <c r="L184">
        <v>1191</v>
      </c>
      <c r="N184">
        <v>1013</v>
      </c>
      <c r="O184" t="s">
        <v>334</v>
      </c>
      <c r="P184" t="s">
        <v>334</v>
      </c>
      <c r="Q184">
        <v>1</v>
      </c>
      <c r="W184">
        <v>0</v>
      </c>
      <c r="X184">
        <v>476480486</v>
      </c>
      <c r="Y184">
        <f t="shared" si="50"/>
        <v>1.21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1.21</v>
      </c>
      <c r="AU184" t="s">
        <v>3</v>
      </c>
      <c r="AV184">
        <v>1</v>
      </c>
      <c r="AW184">
        <v>2</v>
      </c>
      <c r="AX184">
        <v>75702464</v>
      </c>
      <c r="AY184">
        <v>1</v>
      </c>
      <c r="AZ184">
        <v>0</v>
      </c>
      <c r="BA184">
        <v>170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ROUND(AT184*Source!I448*AH184*AL184,2)</f>
        <v>0</v>
      </c>
      <c r="CV184">
        <f>ROUND(Y184*Source!I448,9)</f>
        <v>0.24199999999999999</v>
      </c>
      <c r="CW184">
        <v>0</v>
      </c>
      <c r="CX184">
        <f>ROUND(Y184*Source!I448,9)</f>
        <v>0.24199999999999999</v>
      </c>
      <c r="CY184">
        <f>AD184</f>
        <v>0</v>
      </c>
      <c r="CZ184">
        <f>AH184</f>
        <v>0</v>
      </c>
      <c r="DA184">
        <f>AL184</f>
        <v>1</v>
      </c>
      <c r="DB184">
        <f t="shared" si="51"/>
        <v>0</v>
      </c>
      <c r="DC184">
        <f t="shared" si="52"/>
        <v>0</v>
      </c>
      <c r="DD184" t="s">
        <v>3</v>
      </c>
      <c r="DE184" t="s">
        <v>3</v>
      </c>
      <c r="DF184">
        <f t="shared" si="35"/>
        <v>0</v>
      </c>
      <c r="DG184">
        <f t="shared" si="36"/>
        <v>0</v>
      </c>
      <c r="DH184">
        <f t="shared" si="37"/>
        <v>0</v>
      </c>
      <c r="DI184">
        <f t="shared" si="38"/>
        <v>0</v>
      </c>
      <c r="DJ184">
        <f>DI184</f>
        <v>0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ROW(Source!A449)</f>
        <v>449</v>
      </c>
      <c r="B185">
        <v>75700856</v>
      </c>
      <c r="C185">
        <v>75702007</v>
      </c>
      <c r="D185">
        <v>75386788</v>
      </c>
      <c r="E185">
        <v>39</v>
      </c>
      <c r="F185">
        <v>1</v>
      </c>
      <c r="G185">
        <v>39</v>
      </c>
      <c r="H185">
        <v>1</v>
      </c>
      <c r="I185" t="s">
        <v>332</v>
      </c>
      <c r="J185" t="s">
        <v>3</v>
      </c>
      <c r="K185" t="s">
        <v>333</v>
      </c>
      <c r="L185">
        <v>1191</v>
      </c>
      <c r="N185">
        <v>1013</v>
      </c>
      <c r="O185" t="s">
        <v>334</v>
      </c>
      <c r="P185" t="s">
        <v>334</v>
      </c>
      <c r="Q185">
        <v>1</v>
      </c>
      <c r="W185">
        <v>0</v>
      </c>
      <c r="X185">
        <v>476480486</v>
      </c>
      <c r="Y185">
        <f t="shared" si="50"/>
        <v>1.72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1.72</v>
      </c>
      <c r="AU185" t="s">
        <v>3</v>
      </c>
      <c r="AV185">
        <v>1</v>
      </c>
      <c r="AW185">
        <v>2</v>
      </c>
      <c r="AX185">
        <v>75702465</v>
      </c>
      <c r="AY185">
        <v>1</v>
      </c>
      <c r="AZ185">
        <v>0</v>
      </c>
      <c r="BA185">
        <v>171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U185">
        <f>ROUND(AT185*Source!I449*AH185*AL185,2)</f>
        <v>0</v>
      </c>
      <c r="CV185">
        <f>ROUND(Y185*Source!I449,9)</f>
        <v>0.34399999999999997</v>
      </c>
      <c r="CW185">
        <v>0</v>
      </c>
      <c r="CX185">
        <f>ROUND(Y185*Source!I449,9)</f>
        <v>0.34399999999999997</v>
      </c>
      <c r="CY185">
        <f>AD185</f>
        <v>0</v>
      </c>
      <c r="CZ185">
        <f>AH185</f>
        <v>0</v>
      </c>
      <c r="DA185">
        <f>AL185</f>
        <v>1</v>
      </c>
      <c r="DB185">
        <f t="shared" si="51"/>
        <v>0</v>
      </c>
      <c r="DC185">
        <f t="shared" si="52"/>
        <v>0</v>
      </c>
      <c r="DD185" t="s">
        <v>3</v>
      </c>
      <c r="DE185" t="s">
        <v>3</v>
      </c>
      <c r="DF185">
        <f t="shared" si="35"/>
        <v>0</v>
      </c>
      <c r="DG185">
        <f t="shared" si="36"/>
        <v>0</v>
      </c>
      <c r="DH185">
        <f t="shared" si="37"/>
        <v>0</v>
      </c>
      <c r="DI185">
        <f t="shared" si="38"/>
        <v>0</v>
      </c>
      <c r="DJ185">
        <f>DI185</f>
        <v>0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ROW(Source!A449)</f>
        <v>449</v>
      </c>
      <c r="B186">
        <v>75700856</v>
      </c>
      <c r="C186">
        <v>75702007</v>
      </c>
      <c r="D186">
        <v>75390591</v>
      </c>
      <c r="E186">
        <v>1</v>
      </c>
      <c r="F186">
        <v>1</v>
      </c>
      <c r="G186">
        <v>39</v>
      </c>
      <c r="H186">
        <v>3</v>
      </c>
      <c r="I186" t="s">
        <v>430</v>
      </c>
      <c r="J186" t="s">
        <v>431</v>
      </c>
      <c r="K186" t="s">
        <v>432</v>
      </c>
      <c r="L186">
        <v>1346</v>
      </c>
      <c r="N186">
        <v>1009</v>
      </c>
      <c r="O186" t="s">
        <v>63</v>
      </c>
      <c r="P186" t="s">
        <v>63</v>
      </c>
      <c r="Q186">
        <v>1</v>
      </c>
      <c r="W186">
        <v>0</v>
      </c>
      <c r="X186">
        <v>-901272518</v>
      </c>
      <c r="Y186">
        <f t="shared" si="50"/>
        <v>6.3E-2</v>
      </c>
      <c r="AA186">
        <v>656.56</v>
      </c>
      <c r="AB186">
        <v>0</v>
      </c>
      <c r="AC186">
        <v>0</v>
      </c>
      <c r="AD186">
        <v>0</v>
      </c>
      <c r="AE186">
        <v>656.56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6.3E-2</v>
      </c>
      <c r="AU186" t="s">
        <v>3</v>
      </c>
      <c r="AV186">
        <v>0</v>
      </c>
      <c r="AW186">
        <v>2</v>
      </c>
      <c r="AX186">
        <v>75702466</v>
      </c>
      <c r="AY186">
        <v>1</v>
      </c>
      <c r="AZ186">
        <v>0</v>
      </c>
      <c r="BA186">
        <v>172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v>0</v>
      </c>
      <c r="CX186">
        <f>ROUND(Y186*Source!I449,9)</f>
        <v>1.26E-2</v>
      </c>
      <c r="CY186">
        <f>AA186</f>
        <v>656.56</v>
      </c>
      <c r="CZ186">
        <f>AE186</f>
        <v>656.56</v>
      </c>
      <c r="DA186">
        <f>AI186</f>
        <v>1</v>
      </c>
      <c r="DB186">
        <f t="shared" si="51"/>
        <v>41.36</v>
      </c>
      <c r="DC186">
        <f t="shared" si="52"/>
        <v>0</v>
      </c>
      <c r="DD186" t="s">
        <v>3</v>
      </c>
      <c r="DE186" t="s">
        <v>3</v>
      </c>
      <c r="DF186">
        <f t="shared" si="35"/>
        <v>8.27</v>
      </c>
      <c r="DG186">
        <f t="shared" si="36"/>
        <v>0</v>
      </c>
      <c r="DH186">
        <f t="shared" si="37"/>
        <v>0</v>
      </c>
      <c r="DI186">
        <f t="shared" si="38"/>
        <v>0</v>
      </c>
      <c r="DJ186">
        <f>DF186</f>
        <v>8.27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ROW(Source!A449)</f>
        <v>449</v>
      </c>
      <c r="B187">
        <v>75700856</v>
      </c>
      <c r="C187">
        <v>75702007</v>
      </c>
      <c r="D187">
        <v>75395894</v>
      </c>
      <c r="E187">
        <v>1</v>
      </c>
      <c r="F187">
        <v>1</v>
      </c>
      <c r="G187">
        <v>39</v>
      </c>
      <c r="H187">
        <v>3</v>
      </c>
      <c r="I187" t="s">
        <v>201</v>
      </c>
      <c r="J187" t="s">
        <v>203</v>
      </c>
      <c r="K187" t="s">
        <v>202</v>
      </c>
      <c r="L187">
        <v>1354</v>
      </c>
      <c r="N187">
        <v>1010</v>
      </c>
      <c r="O187" t="s">
        <v>171</v>
      </c>
      <c r="P187" t="s">
        <v>171</v>
      </c>
      <c r="Q187">
        <v>1</v>
      </c>
      <c r="W187">
        <v>0</v>
      </c>
      <c r="X187">
        <v>331574299</v>
      </c>
      <c r="Y187">
        <f t="shared" si="50"/>
        <v>10</v>
      </c>
      <c r="AA187">
        <v>182.88</v>
      </c>
      <c r="AB187">
        <v>0</v>
      </c>
      <c r="AC187">
        <v>0</v>
      </c>
      <c r="AD187">
        <v>0</v>
      </c>
      <c r="AE187">
        <v>182.88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0</v>
      </c>
      <c r="AN187">
        <v>0</v>
      </c>
      <c r="AO187">
        <v>0</v>
      </c>
      <c r="AP187">
        <v>1</v>
      </c>
      <c r="AQ187">
        <v>0</v>
      </c>
      <c r="AR187">
        <v>0</v>
      </c>
      <c r="AS187" t="s">
        <v>3</v>
      </c>
      <c r="AT187">
        <v>10</v>
      </c>
      <c r="AU187" t="s">
        <v>3</v>
      </c>
      <c r="AV187">
        <v>0</v>
      </c>
      <c r="AW187">
        <v>1</v>
      </c>
      <c r="AX187">
        <v>-1</v>
      </c>
      <c r="AY187">
        <v>0</v>
      </c>
      <c r="AZ187">
        <v>0</v>
      </c>
      <c r="BA187" t="s">
        <v>3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ROUND(Y187*Source!I449,9)</f>
        <v>2</v>
      </c>
      <c r="CY187">
        <f>AA187</f>
        <v>182.88</v>
      </c>
      <c r="CZ187">
        <f>AE187</f>
        <v>182.88</v>
      </c>
      <c r="DA187">
        <f>AI187</f>
        <v>1</v>
      </c>
      <c r="DB187">
        <f t="shared" si="51"/>
        <v>1828.8</v>
      </c>
      <c r="DC187">
        <f t="shared" si="52"/>
        <v>0</v>
      </c>
      <c r="DD187" t="s">
        <v>3</v>
      </c>
      <c r="DE187" t="s">
        <v>3</v>
      </c>
      <c r="DF187">
        <f t="shared" si="35"/>
        <v>365.76</v>
      </c>
      <c r="DG187">
        <f t="shared" si="36"/>
        <v>0</v>
      </c>
      <c r="DH187">
        <f t="shared" si="37"/>
        <v>0</v>
      </c>
      <c r="DI187">
        <f t="shared" si="38"/>
        <v>0</v>
      </c>
      <c r="DJ187">
        <f>DF187</f>
        <v>365.76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ROW(Source!A449)</f>
        <v>449</v>
      </c>
      <c r="B188">
        <v>75700856</v>
      </c>
      <c r="C188">
        <v>75702007</v>
      </c>
      <c r="D188">
        <v>75389029</v>
      </c>
      <c r="E188">
        <v>1</v>
      </c>
      <c r="F188">
        <v>1</v>
      </c>
      <c r="G188">
        <v>39</v>
      </c>
      <c r="H188">
        <v>3</v>
      </c>
      <c r="I188" t="s">
        <v>436</v>
      </c>
      <c r="J188" t="s">
        <v>437</v>
      </c>
      <c r="K188" t="s">
        <v>438</v>
      </c>
      <c r="L188">
        <v>1348</v>
      </c>
      <c r="N188">
        <v>1009</v>
      </c>
      <c r="O188" t="s">
        <v>68</v>
      </c>
      <c r="P188" t="s">
        <v>68</v>
      </c>
      <c r="Q188">
        <v>1000</v>
      </c>
      <c r="W188">
        <v>0</v>
      </c>
      <c r="X188">
        <v>169962723</v>
      </c>
      <c r="Y188">
        <f t="shared" si="50"/>
        <v>1.2999999999999999E-4</v>
      </c>
      <c r="AA188">
        <v>91558.65</v>
      </c>
      <c r="AB188">
        <v>0</v>
      </c>
      <c r="AC188">
        <v>0</v>
      </c>
      <c r="AD188">
        <v>0</v>
      </c>
      <c r="AE188">
        <v>91558.65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1.2999999999999999E-4</v>
      </c>
      <c r="AU188" t="s">
        <v>3</v>
      </c>
      <c r="AV188">
        <v>0</v>
      </c>
      <c r="AW188">
        <v>2</v>
      </c>
      <c r="AX188">
        <v>75702467</v>
      </c>
      <c r="AY188">
        <v>1</v>
      </c>
      <c r="AZ188">
        <v>0</v>
      </c>
      <c r="BA188">
        <v>173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v>0</v>
      </c>
      <c r="CX188">
        <f>ROUND(Y188*Source!I449,9)</f>
        <v>2.5999999999999998E-5</v>
      </c>
      <c r="CY188">
        <f>AA188</f>
        <v>91558.65</v>
      </c>
      <c r="CZ188">
        <f>AE188</f>
        <v>91558.65</v>
      </c>
      <c r="DA188">
        <f>AI188</f>
        <v>1</v>
      </c>
      <c r="DB188">
        <f t="shared" si="51"/>
        <v>11.9</v>
      </c>
      <c r="DC188">
        <f t="shared" si="52"/>
        <v>0</v>
      </c>
      <c r="DD188" t="s">
        <v>3</v>
      </c>
      <c r="DE188" t="s">
        <v>3</v>
      </c>
      <c r="DF188">
        <f t="shared" si="35"/>
        <v>2.38</v>
      </c>
      <c r="DG188">
        <f t="shared" si="36"/>
        <v>0</v>
      </c>
      <c r="DH188">
        <f t="shared" si="37"/>
        <v>0</v>
      </c>
      <c r="DI188">
        <f t="shared" si="38"/>
        <v>0</v>
      </c>
      <c r="DJ188">
        <f>DF188</f>
        <v>2.38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ROW(Source!A449)</f>
        <v>449</v>
      </c>
      <c r="B189">
        <v>75700856</v>
      </c>
      <c r="C189">
        <v>75702007</v>
      </c>
      <c r="D189">
        <v>75389070</v>
      </c>
      <c r="E189">
        <v>1</v>
      </c>
      <c r="F189">
        <v>1</v>
      </c>
      <c r="G189">
        <v>39</v>
      </c>
      <c r="H189">
        <v>3</v>
      </c>
      <c r="I189" t="s">
        <v>439</v>
      </c>
      <c r="J189" t="s">
        <v>440</v>
      </c>
      <c r="K189" t="s">
        <v>441</v>
      </c>
      <c r="L189">
        <v>1346</v>
      </c>
      <c r="N189">
        <v>1009</v>
      </c>
      <c r="O189" t="s">
        <v>63</v>
      </c>
      <c r="P189" t="s">
        <v>63</v>
      </c>
      <c r="Q189">
        <v>1</v>
      </c>
      <c r="W189">
        <v>0</v>
      </c>
      <c r="X189">
        <v>720467407</v>
      </c>
      <c r="Y189">
        <f t="shared" si="50"/>
        <v>6.3E-2</v>
      </c>
      <c r="AA189">
        <v>99.65</v>
      </c>
      <c r="AB189">
        <v>0</v>
      </c>
      <c r="AC189">
        <v>0</v>
      </c>
      <c r="AD189">
        <v>0</v>
      </c>
      <c r="AE189">
        <v>99.65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0</v>
      </c>
      <c r="AQ189">
        <v>0</v>
      </c>
      <c r="AR189">
        <v>0</v>
      </c>
      <c r="AS189" t="s">
        <v>3</v>
      </c>
      <c r="AT189">
        <v>6.3E-2</v>
      </c>
      <c r="AU189" t="s">
        <v>3</v>
      </c>
      <c r="AV189">
        <v>0</v>
      </c>
      <c r="AW189">
        <v>2</v>
      </c>
      <c r="AX189">
        <v>75702468</v>
      </c>
      <c r="AY189">
        <v>1</v>
      </c>
      <c r="AZ189">
        <v>0</v>
      </c>
      <c r="BA189">
        <v>174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v>0</v>
      </c>
      <c r="CX189">
        <f>ROUND(Y189*Source!I449,9)</f>
        <v>1.26E-2</v>
      </c>
      <c r="CY189">
        <f>AA189</f>
        <v>99.65</v>
      </c>
      <c r="CZ189">
        <f>AE189</f>
        <v>99.65</v>
      </c>
      <c r="DA189">
        <f>AI189</f>
        <v>1</v>
      </c>
      <c r="DB189">
        <f t="shared" si="51"/>
        <v>6.28</v>
      </c>
      <c r="DC189">
        <f t="shared" si="52"/>
        <v>0</v>
      </c>
      <c r="DD189" t="s">
        <v>3</v>
      </c>
      <c r="DE189" t="s">
        <v>3</v>
      </c>
      <c r="DF189">
        <f t="shared" si="35"/>
        <v>1.26</v>
      </c>
      <c r="DG189">
        <f t="shared" si="36"/>
        <v>0</v>
      </c>
      <c r="DH189">
        <f t="shared" si="37"/>
        <v>0</v>
      </c>
      <c r="DI189">
        <f t="shared" si="38"/>
        <v>0</v>
      </c>
      <c r="DJ189">
        <f>DF189</f>
        <v>1.26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ROW(Source!A486)</f>
        <v>486</v>
      </c>
      <c r="B190">
        <v>75700856</v>
      </c>
      <c r="C190">
        <v>75702074</v>
      </c>
      <c r="D190">
        <v>75386788</v>
      </c>
      <c r="E190">
        <v>39</v>
      </c>
      <c r="F190">
        <v>1</v>
      </c>
      <c r="G190">
        <v>39</v>
      </c>
      <c r="H190">
        <v>1</v>
      </c>
      <c r="I190" t="s">
        <v>332</v>
      </c>
      <c r="J190" t="s">
        <v>3</v>
      </c>
      <c r="K190" t="s">
        <v>333</v>
      </c>
      <c r="L190">
        <v>1191</v>
      </c>
      <c r="N190">
        <v>1013</v>
      </c>
      <c r="O190" t="s">
        <v>334</v>
      </c>
      <c r="P190" t="s">
        <v>334</v>
      </c>
      <c r="Q190">
        <v>1</v>
      </c>
      <c r="W190">
        <v>0</v>
      </c>
      <c r="X190">
        <v>476480486</v>
      </c>
      <c r="Y190">
        <f t="shared" si="50"/>
        <v>29.74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0</v>
      </c>
      <c r="AQ190">
        <v>0</v>
      </c>
      <c r="AR190">
        <v>0</v>
      </c>
      <c r="AS190" t="s">
        <v>3</v>
      </c>
      <c r="AT190">
        <v>29.74</v>
      </c>
      <c r="AU190" t="s">
        <v>3</v>
      </c>
      <c r="AV190">
        <v>1</v>
      </c>
      <c r="AW190">
        <v>2</v>
      </c>
      <c r="AX190">
        <v>75702469</v>
      </c>
      <c r="AY190">
        <v>1</v>
      </c>
      <c r="AZ190">
        <v>0</v>
      </c>
      <c r="BA190">
        <v>175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U190">
        <f>ROUND(AT190*Source!I486*AH190*AL190,2)</f>
        <v>0</v>
      </c>
      <c r="CV190">
        <f>ROUND(Y190*Source!I486,9)</f>
        <v>0.89219999999999999</v>
      </c>
      <c r="CW190">
        <v>0</v>
      </c>
      <c r="CX190">
        <f>ROUND(Y190*Source!I486,9)</f>
        <v>0.89219999999999999</v>
      </c>
      <c r="CY190">
        <f>AD190</f>
        <v>0</v>
      </c>
      <c r="CZ190">
        <f>AH190</f>
        <v>0</v>
      </c>
      <c r="DA190">
        <f>AL190</f>
        <v>1</v>
      </c>
      <c r="DB190">
        <f t="shared" si="51"/>
        <v>0</v>
      </c>
      <c r="DC190">
        <f t="shared" si="52"/>
        <v>0</v>
      </c>
      <c r="DD190" t="s">
        <v>3</v>
      </c>
      <c r="DE190" t="s">
        <v>3</v>
      </c>
      <c r="DF190">
        <f t="shared" si="35"/>
        <v>0</v>
      </c>
      <c r="DG190">
        <f t="shared" si="36"/>
        <v>0</v>
      </c>
      <c r="DH190">
        <f t="shared" si="37"/>
        <v>0</v>
      </c>
      <c r="DI190">
        <f t="shared" si="38"/>
        <v>0</v>
      </c>
      <c r="DJ190">
        <f>DI190</f>
        <v>0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ROW(Source!A486)</f>
        <v>486</v>
      </c>
      <c r="B191">
        <v>75700856</v>
      </c>
      <c r="C191">
        <v>75702074</v>
      </c>
      <c r="D191">
        <v>75397572</v>
      </c>
      <c r="E191">
        <v>1</v>
      </c>
      <c r="F191">
        <v>1</v>
      </c>
      <c r="G191">
        <v>39</v>
      </c>
      <c r="H191">
        <v>3</v>
      </c>
      <c r="I191" t="s">
        <v>213</v>
      </c>
      <c r="J191" t="s">
        <v>215</v>
      </c>
      <c r="K191" t="s">
        <v>214</v>
      </c>
      <c r="L191">
        <v>1354</v>
      </c>
      <c r="N191">
        <v>1010</v>
      </c>
      <c r="O191" t="s">
        <v>171</v>
      </c>
      <c r="P191" t="s">
        <v>171</v>
      </c>
      <c r="Q191">
        <v>1</v>
      </c>
      <c r="W191">
        <v>0</v>
      </c>
      <c r="X191">
        <v>-314732257</v>
      </c>
      <c r="Y191">
        <f t="shared" si="50"/>
        <v>33.333333000000003</v>
      </c>
      <c r="AA191">
        <v>90.55</v>
      </c>
      <c r="AB191">
        <v>0</v>
      </c>
      <c r="AC191">
        <v>0</v>
      </c>
      <c r="AD191">
        <v>0</v>
      </c>
      <c r="AE191">
        <v>90.55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0</v>
      </c>
      <c r="AN191">
        <v>0</v>
      </c>
      <c r="AO191">
        <v>0</v>
      </c>
      <c r="AP191">
        <v>1</v>
      </c>
      <c r="AQ191">
        <v>0</v>
      </c>
      <c r="AR191">
        <v>0</v>
      </c>
      <c r="AS191" t="s">
        <v>3</v>
      </c>
      <c r="AT191">
        <v>33.333333000000003</v>
      </c>
      <c r="AU191" t="s">
        <v>3</v>
      </c>
      <c r="AV191">
        <v>0</v>
      </c>
      <c r="AW191">
        <v>1</v>
      </c>
      <c r="AX191">
        <v>-1</v>
      </c>
      <c r="AY191">
        <v>0</v>
      </c>
      <c r="AZ191">
        <v>0</v>
      </c>
      <c r="BA191" t="s">
        <v>3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v>0</v>
      </c>
      <c r="CX191">
        <f>ROUND(Y191*Source!I486,9)</f>
        <v>0.99999998999999995</v>
      </c>
      <c r="CY191">
        <f>AA191</f>
        <v>90.55</v>
      </c>
      <c r="CZ191">
        <f>AE191</f>
        <v>90.55</v>
      </c>
      <c r="DA191">
        <f>AI191</f>
        <v>1</v>
      </c>
      <c r="DB191">
        <f t="shared" si="51"/>
        <v>3018.33</v>
      </c>
      <c r="DC191">
        <f t="shared" si="52"/>
        <v>0</v>
      </c>
      <c r="DD191" t="s">
        <v>3</v>
      </c>
      <c r="DE191" t="s">
        <v>3</v>
      </c>
      <c r="DF191">
        <f t="shared" si="35"/>
        <v>90.55</v>
      </c>
      <c r="DG191">
        <f t="shared" si="36"/>
        <v>0</v>
      </c>
      <c r="DH191">
        <f t="shared" si="37"/>
        <v>0</v>
      </c>
      <c r="DI191">
        <f t="shared" si="38"/>
        <v>0</v>
      </c>
      <c r="DJ191">
        <f>DF191</f>
        <v>90.55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ROW(Source!A486)</f>
        <v>486</v>
      </c>
      <c r="B192">
        <v>75700856</v>
      </c>
      <c r="C192">
        <v>75702074</v>
      </c>
      <c r="D192">
        <v>0</v>
      </c>
      <c r="E192">
        <v>39</v>
      </c>
      <c r="F192">
        <v>1</v>
      </c>
      <c r="G192">
        <v>39</v>
      </c>
      <c r="H192">
        <v>3</v>
      </c>
      <c r="I192" t="s">
        <v>174</v>
      </c>
      <c r="J192" t="s">
        <v>3</v>
      </c>
      <c r="K192" t="s">
        <v>210</v>
      </c>
      <c r="L192">
        <v>1354</v>
      </c>
      <c r="N192">
        <v>1010</v>
      </c>
      <c r="O192" t="s">
        <v>171</v>
      </c>
      <c r="P192" t="s">
        <v>171</v>
      </c>
      <c r="Q192">
        <v>1</v>
      </c>
      <c r="W192">
        <v>0</v>
      </c>
      <c r="X192">
        <v>-303536335</v>
      </c>
      <c r="Y192">
        <f t="shared" si="50"/>
        <v>66.666667000000004</v>
      </c>
      <c r="AA192">
        <v>285</v>
      </c>
      <c r="AB192">
        <v>0</v>
      </c>
      <c r="AC192">
        <v>0</v>
      </c>
      <c r="AD192">
        <v>0</v>
      </c>
      <c r="AE192">
        <v>285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 t="s">
        <v>3</v>
      </c>
      <c r="AT192">
        <v>66.666667000000004</v>
      </c>
      <c r="AU192" t="s">
        <v>3</v>
      </c>
      <c r="AV192">
        <v>0</v>
      </c>
      <c r="AW192">
        <v>1</v>
      </c>
      <c r="AX192">
        <v>-1</v>
      </c>
      <c r="AY192">
        <v>0</v>
      </c>
      <c r="AZ192">
        <v>0</v>
      </c>
      <c r="BA192" t="s">
        <v>3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v>0</v>
      </c>
      <c r="CX192">
        <f>ROUND(Y192*Source!I486,9)</f>
        <v>2.0000000099999999</v>
      </c>
      <c r="CY192">
        <f>AA192</f>
        <v>285</v>
      </c>
      <c r="CZ192">
        <f>AE192</f>
        <v>285</v>
      </c>
      <c r="DA192">
        <f>AI192</f>
        <v>1</v>
      </c>
      <c r="DB192">
        <f t="shared" si="51"/>
        <v>19000</v>
      </c>
      <c r="DC192">
        <f t="shared" si="52"/>
        <v>0</v>
      </c>
      <c r="DD192" t="s">
        <v>3</v>
      </c>
      <c r="DE192" t="s">
        <v>3</v>
      </c>
      <c r="DF192">
        <f t="shared" si="35"/>
        <v>570</v>
      </c>
      <c r="DG192">
        <f t="shared" si="36"/>
        <v>0</v>
      </c>
      <c r="DH192">
        <f t="shared" si="37"/>
        <v>0</v>
      </c>
      <c r="DI192">
        <f t="shared" si="38"/>
        <v>0</v>
      </c>
      <c r="DJ192">
        <f>DF192</f>
        <v>570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ROW(Source!A524)</f>
        <v>524</v>
      </c>
      <c r="B193">
        <v>75700856</v>
      </c>
      <c r="C193">
        <v>75702137</v>
      </c>
      <c r="D193">
        <v>75386788</v>
      </c>
      <c r="E193">
        <v>39</v>
      </c>
      <c r="F193">
        <v>1</v>
      </c>
      <c r="G193">
        <v>39</v>
      </c>
      <c r="H193">
        <v>1</v>
      </c>
      <c r="I193" t="s">
        <v>332</v>
      </c>
      <c r="J193" t="s">
        <v>3</v>
      </c>
      <c r="K193" t="s">
        <v>333</v>
      </c>
      <c r="L193">
        <v>1191</v>
      </c>
      <c r="N193">
        <v>1013</v>
      </c>
      <c r="O193" t="s">
        <v>334</v>
      </c>
      <c r="P193" t="s">
        <v>334</v>
      </c>
      <c r="Q193">
        <v>1</v>
      </c>
      <c r="W193">
        <v>0</v>
      </c>
      <c r="X193">
        <v>476480486</v>
      </c>
      <c r="Y193">
        <f t="shared" si="50"/>
        <v>46.19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0</v>
      </c>
      <c r="AQ193">
        <v>0</v>
      </c>
      <c r="AR193">
        <v>0</v>
      </c>
      <c r="AS193" t="s">
        <v>3</v>
      </c>
      <c r="AT193">
        <v>46.19</v>
      </c>
      <c r="AU193" t="s">
        <v>3</v>
      </c>
      <c r="AV193">
        <v>1</v>
      </c>
      <c r="AW193">
        <v>2</v>
      </c>
      <c r="AX193">
        <v>75702470</v>
      </c>
      <c r="AY193">
        <v>1</v>
      </c>
      <c r="AZ193">
        <v>0</v>
      </c>
      <c r="BA193">
        <v>176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U193">
        <f>ROUND(AT193*Source!I524*AH193*AL193,2)</f>
        <v>0</v>
      </c>
      <c r="CV193">
        <f>ROUND(Y193*Source!I524,9)</f>
        <v>0.92379999999999995</v>
      </c>
      <c r="CW193">
        <v>0</v>
      </c>
      <c r="CX193">
        <f>ROUND(Y193*Source!I524,9)</f>
        <v>0.92379999999999995</v>
      </c>
      <c r="CY193">
        <f>AD193</f>
        <v>0</v>
      </c>
      <c r="CZ193">
        <f>AH193</f>
        <v>0</v>
      </c>
      <c r="DA193">
        <f>AL193</f>
        <v>1</v>
      </c>
      <c r="DB193">
        <f t="shared" si="51"/>
        <v>0</v>
      </c>
      <c r="DC193">
        <f t="shared" si="52"/>
        <v>0</v>
      </c>
      <c r="DD193" t="s">
        <v>3</v>
      </c>
      <c r="DE193" t="s">
        <v>3</v>
      </c>
      <c r="DF193">
        <f t="shared" ref="DF193:DF210" si="53">ROUND(ROUND(AE193,2)*CX193,2)</f>
        <v>0</v>
      </c>
      <c r="DG193">
        <f t="shared" ref="DG193:DG210" si="54">ROUND(ROUND(AF193,2)*CX193,2)</f>
        <v>0</v>
      </c>
      <c r="DH193">
        <f t="shared" ref="DH193:DH210" si="55">ROUND(ROUND(AG193,2)*CX193,2)</f>
        <v>0</v>
      </c>
      <c r="DI193">
        <f t="shared" ref="DI193:DI210" si="56">ROUND(ROUND(AH193,2)*CX193,2)</f>
        <v>0</v>
      </c>
      <c r="DJ193">
        <f>DI193</f>
        <v>0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ROW(Source!A524)</f>
        <v>524</v>
      </c>
      <c r="B194">
        <v>75700856</v>
      </c>
      <c r="C194">
        <v>75702137</v>
      </c>
      <c r="D194">
        <v>75388752</v>
      </c>
      <c r="E194">
        <v>1</v>
      </c>
      <c r="F194">
        <v>1</v>
      </c>
      <c r="G194">
        <v>39</v>
      </c>
      <c r="H194">
        <v>3</v>
      </c>
      <c r="I194" t="s">
        <v>451</v>
      </c>
      <c r="J194" t="s">
        <v>452</v>
      </c>
      <c r="K194" t="s">
        <v>453</v>
      </c>
      <c r="L194">
        <v>1348</v>
      </c>
      <c r="N194">
        <v>1009</v>
      </c>
      <c r="O194" t="s">
        <v>68</v>
      </c>
      <c r="P194" t="s">
        <v>68</v>
      </c>
      <c r="Q194">
        <v>1000</v>
      </c>
      <c r="W194">
        <v>0</v>
      </c>
      <c r="X194">
        <v>-2049845446</v>
      </c>
      <c r="Y194">
        <f t="shared" si="50"/>
        <v>0.05</v>
      </c>
      <c r="AA194">
        <v>8017.57</v>
      </c>
      <c r="AB194">
        <v>0</v>
      </c>
      <c r="AC194">
        <v>0</v>
      </c>
      <c r="AD194">
        <v>0</v>
      </c>
      <c r="AE194">
        <v>8017.57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0</v>
      </c>
      <c r="AQ194">
        <v>0</v>
      </c>
      <c r="AR194">
        <v>0</v>
      </c>
      <c r="AS194" t="s">
        <v>3</v>
      </c>
      <c r="AT194">
        <v>0.05</v>
      </c>
      <c r="AU194" t="s">
        <v>3</v>
      </c>
      <c r="AV194">
        <v>0</v>
      </c>
      <c r="AW194">
        <v>2</v>
      </c>
      <c r="AX194">
        <v>75702471</v>
      </c>
      <c r="AY194">
        <v>1</v>
      </c>
      <c r="AZ194">
        <v>0</v>
      </c>
      <c r="BA194">
        <v>177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ROUND(Y194*Source!I524,9)</f>
        <v>1E-3</v>
      </c>
      <c r="CY194">
        <f>AA194</f>
        <v>8017.57</v>
      </c>
      <c r="CZ194">
        <f>AE194</f>
        <v>8017.57</v>
      </c>
      <c r="DA194">
        <f>AI194</f>
        <v>1</v>
      </c>
      <c r="DB194">
        <f t="shared" si="51"/>
        <v>400.88</v>
      </c>
      <c r="DC194">
        <f t="shared" si="52"/>
        <v>0</v>
      </c>
      <c r="DD194" t="s">
        <v>3</v>
      </c>
      <c r="DE194" t="s">
        <v>3</v>
      </c>
      <c r="DF194">
        <f t="shared" si="53"/>
        <v>8.02</v>
      </c>
      <c r="DG194">
        <f t="shared" si="54"/>
        <v>0</v>
      </c>
      <c r="DH194">
        <f t="shared" si="55"/>
        <v>0</v>
      </c>
      <c r="DI194">
        <f t="shared" si="56"/>
        <v>0</v>
      </c>
      <c r="DJ194">
        <f>DF194</f>
        <v>8.02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ROW(Source!A524)</f>
        <v>524</v>
      </c>
      <c r="B195">
        <v>75700856</v>
      </c>
      <c r="C195">
        <v>75702137</v>
      </c>
      <c r="D195">
        <v>75397345</v>
      </c>
      <c r="E195">
        <v>1</v>
      </c>
      <c r="F195">
        <v>1</v>
      </c>
      <c r="G195">
        <v>39</v>
      </c>
      <c r="H195">
        <v>3</v>
      </c>
      <c r="I195" t="s">
        <v>226</v>
      </c>
      <c r="J195" t="s">
        <v>228</v>
      </c>
      <c r="K195" t="s">
        <v>227</v>
      </c>
      <c r="L195">
        <v>1354</v>
      </c>
      <c r="N195">
        <v>1010</v>
      </c>
      <c r="O195" t="s">
        <v>171</v>
      </c>
      <c r="P195" t="s">
        <v>171</v>
      </c>
      <c r="Q195">
        <v>1</v>
      </c>
      <c r="W195">
        <v>1</v>
      </c>
      <c r="X195">
        <v>118609747</v>
      </c>
      <c r="Y195">
        <f t="shared" si="50"/>
        <v>-100</v>
      </c>
      <c r="AA195">
        <v>287.24</v>
      </c>
      <c r="AB195">
        <v>0</v>
      </c>
      <c r="AC195">
        <v>0</v>
      </c>
      <c r="AD195">
        <v>0</v>
      </c>
      <c r="AE195">
        <v>287.24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0</v>
      </c>
      <c r="AN195">
        <v>0</v>
      </c>
      <c r="AO195">
        <v>1</v>
      </c>
      <c r="AP195">
        <v>0</v>
      </c>
      <c r="AQ195">
        <v>0</v>
      </c>
      <c r="AR195">
        <v>0</v>
      </c>
      <c r="AS195" t="s">
        <v>3</v>
      </c>
      <c r="AT195">
        <v>-100</v>
      </c>
      <c r="AU195" t="s">
        <v>3</v>
      </c>
      <c r="AV195">
        <v>0</v>
      </c>
      <c r="AW195">
        <v>2</v>
      </c>
      <c r="AX195">
        <v>75702472</v>
      </c>
      <c r="AY195">
        <v>1</v>
      </c>
      <c r="AZ195">
        <v>6144</v>
      </c>
      <c r="BA195">
        <v>178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ROUND(Y195*Source!I524,9)</f>
        <v>-2</v>
      </c>
      <c r="CY195">
        <f>AA195</f>
        <v>287.24</v>
      </c>
      <c r="CZ195">
        <f>AE195</f>
        <v>287.24</v>
      </c>
      <c r="DA195">
        <f>AI195</f>
        <v>1</v>
      </c>
      <c r="DB195">
        <f t="shared" si="51"/>
        <v>-28724</v>
      </c>
      <c r="DC195">
        <f t="shared" si="52"/>
        <v>0</v>
      </c>
      <c r="DD195" t="s">
        <v>3</v>
      </c>
      <c r="DE195" t="s">
        <v>3</v>
      </c>
      <c r="DF195">
        <f t="shared" si="53"/>
        <v>-574.48</v>
      </c>
      <c r="DG195">
        <f t="shared" si="54"/>
        <v>0</v>
      </c>
      <c r="DH195">
        <f t="shared" si="55"/>
        <v>0</v>
      </c>
      <c r="DI195">
        <f t="shared" si="56"/>
        <v>0</v>
      </c>
      <c r="DJ195">
        <f>DF195</f>
        <v>-574.48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ROW(Source!A524)</f>
        <v>524</v>
      </c>
      <c r="B196">
        <v>75700856</v>
      </c>
      <c r="C196">
        <v>75702137</v>
      </c>
      <c r="D196">
        <v>75397375</v>
      </c>
      <c r="E196">
        <v>1</v>
      </c>
      <c r="F196">
        <v>1</v>
      </c>
      <c r="G196">
        <v>39</v>
      </c>
      <c r="H196">
        <v>3</v>
      </c>
      <c r="I196" t="s">
        <v>293</v>
      </c>
      <c r="J196" t="s">
        <v>295</v>
      </c>
      <c r="K196" t="s">
        <v>294</v>
      </c>
      <c r="L196">
        <v>1354</v>
      </c>
      <c r="N196">
        <v>1010</v>
      </c>
      <c r="O196" t="s">
        <v>171</v>
      </c>
      <c r="P196" t="s">
        <v>171</v>
      </c>
      <c r="Q196">
        <v>1</v>
      </c>
      <c r="W196">
        <v>0</v>
      </c>
      <c r="X196">
        <v>-2129737567</v>
      </c>
      <c r="Y196">
        <f t="shared" si="50"/>
        <v>100</v>
      </c>
      <c r="AA196">
        <v>981.41</v>
      </c>
      <c r="AB196">
        <v>0</v>
      </c>
      <c r="AC196">
        <v>0</v>
      </c>
      <c r="AD196">
        <v>0</v>
      </c>
      <c r="AE196">
        <v>981.41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 t="s">
        <v>3</v>
      </c>
      <c r="AT196">
        <v>100</v>
      </c>
      <c r="AU196" t="s">
        <v>3</v>
      </c>
      <c r="AV196">
        <v>0</v>
      </c>
      <c r="AW196">
        <v>1</v>
      </c>
      <c r="AX196">
        <v>-1</v>
      </c>
      <c r="AY196">
        <v>0</v>
      </c>
      <c r="AZ196">
        <v>0</v>
      </c>
      <c r="BA196" t="s">
        <v>3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v>0</v>
      </c>
      <c r="CX196">
        <f>ROUND(Y196*Source!I524,9)</f>
        <v>2</v>
      </c>
      <c r="CY196">
        <f>AA196</f>
        <v>981.41</v>
      </c>
      <c r="CZ196">
        <f>AE196</f>
        <v>981.41</v>
      </c>
      <c r="DA196">
        <f>AI196</f>
        <v>1</v>
      </c>
      <c r="DB196">
        <f t="shared" si="51"/>
        <v>98141</v>
      </c>
      <c r="DC196">
        <f t="shared" si="52"/>
        <v>0</v>
      </c>
      <c r="DD196" t="s">
        <v>3</v>
      </c>
      <c r="DE196" t="s">
        <v>3</v>
      </c>
      <c r="DF196">
        <f t="shared" si="53"/>
        <v>1962.82</v>
      </c>
      <c r="DG196">
        <f t="shared" si="54"/>
        <v>0</v>
      </c>
      <c r="DH196">
        <f t="shared" si="55"/>
        <v>0</v>
      </c>
      <c r="DI196">
        <f t="shared" si="56"/>
        <v>0</v>
      </c>
      <c r="DJ196">
        <f>DF196</f>
        <v>1962.82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ROW(Source!A592)</f>
        <v>592</v>
      </c>
      <c r="B197">
        <v>75700856</v>
      </c>
      <c r="C197">
        <v>75702203</v>
      </c>
      <c r="D197">
        <v>75386788</v>
      </c>
      <c r="E197">
        <v>39</v>
      </c>
      <c r="F197">
        <v>1</v>
      </c>
      <c r="G197">
        <v>39</v>
      </c>
      <c r="H197">
        <v>1</v>
      </c>
      <c r="I197" t="s">
        <v>332</v>
      </c>
      <c r="J197" t="s">
        <v>3</v>
      </c>
      <c r="K197" t="s">
        <v>333</v>
      </c>
      <c r="L197">
        <v>1191</v>
      </c>
      <c r="N197">
        <v>1013</v>
      </c>
      <c r="O197" t="s">
        <v>334</v>
      </c>
      <c r="P197" t="s">
        <v>334</v>
      </c>
      <c r="Q197">
        <v>1</v>
      </c>
      <c r="W197">
        <v>0</v>
      </c>
      <c r="X197">
        <v>476480486</v>
      </c>
      <c r="Y197">
        <f t="shared" si="50"/>
        <v>37.950000000000003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1</v>
      </c>
      <c r="AP197">
        <v>0</v>
      </c>
      <c r="AQ197">
        <v>0</v>
      </c>
      <c r="AR197">
        <v>0</v>
      </c>
      <c r="AS197" t="s">
        <v>3</v>
      </c>
      <c r="AT197">
        <v>37.950000000000003</v>
      </c>
      <c r="AU197" t="s">
        <v>3</v>
      </c>
      <c r="AV197">
        <v>1</v>
      </c>
      <c r="AW197">
        <v>2</v>
      </c>
      <c r="AX197">
        <v>75702473</v>
      </c>
      <c r="AY197">
        <v>1</v>
      </c>
      <c r="AZ197">
        <v>0</v>
      </c>
      <c r="BA197">
        <v>179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U197">
        <f>ROUND(AT197*Source!I592*AH197*AL197,2)</f>
        <v>0</v>
      </c>
      <c r="CV197">
        <f>ROUND(Y197*Source!I592,9)</f>
        <v>113.85</v>
      </c>
      <c r="CW197">
        <v>0</v>
      </c>
      <c r="CX197">
        <f>ROUND(Y197*Source!I592,9)</f>
        <v>113.85</v>
      </c>
      <c r="CY197">
        <f>AD197</f>
        <v>0</v>
      </c>
      <c r="CZ197">
        <f>AH197</f>
        <v>0</v>
      </c>
      <c r="DA197">
        <f>AL197</f>
        <v>1</v>
      </c>
      <c r="DB197">
        <f t="shared" si="51"/>
        <v>0</v>
      </c>
      <c r="DC197">
        <f t="shared" si="52"/>
        <v>0</v>
      </c>
      <c r="DD197" t="s">
        <v>3</v>
      </c>
      <c r="DE197" t="s">
        <v>3</v>
      </c>
      <c r="DF197">
        <f t="shared" si="53"/>
        <v>0</v>
      </c>
      <c r="DG197">
        <f t="shared" si="54"/>
        <v>0</v>
      </c>
      <c r="DH197">
        <f t="shared" si="55"/>
        <v>0</v>
      </c>
      <c r="DI197">
        <f t="shared" si="56"/>
        <v>0</v>
      </c>
      <c r="DJ197">
        <f>DI197</f>
        <v>0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ROW(Source!A592)</f>
        <v>592</v>
      </c>
      <c r="B198">
        <v>75700856</v>
      </c>
      <c r="C198">
        <v>75702203</v>
      </c>
      <c r="D198">
        <v>75388071</v>
      </c>
      <c r="E198">
        <v>1</v>
      </c>
      <c r="F198">
        <v>1</v>
      </c>
      <c r="G198">
        <v>39</v>
      </c>
      <c r="H198">
        <v>2</v>
      </c>
      <c r="I198" t="s">
        <v>463</v>
      </c>
      <c r="J198" t="s">
        <v>464</v>
      </c>
      <c r="K198" t="s">
        <v>465</v>
      </c>
      <c r="L198">
        <v>1368</v>
      </c>
      <c r="N198">
        <v>1011</v>
      </c>
      <c r="O198" t="s">
        <v>338</v>
      </c>
      <c r="P198" t="s">
        <v>338</v>
      </c>
      <c r="Q198">
        <v>1</v>
      </c>
      <c r="W198">
        <v>0</v>
      </c>
      <c r="X198">
        <v>-829216341</v>
      </c>
      <c r="Y198">
        <f t="shared" si="50"/>
        <v>4.5199999999999996</v>
      </c>
      <c r="AA198">
        <v>0</v>
      </c>
      <c r="AB198">
        <v>1465.49</v>
      </c>
      <c r="AC198">
        <v>827.04</v>
      </c>
      <c r="AD198">
        <v>0</v>
      </c>
      <c r="AE198">
        <v>0</v>
      </c>
      <c r="AF198">
        <v>1465.49</v>
      </c>
      <c r="AG198">
        <v>827.04</v>
      </c>
      <c r="AH198">
        <v>0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1</v>
      </c>
      <c r="AP198">
        <v>0</v>
      </c>
      <c r="AQ198">
        <v>0</v>
      </c>
      <c r="AR198">
        <v>0</v>
      </c>
      <c r="AS198" t="s">
        <v>3</v>
      </c>
      <c r="AT198">
        <v>4.5199999999999996</v>
      </c>
      <c r="AU198" t="s">
        <v>3</v>
      </c>
      <c r="AV198">
        <v>0</v>
      </c>
      <c r="AW198">
        <v>2</v>
      </c>
      <c r="AX198">
        <v>75702474</v>
      </c>
      <c r="AY198">
        <v>1</v>
      </c>
      <c r="AZ198">
        <v>0</v>
      </c>
      <c r="BA198">
        <v>180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f>ROUND(Y198*Source!I592*DO198,9)</f>
        <v>0</v>
      </c>
      <c r="CX198">
        <f>ROUND(Y198*Source!I592,9)</f>
        <v>13.56</v>
      </c>
      <c r="CY198">
        <f>AB198</f>
        <v>1465.49</v>
      </c>
      <c r="CZ198">
        <f>AF198</f>
        <v>1465.49</v>
      </c>
      <c r="DA198">
        <f>AJ198</f>
        <v>1</v>
      </c>
      <c r="DB198">
        <f t="shared" si="51"/>
        <v>6624.01</v>
      </c>
      <c r="DC198">
        <f t="shared" si="52"/>
        <v>3738.22</v>
      </c>
      <c r="DD198" t="s">
        <v>3</v>
      </c>
      <c r="DE198" t="s">
        <v>3</v>
      </c>
      <c r="DF198">
        <f t="shared" si="53"/>
        <v>0</v>
      </c>
      <c r="DG198">
        <f t="shared" si="54"/>
        <v>19872.04</v>
      </c>
      <c r="DH198">
        <f t="shared" si="55"/>
        <v>11214.66</v>
      </c>
      <c r="DI198">
        <f t="shared" si="56"/>
        <v>0</v>
      </c>
      <c r="DJ198">
        <f>DG198</f>
        <v>19872.04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ROW(Source!A592)</f>
        <v>592</v>
      </c>
      <c r="B199">
        <v>75700856</v>
      </c>
      <c r="C199">
        <v>75702203</v>
      </c>
      <c r="D199">
        <v>75388182</v>
      </c>
      <c r="E199">
        <v>1</v>
      </c>
      <c r="F199">
        <v>1</v>
      </c>
      <c r="G199">
        <v>39</v>
      </c>
      <c r="H199">
        <v>2</v>
      </c>
      <c r="I199" t="s">
        <v>341</v>
      </c>
      <c r="J199" t="s">
        <v>342</v>
      </c>
      <c r="K199" t="s">
        <v>343</v>
      </c>
      <c r="L199">
        <v>1368</v>
      </c>
      <c r="N199">
        <v>1011</v>
      </c>
      <c r="O199" t="s">
        <v>338</v>
      </c>
      <c r="P199" t="s">
        <v>338</v>
      </c>
      <c r="Q199">
        <v>1</v>
      </c>
      <c r="W199">
        <v>0</v>
      </c>
      <c r="X199">
        <v>64700738</v>
      </c>
      <c r="Y199">
        <f t="shared" si="50"/>
        <v>4.5199999999999996</v>
      </c>
      <c r="AA199">
        <v>0</v>
      </c>
      <c r="AB199">
        <v>56.19</v>
      </c>
      <c r="AC199">
        <v>0.31</v>
      </c>
      <c r="AD199">
        <v>0</v>
      </c>
      <c r="AE199">
        <v>0</v>
      </c>
      <c r="AF199">
        <v>56.19</v>
      </c>
      <c r="AG199">
        <v>0.31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0</v>
      </c>
      <c r="AQ199">
        <v>0</v>
      </c>
      <c r="AR199">
        <v>0</v>
      </c>
      <c r="AS199" t="s">
        <v>3</v>
      </c>
      <c r="AT199">
        <v>4.5199999999999996</v>
      </c>
      <c r="AU199" t="s">
        <v>3</v>
      </c>
      <c r="AV199">
        <v>0</v>
      </c>
      <c r="AW199">
        <v>2</v>
      </c>
      <c r="AX199">
        <v>75702475</v>
      </c>
      <c r="AY199">
        <v>1</v>
      </c>
      <c r="AZ199">
        <v>0</v>
      </c>
      <c r="BA199">
        <v>181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f>ROUND(Y199*Source!I592*DO199,9)</f>
        <v>0</v>
      </c>
      <c r="CX199">
        <f>ROUND(Y199*Source!I592,9)</f>
        <v>13.56</v>
      </c>
      <c r="CY199">
        <f>AB199</f>
        <v>56.19</v>
      </c>
      <c r="CZ199">
        <f>AF199</f>
        <v>56.19</v>
      </c>
      <c r="DA199">
        <f>AJ199</f>
        <v>1</v>
      </c>
      <c r="DB199">
        <f t="shared" si="51"/>
        <v>253.98</v>
      </c>
      <c r="DC199">
        <f t="shared" si="52"/>
        <v>1.4</v>
      </c>
      <c r="DD199" t="s">
        <v>3</v>
      </c>
      <c r="DE199" t="s">
        <v>3</v>
      </c>
      <c r="DF199">
        <f t="shared" si="53"/>
        <v>0</v>
      </c>
      <c r="DG199">
        <f t="shared" si="54"/>
        <v>761.94</v>
      </c>
      <c r="DH199">
        <f t="shared" si="55"/>
        <v>4.2</v>
      </c>
      <c r="DI199">
        <f t="shared" si="56"/>
        <v>0</v>
      </c>
      <c r="DJ199">
        <f>DG199</f>
        <v>761.94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ROW(Source!A592)</f>
        <v>592</v>
      </c>
      <c r="B200">
        <v>75700856</v>
      </c>
      <c r="C200">
        <v>75702203</v>
      </c>
      <c r="D200">
        <v>75388258</v>
      </c>
      <c r="E200">
        <v>1</v>
      </c>
      <c r="F200">
        <v>1</v>
      </c>
      <c r="G200">
        <v>39</v>
      </c>
      <c r="H200">
        <v>2</v>
      </c>
      <c r="I200" t="s">
        <v>466</v>
      </c>
      <c r="J200" t="s">
        <v>467</v>
      </c>
      <c r="K200" t="s">
        <v>468</v>
      </c>
      <c r="L200">
        <v>1368</v>
      </c>
      <c r="N200">
        <v>1011</v>
      </c>
      <c r="O200" t="s">
        <v>338</v>
      </c>
      <c r="P200" t="s">
        <v>338</v>
      </c>
      <c r="Q200">
        <v>1</v>
      </c>
      <c r="W200">
        <v>0</v>
      </c>
      <c r="X200">
        <v>1548580198</v>
      </c>
      <c r="Y200">
        <f t="shared" si="50"/>
        <v>3.62</v>
      </c>
      <c r="AA200">
        <v>0</v>
      </c>
      <c r="AB200">
        <v>76.53</v>
      </c>
      <c r="AC200">
        <v>0.12</v>
      </c>
      <c r="AD200">
        <v>0</v>
      </c>
      <c r="AE200">
        <v>0</v>
      </c>
      <c r="AF200">
        <v>76.53</v>
      </c>
      <c r="AG200">
        <v>0.12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0</v>
      </c>
      <c r="AQ200">
        <v>0</v>
      </c>
      <c r="AR200">
        <v>0</v>
      </c>
      <c r="AS200" t="s">
        <v>3</v>
      </c>
      <c r="AT200">
        <v>3.62</v>
      </c>
      <c r="AU200" t="s">
        <v>3</v>
      </c>
      <c r="AV200">
        <v>0</v>
      </c>
      <c r="AW200">
        <v>2</v>
      </c>
      <c r="AX200">
        <v>75702476</v>
      </c>
      <c r="AY200">
        <v>1</v>
      </c>
      <c r="AZ200">
        <v>0</v>
      </c>
      <c r="BA200">
        <v>182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f>ROUND(Y200*Source!I592*DO200,9)</f>
        <v>0</v>
      </c>
      <c r="CX200">
        <f>ROUND(Y200*Source!I592,9)</f>
        <v>10.86</v>
      </c>
      <c r="CY200">
        <f>AB200</f>
        <v>76.53</v>
      </c>
      <c r="CZ200">
        <f>AF200</f>
        <v>76.53</v>
      </c>
      <c r="DA200">
        <f>AJ200</f>
        <v>1</v>
      </c>
      <c r="DB200">
        <f t="shared" si="51"/>
        <v>277.04000000000002</v>
      </c>
      <c r="DC200">
        <f t="shared" si="52"/>
        <v>0.43</v>
      </c>
      <c r="DD200" t="s">
        <v>3</v>
      </c>
      <c r="DE200" t="s">
        <v>3</v>
      </c>
      <c r="DF200">
        <f t="shared" si="53"/>
        <v>0</v>
      </c>
      <c r="DG200">
        <f t="shared" si="54"/>
        <v>831.12</v>
      </c>
      <c r="DH200">
        <f t="shared" si="55"/>
        <v>1.3</v>
      </c>
      <c r="DI200">
        <f t="shared" si="56"/>
        <v>0</v>
      </c>
      <c r="DJ200">
        <f>DG200</f>
        <v>831.12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ROW(Source!A592)</f>
        <v>592</v>
      </c>
      <c r="B201">
        <v>75700856</v>
      </c>
      <c r="C201">
        <v>75702203</v>
      </c>
      <c r="D201">
        <v>75388259</v>
      </c>
      <c r="E201">
        <v>1</v>
      </c>
      <c r="F201">
        <v>1</v>
      </c>
      <c r="G201">
        <v>39</v>
      </c>
      <c r="H201">
        <v>2</v>
      </c>
      <c r="I201" t="s">
        <v>469</v>
      </c>
      <c r="J201" t="s">
        <v>470</v>
      </c>
      <c r="K201" t="s">
        <v>471</v>
      </c>
      <c r="L201">
        <v>1368</v>
      </c>
      <c r="N201">
        <v>1011</v>
      </c>
      <c r="O201" t="s">
        <v>338</v>
      </c>
      <c r="P201" t="s">
        <v>338</v>
      </c>
      <c r="Q201">
        <v>1</v>
      </c>
      <c r="W201">
        <v>0</v>
      </c>
      <c r="X201">
        <v>-983302307</v>
      </c>
      <c r="Y201">
        <f t="shared" si="50"/>
        <v>7.9</v>
      </c>
      <c r="AA201">
        <v>0</v>
      </c>
      <c r="AB201">
        <v>9.56</v>
      </c>
      <c r="AC201">
        <v>5.82</v>
      </c>
      <c r="AD201">
        <v>0</v>
      </c>
      <c r="AE201">
        <v>0</v>
      </c>
      <c r="AF201">
        <v>9.56</v>
      </c>
      <c r="AG201">
        <v>5.82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3</v>
      </c>
      <c r="AT201">
        <v>7.9</v>
      </c>
      <c r="AU201" t="s">
        <v>3</v>
      </c>
      <c r="AV201">
        <v>0</v>
      </c>
      <c r="AW201">
        <v>2</v>
      </c>
      <c r="AX201">
        <v>75702477</v>
      </c>
      <c r="AY201">
        <v>1</v>
      </c>
      <c r="AZ201">
        <v>0</v>
      </c>
      <c r="BA201">
        <v>183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f>ROUND(Y201*Source!I592*DO201,9)</f>
        <v>0</v>
      </c>
      <c r="CX201">
        <f>ROUND(Y201*Source!I592,9)</f>
        <v>23.7</v>
      </c>
      <c r="CY201">
        <f>AB201</f>
        <v>9.56</v>
      </c>
      <c r="CZ201">
        <f>AF201</f>
        <v>9.56</v>
      </c>
      <c r="DA201">
        <f>AJ201</f>
        <v>1</v>
      </c>
      <c r="DB201">
        <f t="shared" si="51"/>
        <v>75.52</v>
      </c>
      <c r="DC201">
        <f t="shared" si="52"/>
        <v>45.98</v>
      </c>
      <c r="DD201" t="s">
        <v>3</v>
      </c>
      <c r="DE201" t="s">
        <v>3</v>
      </c>
      <c r="DF201">
        <f t="shared" si="53"/>
        <v>0</v>
      </c>
      <c r="DG201">
        <f t="shared" si="54"/>
        <v>226.57</v>
      </c>
      <c r="DH201">
        <f t="shared" si="55"/>
        <v>137.93</v>
      </c>
      <c r="DI201">
        <f t="shared" si="56"/>
        <v>0</v>
      </c>
      <c r="DJ201">
        <f>DG201</f>
        <v>226.57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ROW(Source!A592)</f>
        <v>592</v>
      </c>
      <c r="B202">
        <v>75700856</v>
      </c>
      <c r="C202">
        <v>75702203</v>
      </c>
      <c r="D202">
        <v>75388665</v>
      </c>
      <c r="E202">
        <v>1</v>
      </c>
      <c r="F202">
        <v>1</v>
      </c>
      <c r="G202">
        <v>39</v>
      </c>
      <c r="H202">
        <v>3</v>
      </c>
      <c r="I202" t="s">
        <v>472</v>
      </c>
      <c r="J202" t="s">
        <v>473</v>
      </c>
      <c r="K202" t="s">
        <v>474</v>
      </c>
      <c r="L202">
        <v>1348</v>
      </c>
      <c r="N202">
        <v>1009</v>
      </c>
      <c r="O202" t="s">
        <v>68</v>
      </c>
      <c r="P202" t="s">
        <v>68</v>
      </c>
      <c r="Q202">
        <v>1000</v>
      </c>
      <c r="W202">
        <v>0</v>
      </c>
      <c r="X202">
        <v>445982593</v>
      </c>
      <c r="Y202">
        <f t="shared" si="50"/>
        <v>3.5000000000000003E-2</v>
      </c>
      <c r="AA202">
        <v>129600.01</v>
      </c>
      <c r="AB202">
        <v>0</v>
      </c>
      <c r="AC202">
        <v>0</v>
      </c>
      <c r="AD202">
        <v>0</v>
      </c>
      <c r="AE202">
        <v>129600.01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</v>
      </c>
      <c r="AT202">
        <v>3.5000000000000003E-2</v>
      </c>
      <c r="AU202" t="s">
        <v>3</v>
      </c>
      <c r="AV202">
        <v>0</v>
      </c>
      <c r="AW202">
        <v>2</v>
      </c>
      <c r="AX202">
        <v>75702478</v>
      </c>
      <c r="AY202">
        <v>1</v>
      </c>
      <c r="AZ202">
        <v>0</v>
      </c>
      <c r="BA202">
        <v>184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ROUND(Y202*Source!I592,9)</f>
        <v>0.105</v>
      </c>
      <c r="CY202">
        <f>AA202</f>
        <v>129600.01</v>
      </c>
      <c r="CZ202">
        <f>AE202</f>
        <v>129600.01</v>
      </c>
      <c r="DA202">
        <f>AI202</f>
        <v>1</v>
      </c>
      <c r="DB202">
        <f t="shared" si="51"/>
        <v>4536</v>
      </c>
      <c r="DC202">
        <f t="shared" si="52"/>
        <v>0</v>
      </c>
      <c r="DD202" t="s">
        <v>3</v>
      </c>
      <c r="DE202" t="s">
        <v>3</v>
      </c>
      <c r="DF202">
        <f t="shared" si="53"/>
        <v>13608</v>
      </c>
      <c r="DG202">
        <f t="shared" si="54"/>
        <v>0</v>
      </c>
      <c r="DH202">
        <f t="shared" si="55"/>
        <v>0</v>
      </c>
      <c r="DI202">
        <f t="shared" si="56"/>
        <v>0</v>
      </c>
      <c r="DJ202">
        <f>DF202</f>
        <v>13608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ROW(Source!A592)</f>
        <v>592</v>
      </c>
      <c r="B203">
        <v>75700856</v>
      </c>
      <c r="C203">
        <v>75702203</v>
      </c>
      <c r="D203">
        <v>75388812</v>
      </c>
      <c r="E203">
        <v>1</v>
      </c>
      <c r="F203">
        <v>1</v>
      </c>
      <c r="G203">
        <v>39</v>
      </c>
      <c r="H203">
        <v>3</v>
      </c>
      <c r="I203" t="s">
        <v>303</v>
      </c>
      <c r="J203" t="s">
        <v>305</v>
      </c>
      <c r="K203" t="s">
        <v>304</v>
      </c>
      <c r="L203">
        <v>1327</v>
      </c>
      <c r="N203">
        <v>1005</v>
      </c>
      <c r="O203" t="s">
        <v>132</v>
      </c>
      <c r="P203" t="s">
        <v>132</v>
      </c>
      <c r="Q203">
        <v>1</v>
      </c>
      <c r="W203">
        <v>0</v>
      </c>
      <c r="X203">
        <v>1660649221</v>
      </c>
      <c r="Y203">
        <f t="shared" si="50"/>
        <v>135</v>
      </c>
      <c r="AA203">
        <v>315.89</v>
      </c>
      <c r="AB203">
        <v>0</v>
      </c>
      <c r="AC203">
        <v>0</v>
      </c>
      <c r="AD203">
        <v>0</v>
      </c>
      <c r="AE203">
        <v>315.89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0</v>
      </c>
      <c r="AN203">
        <v>0</v>
      </c>
      <c r="AO203">
        <v>0</v>
      </c>
      <c r="AP203">
        <v>1</v>
      </c>
      <c r="AQ203">
        <v>0</v>
      </c>
      <c r="AR203">
        <v>0</v>
      </c>
      <c r="AS203" t="s">
        <v>3</v>
      </c>
      <c r="AT203">
        <v>135</v>
      </c>
      <c r="AU203" t="s">
        <v>3</v>
      </c>
      <c r="AV203">
        <v>0</v>
      </c>
      <c r="AW203">
        <v>1</v>
      </c>
      <c r="AX203">
        <v>-1</v>
      </c>
      <c r="AY203">
        <v>0</v>
      </c>
      <c r="AZ203">
        <v>0</v>
      </c>
      <c r="BA203" t="s">
        <v>3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ROUND(Y203*Source!I592,9)</f>
        <v>405</v>
      </c>
      <c r="CY203">
        <f>AA203</f>
        <v>315.89</v>
      </c>
      <c r="CZ203">
        <f>AE203</f>
        <v>315.89</v>
      </c>
      <c r="DA203">
        <f>AI203</f>
        <v>1</v>
      </c>
      <c r="DB203">
        <f t="shared" si="51"/>
        <v>42645.15</v>
      </c>
      <c r="DC203">
        <f t="shared" si="52"/>
        <v>0</v>
      </c>
      <c r="DD203" t="s">
        <v>3</v>
      </c>
      <c r="DE203" t="s">
        <v>3</v>
      </c>
      <c r="DF203">
        <f t="shared" si="53"/>
        <v>127935.45</v>
      </c>
      <c r="DG203">
        <f t="shared" si="54"/>
        <v>0</v>
      </c>
      <c r="DH203">
        <f t="shared" si="55"/>
        <v>0</v>
      </c>
      <c r="DI203">
        <f t="shared" si="56"/>
        <v>0</v>
      </c>
      <c r="DJ203">
        <f>DF203</f>
        <v>127935.45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ROW(Source!A592)</f>
        <v>592</v>
      </c>
      <c r="B204">
        <v>75700856</v>
      </c>
      <c r="C204">
        <v>75702203</v>
      </c>
      <c r="D204">
        <v>75388814</v>
      </c>
      <c r="E204">
        <v>1</v>
      </c>
      <c r="F204">
        <v>1</v>
      </c>
      <c r="G204">
        <v>39</v>
      </c>
      <c r="H204">
        <v>3</v>
      </c>
      <c r="I204" t="s">
        <v>307</v>
      </c>
      <c r="J204" t="s">
        <v>309</v>
      </c>
      <c r="K204" t="s">
        <v>308</v>
      </c>
      <c r="L204">
        <v>1327</v>
      </c>
      <c r="N204">
        <v>1005</v>
      </c>
      <c r="O204" t="s">
        <v>132</v>
      </c>
      <c r="P204" t="s">
        <v>132</v>
      </c>
      <c r="Q204">
        <v>1</v>
      </c>
      <c r="W204">
        <v>1</v>
      </c>
      <c r="X204">
        <v>-105732302</v>
      </c>
      <c r="Y204">
        <f t="shared" si="50"/>
        <v>-135</v>
      </c>
      <c r="AA204">
        <v>346.44</v>
      </c>
      <c r="AB204">
        <v>0</v>
      </c>
      <c r="AC204">
        <v>0</v>
      </c>
      <c r="AD204">
        <v>0</v>
      </c>
      <c r="AE204">
        <v>346.44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0</v>
      </c>
      <c r="AN204">
        <v>0</v>
      </c>
      <c r="AO204">
        <v>1</v>
      </c>
      <c r="AP204">
        <v>0</v>
      </c>
      <c r="AQ204">
        <v>0</v>
      </c>
      <c r="AR204">
        <v>0</v>
      </c>
      <c r="AS204" t="s">
        <v>3</v>
      </c>
      <c r="AT204">
        <v>-135</v>
      </c>
      <c r="AU204" t="s">
        <v>3</v>
      </c>
      <c r="AV204">
        <v>0</v>
      </c>
      <c r="AW204">
        <v>2</v>
      </c>
      <c r="AX204">
        <v>75702479</v>
      </c>
      <c r="AY204">
        <v>1</v>
      </c>
      <c r="AZ204">
        <v>6144</v>
      </c>
      <c r="BA204">
        <v>185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ROUND(Y204*Source!I592,9)</f>
        <v>-405</v>
      </c>
      <c r="CY204">
        <f>AA204</f>
        <v>346.44</v>
      </c>
      <c r="CZ204">
        <f>AE204</f>
        <v>346.44</v>
      </c>
      <c r="DA204">
        <f>AI204</f>
        <v>1</v>
      </c>
      <c r="DB204">
        <f t="shared" si="51"/>
        <v>-46769.4</v>
      </c>
      <c r="DC204">
        <f t="shared" si="52"/>
        <v>0</v>
      </c>
      <c r="DD204" t="s">
        <v>3</v>
      </c>
      <c r="DE204" t="s">
        <v>3</v>
      </c>
      <c r="DF204">
        <f t="shared" si="53"/>
        <v>-140308.20000000001</v>
      </c>
      <c r="DG204">
        <f t="shared" si="54"/>
        <v>0</v>
      </c>
      <c r="DH204">
        <f t="shared" si="55"/>
        <v>0</v>
      </c>
      <c r="DI204">
        <f t="shared" si="56"/>
        <v>0</v>
      </c>
      <c r="DJ204">
        <f>DF204</f>
        <v>-140308.20000000001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ROW(Source!A592)</f>
        <v>592</v>
      </c>
      <c r="B205">
        <v>75700856</v>
      </c>
      <c r="C205">
        <v>75702203</v>
      </c>
      <c r="D205">
        <v>75388872</v>
      </c>
      <c r="E205">
        <v>1</v>
      </c>
      <c r="F205">
        <v>1</v>
      </c>
      <c r="G205">
        <v>39</v>
      </c>
      <c r="H205">
        <v>3</v>
      </c>
      <c r="I205" t="s">
        <v>475</v>
      </c>
      <c r="J205" t="s">
        <v>476</v>
      </c>
      <c r="K205" t="s">
        <v>477</v>
      </c>
      <c r="L205">
        <v>1346</v>
      </c>
      <c r="N205">
        <v>1009</v>
      </c>
      <c r="O205" t="s">
        <v>63</v>
      </c>
      <c r="P205" t="s">
        <v>63</v>
      </c>
      <c r="Q205">
        <v>1</v>
      </c>
      <c r="W205">
        <v>0</v>
      </c>
      <c r="X205">
        <v>-1105174393</v>
      </c>
      <c r="Y205">
        <f t="shared" si="50"/>
        <v>3.4</v>
      </c>
      <c r="AA205">
        <v>68.540000000000006</v>
      </c>
      <c r="AB205">
        <v>0</v>
      </c>
      <c r="AC205">
        <v>0</v>
      </c>
      <c r="AD205">
        <v>0</v>
      </c>
      <c r="AE205">
        <v>68.540000000000006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</v>
      </c>
      <c r="AT205">
        <v>3.4</v>
      </c>
      <c r="AU205" t="s">
        <v>3</v>
      </c>
      <c r="AV205">
        <v>0</v>
      </c>
      <c r="AW205">
        <v>2</v>
      </c>
      <c r="AX205">
        <v>75702480</v>
      </c>
      <c r="AY205">
        <v>1</v>
      </c>
      <c r="AZ205">
        <v>0</v>
      </c>
      <c r="BA205">
        <v>186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ROUND(Y205*Source!I592,9)</f>
        <v>10.199999999999999</v>
      </c>
      <c r="CY205">
        <f>AA205</f>
        <v>68.540000000000006</v>
      </c>
      <c r="CZ205">
        <f>AE205</f>
        <v>68.540000000000006</v>
      </c>
      <c r="DA205">
        <f>AI205</f>
        <v>1</v>
      </c>
      <c r="DB205">
        <f t="shared" si="51"/>
        <v>233.04</v>
      </c>
      <c r="DC205">
        <f t="shared" si="52"/>
        <v>0</v>
      </c>
      <c r="DD205" t="s">
        <v>3</v>
      </c>
      <c r="DE205" t="s">
        <v>3</v>
      </c>
      <c r="DF205">
        <f t="shared" si="53"/>
        <v>699.11</v>
      </c>
      <c r="DG205">
        <f t="shared" si="54"/>
        <v>0</v>
      </c>
      <c r="DH205">
        <f t="shared" si="55"/>
        <v>0</v>
      </c>
      <c r="DI205">
        <f t="shared" si="56"/>
        <v>0</v>
      </c>
      <c r="DJ205">
        <f>DF205</f>
        <v>699.11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ROW(Source!A630)</f>
        <v>630</v>
      </c>
      <c r="B206">
        <v>75700856</v>
      </c>
      <c r="C206">
        <v>75702279</v>
      </c>
      <c r="D206">
        <v>75387788</v>
      </c>
      <c r="E206">
        <v>1</v>
      </c>
      <c r="F206">
        <v>1</v>
      </c>
      <c r="G206">
        <v>39</v>
      </c>
      <c r="H206">
        <v>2</v>
      </c>
      <c r="I206" t="s">
        <v>478</v>
      </c>
      <c r="J206" t="s">
        <v>479</v>
      </c>
      <c r="K206" t="s">
        <v>480</v>
      </c>
      <c r="L206">
        <v>1368</v>
      </c>
      <c r="N206">
        <v>1011</v>
      </c>
      <c r="O206" t="s">
        <v>338</v>
      </c>
      <c r="P206" t="s">
        <v>338</v>
      </c>
      <c r="Q206">
        <v>1</v>
      </c>
      <c r="W206">
        <v>0</v>
      </c>
      <c r="X206">
        <v>-1415669716</v>
      </c>
      <c r="Y206">
        <f t="shared" si="50"/>
        <v>5.3699999999999998E-2</v>
      </c>
      <c r="AA206">
        <v>0</v>
      </c>
      <c r="AB206">
        <v>2195.02</v>
      </c>
      <c r="AC206">
        <v>940.44</v>
      </c>
      <c r="AD206">
        <v>0</v>
      </c>
      <c r="AE206">
        <v>0</v>
      </c>
      <c r="AF206">
        <v>2195.02</v>
      </c>
      <c r="AG206">
        <v>940.44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5.3699999999999998E-2</v>
      </c>
      <c r="AU206" t="s">
        <v>3</v>
      </c>
      <c r="AV206">
        <v>0</v>
      </c>
      <c r="AW206">
        <v>2</v>
      </c>
      <c r="AX206">
        <v>75705809</v>
      </c>
      <c r="AY206">
        <v>1</v>
      </c>
      <c r="AZ206">
        <v>0</v>
      </c>
      <c r="BA206">
        <v>187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f>ROUND(Y206*Source!I630*DO206,9)</f>
        <v>0</v>
      </c>
      <c r="CX206">
        <f>ROUND(Y206*Source!I630,9)</f>
        <v>3.4636500000000001E-2</v>
      </c>
      <c r="CY206">
        <f>AB206</f>
        <v>2195.02</v>
      </c>
      <c r="CZ206">
        <f>AF206</f>
        <v>2195.02</v>
      </c>
      <c r="DA206">
        <f>AJ206</f>
        <v>1</v>
      </c>
      <c r="DB206">
        <f t="shared" si="51"/>
        <v>117.87</v>
      </c>
      <c r="DC206">
        <f t="shared" si="52"/>
        <v>50.5</v>
      </c>
      <c r="DD206" t="s">
        <v>3</v>
      </c>
      <c r="DE206" t="s">
        <v>3</v>
      </c>
      <c r="DF206">
        <f t="shared" si="53"/>
        <v>0</v>
      </c>
      <c r="DG206">
        <f t="shared" si="54"/>
        <v>76.03</v>
      </c>
      <c r="DH206">
        <f t="shared" si="55"/>
        <v>32.57</v>
      </c>
      <c r="DI206">
        <f t="shared" si="56"/>
        <v>0</v>
      </c>
      <c r="DJ206">
        <f>DG206</f>
        <v>76.03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ROW(Source!A631)</f>
        <v>631</v>
      </c>
      <c r="B207">
        <v>75700856</v>
      </c>
      <c r="C207">
        <v>75702282</v>
      </c>
      <c r="D207">
        <v>75388479</v>
      </c>
      <c r="E207">
        <v>1</v>
      </c>
      <c r="F207">
        <v>1</v>
      </c>
      <c r="G207">
        <v>39</v>
      </c>
      <c r="H207">
        <v>2</v>
      </c>
      <c r="I207" t="s">
        <v>481</v>
      </c>
      <c r="J207" t="s">
        <v>482</v>
      </c>
      <c r="K207" t="s">
        <v>483</v>
      </c>
      <c r="L207">
        <v>1368</v>
      </c>
      <c r="N207">
        <v>1011</v>
      </c>
      <c r="O207" t="s">
        <v>338</v>
      </c>
      <c r="P207" t="s">
        <v>338</v>
      </c>
      <c r="Q207">
        <v>1</v>
      </c>
      <c r="W207">
        <v>0</v>
      </c>
      <c r="X207">
        <v>9060937</v>
      </c>
      <c r="Y207">
        <f t="shared" si="50"/>
        <v>0.02</v>
      </c>
      <c r="AA207">
        <v>0</v>
      </c>
      <c r="AB207">
        <v>1552.57</v>
      </c>
      <c r="AC207">
        <v>619.16</v>
      </c>
      <c r="AD207">
        <v>0</v>
      </c>
      <c r="AE207">
        <v>0</v>
      </c>
      <c r="AF207">
        <v>1552.57</v>
      </c>
      <c r="AG207">
        <v>619.16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1</v>
      </c>
      <c r="AP207">
        <v>0</v>
      </c>
      <c r="AQ207">
        <v>0</v>
      </c>
      <c r="AR207">
        <v>0</v>
      </c>
      <c r="AS207" t="s">
        <v>3</v>
      </c>
      <c r="AT207">
        <v>0.02</v>
      </c>
      <c r="AU207" t="s">
        <v>3</v>
      </c>
      <c r="AV207">
        <v>0</v>
      </c>
      <c r="AW207">
        <v>2</v>
      </c>
      <c r="AX207">
        <v>75702482</v>
      </c>
      <c r="AY207">
        <v>1</v>
      </c>
      <c r="AZ207">
        <v>0</v>
      </c>
      <c r="BA207">
        <v>188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f>ROUND(Y207*Source!I631*DO207,9)</f>
        <v>0</v>
      </c>
      <c r="CX207">
        <f>ROUND(Y207*Source!I631,9)</f>
        <v>1.29E-2</v>
      </c>
      <c r="CY207">
        <f>AB207</f>
        <v>1552.57</v>
      </c>
      <c r="CZ207">
        <f>AF207</f>
        <v>1552.57</v>
      </c>
      <c r="DA207">
        <f>AJ207</f>
        <v>1</v>
      </c>
      <c r="DB207">
        <f t="shared" si="51"/>
        <v>31.05</v>
      </c>
      <c r="DC207">
        <f t="shared" si="52"/>
        <v>12.38</v>
      </c>
      <c r="DD207" t="s">
        <v>3</v>
      </c>
      <c r="DE207" t="s">
        <v>3</v>
      </c>
      <c r="DF207">
        <f t="shared" si="53"/>
        <v>0</v>
      </c>
      <c r="DG207">
        <f t="shared" si="54"/>
        <v>20.03</v>
      </c>
      <c r="DH207">
        <f t="shared" si="55"/>
        <v>7.99</v>
      </c>
      <c r="DI207">
        <f t="shared" si="56"/>
        <v>0</v>
      </c>
      <c r="DJ207">
        <f>DG207</f>
        <v>20.03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ROW(Source!A631)</f>
        <v>631</v>
      </c>
      <c r="B208">
        <v>75700856</v>
      </c>
      <c r="C208">
        <v>75702282</v>
      </c>
      <c r="D208">
        <v>75388480</v>
      </c>
      <c r="E208">
        <v>1</v>
      </c>
      <c r="F208">
        <v>1</v>
      </c>
      <c r="G208">
        <v>39</v>
      </c>
      <c r="H208">
        <v>2</v>
      </c>
      <c r="I208" t="s">
        <v>484</v>
      </c>
      <c r="J208" t="s">
        <v>485</v>
      </c>
      <c r="K208" t="s">
        <v>486</v>
      </c>
      <c r="L208">
        <v>1368</v>
      </c>
      <c r="N208">
        <v>1011</v>
      </c>
      <c r="O208" t="s">
        <v>338</v>
      </c>
      <c r="P208" t="s">
        <v>338</v>
      </c>
      <c r="Q208">
        <v>1</v>
      </c>
      <c r="W208">
        <v>0</v>
      </c>
      <c r="X208">
        <v>822486257</v>
      </c>
      <c r="Y208">
        <f t="shared" si="50"/>
        <v>1.7999999999999999E-2</v>
      </c>
      <c r="AA208">
        <v>0</v>
      </c>
      <c r="AB208">
        <v>1566.41</v>
      </c>
      <c r="AC208">
        <v>619.79</v>
      </c>
      <c r="AD208">
        <v>0</v>
      </c>
      <c r="AE208">
        <v>0</v>
      </c>
      <c r="AF208">
        <v>1566.41</v>
      </c>
      <c r="AG208">
        <v>619.79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0</v>
      </c>
      <c r="AQ208">
        <v>0</v>
      </c>
      <c r="AR208">
        <v>0</v>
      </c>
      <c r="AS208" t="s">
        <v>3</v>
      </c>
      <c r="AT208">
        <v>1.7999999999999999E-2</v>
      </c>
      <c r="AU208" t="s">
        <v>3</v>
      </c>
      <c r="AV208">
        <v>0</v>
      </c>
      <c r="AW208">
        <v>2</v>
      </c>
      <c r="AX208">
        <v>75702483</v>
      </c>
      <c r="AY208">
        <v>1</v>
      </c>
      <c r="AZ208">
        <v>0</v>
      </c>
      <c r="BA208">
        <v>189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f>ROUND(Y208*Source!I631*DO208,9)</f>
        <v>0</v>
      </c>
      <c r="CX208">
        <f>ROUND(Y208*Source!I631,9)</f>
        <v>1.1610000000000001E-2</v>
      </c>
      <c r="CY208">
        <f>AB208</f>
        <v>1566.41</v>
      </c>
      <c r="CZ208">
        <f>AF208</f>
        <v>1566.41</v>
      </c>
      <c r="DA208">
        <f>AJ208</f>
        <v>1</v>
      </c>
      <c r="DB208">
        <f t="shared" si="51"/>
        <v>28.2</v>
      </c>
      <c r="DC208">
        <f t="shared" si="52"/>
        <v>11.16</v>
      </c>
      <c r="DD208" t="s">
        <v>3</v>
      </c>
      <c r="DE208" t="s">
        <v>3</v>
      </c>
      <c r="DF208">
        <f t="shared" si="53"/>
        <v>0</v>
      </c>
      <c r="DG208">
        <f t="shared" si="54"/>
        <v>18.190000000000001</v>
      </c>
      <c r="DH208">
        <f t="shared" si="55"/>
        <v>7.2</v>
      </c>
      <c r="DI208">
        <f t="shared" si="56"/>
        <v>0</v>
      </c>
      <c r="DJ208">
        <f>DG208</f>
        <v>18.190000000000001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ROW(Source!A632)</f>
        <v>632</v>
      </c>
      <c r="B209">
        <v>75700856</v>
      </c>
      <c r="C209">
        <v>75702287</v>
      </c>
      <c r="D209">
        <v>75388479</v>
      </c>
      <c r="E209">
        <v>1</v>
      </c>
      <c r="F209">
        <v>1</v>
      </c>
      <c r="G209">
        <v>39</v>
      </c>
      <c r="H209">
        <v>2</v>
      </c>
      <c r="I209" t="s">
        <v>481</v>
      </c>
      <c r="J209" t="s">
        <v>482</v>
      </c>
      <c r="K209" t="s">
        <v>483</v>
      </c>
      <c r="L209">
        <v>1368</v>
      </c>
      <c r="N209">
        <v>1011</v>
      </c>
      <c r="O209" t="s">
        <v>338</v>
      </c>
      <c r="P209" t="s">
        <v>338</v>
      </c>
      <c r="Q209">
        <v>1</v>
      </c>
      <c r="W209">
        <v>0</v>
      </c>
      <c r="X209">
        <v>9060937</v>
      </c>
      <c r="Y209">
        <f>(AT209*48)</f>
        <v>0.48</v>
      </c>
      <c r="AA209">
        <v>0</v>
      </c>
      <c r="AB209">
        <v>1552.57</v>
      </c>
      <c r="AC209">
        <v>619.16</v>
      </c>
      <c r="AD209">
        <v>0</v>
      </c>
      <c r="AE209">
        <v>0</v>
      </c>
      <c r="AF209">
        <v>1552.57</v>
      </c>
      <c r="AG209">
        <v>619.16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0.01</v>
      </c>
      <c r="AU209" t="s">
        <v>324</v>
      </c>
      <c r="AV209">
        <v>0</v>
      </c>
      <c r="AW209">
        <v>2</v>
      </c>
      <c r="AX209">
        <v>75702484</v>
      </c>
      <c r="AY209">
        <v>1</v>
      </c>
      <c r="AZ209">
        <v>0</v>
      </c>
      <c r="BA209">
        <v>190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f>ROUND(Y209*Source!I632*DO209,9)</f>
        <v>0</v>
      </c>
      <c r="CX209">
        <f>ROUND(Y209*Source!I632,9)</f>
        <v>0.30959999999999999</v>
      </c>
      <c r="CY209">
        <f>AB209</f>
        <v>1552.57</v>
      </c>
      <c r="CZ209">
        <f>AF209</f>
        <v>1552.57</v>
      </c>
      <c r="DA209">
        <f>AJ209</f>
        <v>1</v>
      </c>
      <c r="DB209">
        <f>ROUND((ROUND(AT209*CZ209,2)*48),6)</f>
        <v>745.44</v>
      </c>
      <c r="DC209">
        <f>ROUND((ROUND(AT209*AG209,2)*48),6)</f>
        <v>297.12</v>
      </c>
      <c r="DD209" t="s">
        <v>3</v>
      </c>
      <c r="DE209" t="s">
        <v>3</v>
      </c>
      <c r="DF209">
        <f t="shared" si="53"/>
        <v>0</v>
      </c>
      <c r="DG209">
        <f t="shared" si="54"/>
        <v>480.68</v>
      </c>
      <c r="DH209">
        <f t="shared" si="55"/>
        <v>191.69</v>
      </c>
      <c r="DI209">
        <f t="shared" si="56"/>
        <v>0</v>
      </c>
      <c r="DJ209">
        <f>DG209</f>
        <v>480.68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ROW(Source!A632)</f>
        <v>632</v>
      </c>
      <c r="B210">
        <v>75700856</v>
      </c>
      <c r="C210">
        <v>75702287</v>
      </c>
      <c r="D210">
        <v>75388480</v>
      </c>
      <c r="E210">
        <v>1</v>
      </c>
      <c r="F210">
        <v>1</v>
      </c>
      <c r="G210">
        <v>39</v>
      </c>
      <c r="H210">
        <v>2</v>
      </c>
      <c r="I210" t="s">
        <v>484</v>
      </c>
      <c r="J210" t="s">
        <v>485</v>
      </c>
      <c r="K210" t="s">
        <v>486</v>
      </c>
      <c r="L210">
        <v>1368</v>
      </c>
      <c r="N210">
        <v>1011</v>
      </c>
      <c r="O210" t="s">
        <v>338</v>
      </c>
      <c r="P210" t="s">
        <v>338</v>
      </c>
      <c r="Q210">
        <v>1</v>
      </c>
      <c r="W210">
        <v>0</v>
      </c>
      <c r="X210">
        <v>822486257</v>
      </c>
      <c r="Y210">
        <f>(AT210*48)</f>
        <v>0.38400000000000001</v>
      </c>
      <c r="AA210">
        <v>0</v>
      </c>
      <c r="AB210">
        <v>1566.41</v>
      </c>
      <c r="AC210">
        <v>619.79</v>
      </c>
      <c r="AD210">
        <v>0</v>
      </c>
      <c r="AE210">
        <v>0</v>
      </c>
      <c r="AF210">
        <v>1566.41</v>
      </c>
      <c r="AG210">
        <v>619.79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8.0000000000000002E-3</v>
      </c>
      <c r="AU210" t="s">
        <v>324</v>
      </c>
      <c r="AV210">
        <v>0</v>
      </c>
      <c r="AW210">
        <v>2</v>
      </c>
      <c r="AX210">
        <v>75702485</v>
      </c>
      <c r="AY210">
        <v>1</v>
      </c>
      <c r="AZ210">
        <v>0</v>
      </c>
      <c r="BA210">
        <v>191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f>ROUND(Y210*Source!I632*DO210,9)</f>
        <v>0</v>
      </c>
      <c r="CX210">
        <f>ROUND(Y210*Source!I632,9)</f>
        <v>0.24768000000000001</v>
      </c>
      <c r="CY210">
        <f>AB210</f>
        <v>1566.41</v>
      </c>
      <c r="CZ210">
        <f>AF210</f>
        <v>1566.41</v>
      </c>
      <c r="DA210">
        <f>AJ210</f>
        <v>1</v>
      </c>
      <c r="DB210">
        <f>ROUND((ROUND(AT210*CZ210,2)*48),6)</f>
        <v>601.44000000000005</v>
      </c>
      <c r="DC210">
        <f>ROUND((ROUND(AT210*AG210,2)*48),6)</f>
        <v>238.08</v>
      </c>
      <c r="DD210" t="s">
        <v>3</v>
      </c>
      <c r="DE210" t="s">
        <v>3</v>
      </c>
      <c r="DF210">
        <f t="shared" si="53"/>
        <v>0</v>
      </c>
      <c r="DG210">
        <f t="shared" si="54"/>
        <v>387.97</v>
      </c>
      <c r="DH210">
        <f t="shared" si="55"/>
        <v>153.51</v>
      </c>
      <c r="DI210">
        <f t="shared" si="56"/>
        <v>0</v>
      </c>
      <c r="DJ210">
        <f>DG210</f>
        <v>387.97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75702295</v>
      </c>
      <c r="C1">
        <v>75701025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332</v>
      </c>
      <c r="J1" t="s">
        <v>3</v>
      </c>
      <c r="K1" t="s">
        <v>333</v>
      </c>
      <c r="L1">
        <v>1191</v>
      </c>
      <c r="N1">
        <v>1013</v>
      </c>
      <c r="O1" t="s">
        <v>334</v>
      </c>
      <c r="P1" t="s">
        <v>334</v>
      </c>
      <c r="Q1">
        <v>1</v>
      </c>
      <c r="X1">
        <v>3.13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3.13</v>
      </c>
      <c r="AH1">
        <v>2</v>
      </c>
      <c r="AI1">
        <v>75701026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75702296</v>
      </c>
      <c r="C2">
        <v>75701025</v>
      </c>
      <c r="D2">
        <v>75388550</v>
      </c>
      <c r="E2">
        <v>1</v>
      </c>
      <c r="F2">
        <v>1</v>
      </c>
      <c r="G2">
        <v>39</v>
      </c>
      <c r="H2">
        <v>2</v>
      </c>
      <c r="I2" t="s">
        <v>335</v>
      </c>
      <c r="J2" t="s">
        <v>336</v>
      </c>
      <c r="K2" t="s">
        <v>337</v>
      </c>
      <c r="L2">
        <v>1368</v>
      </c>
      <c r="N2">
        <v>1011</v>
      </c>
      <c r="O2" t="s">
        <v>338</v>
      </c>
      <c r="P2" t="s">
        <v>338</v>
      </c>
      <c r="Q2">
        <v>1</v>
      </c>
      <c r="X2">
        <v>1</v>
      </c>
      <c r="Y2">
        <v>0</v>
      </c>
      <c r="Z2">
        <v>7.44</v>
      </c>
      <c r="AA2">
        <v>0.01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1</v>
      </c>
      <c r="AH2">
        <v>2</v>
      </c>
      <c r="AI2">
        <v>75701027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75702297</v>
      </c>
      <c r="C3">
        <v>75701030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332</v>
      </c>
      <c r="J3" t="s">
        <v>3</v>
      </c>
      <c r="K3" t="s">
        <v>333</v>
      </c>
      <c r="L3">
        <v>1191</v>
      </c>
      <c r="N3">
        <v>1013</v>
      </c>
      <c r="O3" t="s">
        <v>334</v>
      </c>
      <c r="P3" t="s">
        <v>334</v>
      </c>
      <c r="Q3">
        <v>1</v>
      </c>
      <c r="X3">
        <v>2.78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2.78</v>
      </c>
      <c r="AH3">
        <v>2</v>
      </c>
      <c r="AI3">
        <v>75701031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75702298</v>
      </c>
      <c r="C4">
        <v>75701030</v>
      </c>
      <c r="D4">
        <v>75388550</v>
      </c>
      <c r="E4">
        <v>1</v>
      </c>
      <c r="F4">
        <v>1</v>
      </c>
      <c r="G4">
        <v>39</v>
      </c>
      <c r="H4">
        <v>2</v>
      </c>
      <c r="I4" t="s">
        <v>335</v>
      </c>
      <c r="J4" t="s">
        <v>336</v>
      </c>
      <c r="K4" t="s">
        <v>337</v>
      </c>
      <c r="L4">
        <v>1368</v>
      </c>
      <c r="N4">
        <v>1011</v>
      </c>
      <c r="O4" t="s">
        <v>338</v>
      </c>
      <c r="P4" t="s">
        <v>338</v>
      </c>
      <c r="Q4">
        <v>1</v>
      </c>
      <c r="X4">
        <v>0.34</v>
      </c>
      <c r="Y4">
        <v>0</v>
      </c>
      <c r="Z4">
        <v>7.44</v>
      </c>
      <c r="AA4">
        <v>0.01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0.34</v>
      </c>
      <c r="AH4">
        <v>2</v>
      </c>
      <c r="AI4">
        <v>75701032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75702299</v>
      </c>
      <c r="C5">
        <v>75701035</v>
      </c>
      <c r="D5">
        <v>75386788</v>
      </c>
      <c r="E5">
        <v>39</v>
      </c>
      <c r="F5">
        <v>1</v>
      </c>
      <c r="G5">
        <v>39</v>
      </c>
      <c r="H5">
        <v>1</v>
      </c>
      <c r="I5" t="s">
        <v>332</v>
      </c>
      <c r="J5" t="s">
        <v>3</v>
      </c>
      <c r="K5" t="s">
        <v>333</v>
      </c>
      <c r="L5">
        <v>1191</v>
      </c>
      <c r="N5">
        <v>1013</v>
      </c>
      <c r="O5" t="s">
        <v>334</v>
      </c>
      <c r="P5" t="s">
        <v>334</v>
      </c>
      <c r="Q5">
        <v>1</v>
      </c>
      <c r="X5">
        <v>11.39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11.39</v>
      </c>
      <c r="AH5">
        <v>2</v>
      </c>
      <c r="AI5">
        <v>75701036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75702300</v>
      </c>
      <c r="C6">
        <v>75701035</v>
      </c>
      <c r="D6">
        <v>75386789</v>
      </c>
      <c r="E6">
        <v>39</v>
      </c>
      <c r="F6">
        <v>1</v>
      </c>
      <c r="G6">
        <v>39</v>
      </c>
      <c r="H6">
        <v>3</v>
      </c>
      <c r="I6" t="s">
        <v>339</v>
      </c>
      <c r="J6" t="s">
        <v>3</v>
      </c>
      <c r="K6" t="s">
        <v>340</v>
      </c>
      <c r="L6">
        <v>1348</v>
      </c>
      <c r="N6">
        <v>1009</v>
      </c>
      <c r="O6" t="s">
        <v>68</v>
      </c>
      <c r="P6" t="s">
        <v>68</v>
      </c>
      <c r="Q6">
        <v>1000</v>
      </c>
      <c r="X6">
        <v>0.47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0.47</v>
      </c>
      <c r="AH6">
        <v>2</v>
      </c>
      <c r="AI6">
        <v>75701037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ROW(Source!A35)</f>
        <v>35</v>
      </c>
      <c r="B7">
        <v>75702301</v>
      </c>
      <c r="C7">
        <v>75701040</v>
      </c>
      <c r="D7">
        <v>75386788</v>
      </c>
      <c r="E7">
        <v>39</v>
      </c>
      <c r="F7">
        <v>1</v>
      </c>
      <c r="G7">
        <v>39</v>
      </c>
      <c r="H7">
        <v>1</v>
      </c>
      <c r="I7" t="s">
        <v>332</v>
      </c>
      <c r="J7" t="s">
        <v>3</v>
      </c>
      <c r="K7" t="s">
        <v>333</v>
      </c>
      <c r="L7">
        <v>1191</v>
      </c>
      <c r="N7">
        <v>1013</v>
      </c>
      <c r="O7" t="s">
        <v>334</v>
      </c>
      <c r="P7" t="s">
        <v>334</v>
      </c>
      <c r="Q7">
        <v>1</v>
      </c>
      <c r="X7">
        <v>37.97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37.97</v>
      </c>
      <c r="AH7">
        <v>2</v>
      </c>
      <c r="AI7">
        <v>75701041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ROW(Source!A35)</f>
        <v>35</v>
      </c>
      <c r="B8">
        <v>75702302</v>
      </c>
      <c r="C8">
        <v>75701040</v>
      </c>
      <c r="D8">
        <v>75388182</v>
      </c>
      <c r="E8">
        <v>1</v>
      </c>
      <c r="F8">
        <v>1</v>
      </c>
      <c r="G8">
        <v>39</v>
      </c>
      <c r="H8">
        <v>2</v>
      </c>
      <c r="I8" t="s">
        <v>341</v>
      </c>
      <c r="J8" t="s">
        <v>342</v>
      </c>
      <c r="K8" t="s">
        <v>343</v>
      </c>
      <c r="L8">
        <v>1368</v>
      </c>
      <c r="N8">
        <v>1011</v>
      </c>
      <c r="O8" t="s">
        <v>338</v>
      </c>
      <c r="P8" t="s">
        <v>338</v>
      </c>
      <c r="Q8">
        <v>1</v>
      </c>
      <c r="X8">
        <v>3</v>
      </c>
      <c r="Y8">
        <v>0</v>
      </c>
      <c r="Z8">
        <v>56.19</v>
      </c>
      <c r="AA8">
        <v>0.31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3</v>
      </c>
      <c r="AH8">
        <v>2</v>
      </c>
      <c r="AI8">
        <v>75701042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ROW(Source!A35)</f>
        <v>35</v>
      </c>
      <c r="B9">
        <v>75702303</v>
      </c>
      <c r="C9">
        <v>75701040</v>
      </c>
      <c r="D9">
        <v>75388586</v>
      </c>
      <c r="E9">
        <v>1</v>
      </c>
      <c r="F9">
        <v>1</v>
      </c>
      <c r="G9">
        <v>39</v>
      </c>
      <c r="H9">
        <v>2</v>
      </c>
      <c r="I9" t="s">
        <v>344</v>
      </c>
      <c r="J9" t="s">
        <v>345</v>
      </c>
      <c r="K9" t="s">
        <v>346</v>
      </c>
      <c r="L9">
        <v>1368</v>
      </c>
      <c r="N9">
        <v>1011</v>
      </c>
      <c r="O9" t="s">
        <v>338</v>
      </c>
      <c r="P9" t="s">
        <v>338</v>
      </c>
      <c r="Q9">
        <v>1</v>
      </c>
      <c r="X9">
        <v>4.1500000000000004</v>
      </c>
      <c r="Y9">
        <v>0</v>
      </c>
      <c r="Z9">
        <v>10.7</v>
      </c>
      <c r="AA9">
        <v>1.91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4.1500000000000004</v>
      </c>
      <c r="AH9">
        <v>2</v>
      </c>
      <c r="AI9">
        <v>75701043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ROW(Source!A35)</f>
        <v>35</v>
      </c>
      <c r="B10">
        <v>75702304</v>
      </c>
      <c r="C10">
        <v>75701040</v>
      </c>
      <c r="D10">
        <v>75387866</v>
      </c>
      <c r="E10">
        <v>1</v>
      </c>
      <c r="F10">
        <v>1</v>
      </c>
      <c r="G10">
        <v>39</v>
      </c>
      <c r="H10">
        <v>2</v>
      </c>
      <c r="I10" t="s">
        <v>347</v>
      </c>
      <c r="J10" t="s">
        <v>348</v>
      </c>
      <c r="K10" t="s">
        <v>349</v>
      </c>
      <c r="L10">
        <v>1368</v>
      </c>
      <c r="N10">
        <v>1011</v>
      </c>
      <c r="O10" t="s">
        <v>338</v>
      </c>
      <c r="P10" t="s">
        <v>338</v>
      </c>
      <c r="Q10">
        <v>1</v>
      </c>
      <c r="X10">
        <v>0.02</v>
      </c>
      <c r="Y10">
        <v>0</v>
      </c>
      <c r="Z10">
        <v>1472.88</v>
      </c>
      <c r="AA10">
        <v>893.16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0.02</v>
      </c>
      <c r="AH10">
        <v>2</v>
      </c>
      <c r="AI10">
        <v>75701044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ROW(Source!A35)</f>
        <v>35</v>
      </c>
      <c r="B11">
        <v>75702305</v>
      </c>
      <c r="C11">
        <v>75701040</v>
      </c>
      <c r="D11">
        <v>75390588</v>
      </c>
      <c r="E11">
        <v>1</v>
      </c>
      <c r="F11">
        <v>1</v>
      </c>
      <c r="G11">
        <v>39</v>
      </c>
      <c r="H11">
        <v>3</v>
      </c>
      <c r="I11" t="s">
        <v>350</v>
      </c>
      <c r="J11" t="s">
        <v>351</v>
      </c>
      <c r="K11" t="s">
        <v>352</v>
      </c>
      <c r="L11">
        <v>1339</v>
      </c>
      <c r="N11">
        <v>1007</v>
      </c>
      <c r="O11" t="s">
        <v>353</v>
      </c>
      <c r="P11" t="s">
        <v>353</v>
      </c>
      <c r="Q11">
        <v>1</v>
      </c>
      <c r="X11">
        <v>0.30199999999999999</v>
      </c>
      <c r="Y11">
        <v>49.83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0.30199999999999999</v>
      </c>
      <c r="AH11">
        <v>2</v>
      </c>
      <c r="AI11">
        <v>75701045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ROW(Source!A35)</f>
        <v>35</v>
      </c>
      <c r="B12">
        <v>75702306</v>
      </c>
      <c r="C12">
        <v>75701040</v>
      </c>
      <c r="D12">
        <v>75390808</v>
      </c>
      <c r="E12">
        <v>1</v>
      </c>
      <c r="F12">
        <v>1</v>
      </c>
      <c r="G12">
        <v>39</v>
      </c>
      <c r="H12">
        <v>3</v>
      </c>
      <c r="I12" t="s">
        <v>354</v>
      </c>
      <c r="J12" t="s">
        <v>355</v>
      </c>
      <c r="K12" t="s">
        <v>356</v>
      </c>
      <c r="L12">
        <v>1327</v>
      </c>
      <c r="N12">
        <v>1005</v>
      </c>
      <c r="O12" t="s">
        <v>132</v>
      </c>
      <c r="P12" t="s">
        <v>132</v>
      </c>
      <c r="Q12">
        <v>1</v>
      </c>
      <c r="X12">
        <v>10</v>
      </c>
      <c r="Y12">
        <v>10.62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10</v>
      </c>
      <c r="AH12">
        <v>2</v>
      </c>
      <c r="AI12">
        <v>75701046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ROW(Source!A35)</f>
        <v>35</v>
      </c>
      <c r="B13">
        <v>75702307</v>
      </c>
      <c r="C13">
        <v>75701040</v>
      </c>
      <c r="D13">
        <v>75389157</v>
      </c>
      <c r="E13">
        <v>1</v>
      </c>
      <c r="F13">
        <v>1</v>
      </c>
      <c r="G13">
        <v>39</v>
      </c>
      <c r="H13">
        <v>3</v>
      </c>
      <c r="I13" t="s">
        <v>357</v>
      </c>
      <c r="J13" t="s">
        <v>358</v>
      </c>
      <c r="K13" t="s">
        <v>359</v>
      </c>
      <c r="L13">
        <v>1346</v>
      </c>
      <c r="N13">
        <v>1009</v>
      </c>
      <c r="O13" t="s">
        <v>63</v>
      </c>
      <c r="P13" t="s">
        <v>63</v>
      </c>
      <c r="Q13">
        <v>1</v>
      </c>
      <c r="X13">
        <v>20</v>
      </c>
      <c r="Y13">
        <v>915.75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20</v>
      </c>
      <c r="AH13">
        <v>2</v>
      </c>
      <c r="AI13">
        <v>75701047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ROW(Source!A35)</f>
        <v>35</v>
      </c>
      <c r="B14">
        <v>75702308</v>
      </c>
      <c r="C14">
        <v>75701040</v>
      </c>
      <c r="D14">
        <v>75391767</v>
      </c>
      <c r="E14">
        <v>1</v>
      </c>
      <c r="F14">
        <v>1</v>
      </c>
      <c r="G14">
        <v>39</v>
      </c>
      <c r="H14">
        <v>3</v>
      </c>
      <c r="I14" t="s">
        <v>360</v>
      </c>
      <c r="J14" t="s">
        <v>361</v>
      </c>
      <c r="K14" t="s">
        <v>362</v>
      </c>
      <c r="L14">
        <v>1348</v>
      </c>
      <c r="N14">
        <v>1009</v>
      </c>
      <c r="O14" t="s">
        <v>68</v>
      </c>
      <c r="P14" t="s">
        <v>68</v>
      </c>
      <c r="Q14">
        <v>1000</v>
      </c>
      <c r="X14">
        <v>0.84199999999999997</v>
      </c>
      <c r="Y14">
        <v>37996.660000000003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0.84199999999999997</v>
      </c>
      <c r="AH14">
        <v>2</v>
      </c>
      <c r="AI14">
        <v>75701048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ROW(Source!A36)</f>
        <v>36</v>
      </c>
      <c r="B15">
        <v>75702309</v>
      </c>
      <c r="C15">
        <v>75701057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332</v>
      </c>
      <c r="J15" t="s">
        <v>3</v>
      </c>
      <c r="K15" t="s">
        <v>333</v>
      </c>
      <c r="L15">
        <v>1191</v>
      </c>
      <c r="N15">
        <v>1013</v>
      </c>
      <c r="O15" t="s">
        <v>334</v>
      </c>
      <c r="P15" t="s">
        <v>334</v>
      </c>
      <c r="Q15">
        <v>1</v>
      </c>
      <c r="X15">
        <v>60.04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60.04</v>
      </c>
      <c r="AH15">
        <v>2</v>
      </c>
      <c r="AI15">
        <v>75701058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ROW(Source!A36)</f>
        <v>36</v>
      </c>
      <c r="B16">
        <v>75702310</v>
      </c>
      <c r="C16">
        <v>75701057</v>
      </c>
      <c r="D16">
        <v>75388182</v>
      </c>
      <c r="E16">
        <v>1</v>
      </c>
      <c r="F16">
        <v>1</v>
      </c>
      <c r="G16">
        <v>39</v>
      </c>
      <c r="H16">
        <v>2</v>
      </c>
      <c r="I16" t="s">
        <v>341</v>
      </c>
      <c r="J16" t="s">
        <v>342</v>
      </c>
      <c r="K16" t="s">
        <v>343</v>
      </c>
      <c r="L16">
        <v>1368</v>
      </c>
      <c r="N16">
        <v>1011</v>
      </c>
      <c r="O16" t="s">
        <v>338</v>
      </c>
      <c r="P16" t="s">
        <v>338</v>
      </c>
      <c r="Q16">
        <v>1</v>
      </c>
      <c r="X16">
        <v>6.64</v>
      </c>
      <c r="Y16">
        <v>0</v>
      </c>
      <c r="Z16">
        <v>56.19</v>
      </c>
      <c r="AA16">
        <v>0.31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6.64</v>
      </c>
      <c r="AH16">
        <v>2</v>
      </c>
      <c r="AI16">
        <v>75701059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75702311</v>
      </c>
      <c r="C17">
        <v>75701057</v>
      </c>
      <c r="D17">
        <v>75388325</v>
      </c>
      <c r="E17">
        <v>1</v>
      </c>
      <c r="F17">
        <v>1</v>
      </c>
      <c r="G17">
        <v>39</v>
      </c>
      <c r="H17">
        <v>2</v>
      </c>
      <c r="I17" t="s">
        <v>363</v>
      </c>
      <c r="J17" t="s">
        <v>364</v>
      </c>
      <c r="K17" t="s">
        <v>365</v>
      </c>
      <c r="L17">
        <v>1368</v>
      </c>
      <c r="N17">
        <v>1011</v>
      </c>
      <c r="O17" t="s">
        <v>338</v>
      </c>
      <c r="P17" t="s">
        <v>338</v>
      </c>
      <c r="Q17">
        <v>1</v>
      </c>
      <c r="X17">
        <v>4.7</v>
      </c>
      <c r="Y17">
        <v>0</v>
      </c>
      <c r="Z17">
        <v>10.02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4.7</v>
      </c>
      <c r="AH17">
        <v>2</v>
      </c>
      <c r="AI17">
        <v>75701060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75702312</v>
      </c>
      <c r="C18">
        <v>75701057</v>
      </c>
      <c r="D18">
        <v>75388524</v>
      </c>
      <c r="E18">
        <v>1</v>
      </c>
      <c r="F18">
        <v>1</v>
      </c>
      <c r="G18">
        <v>39</v>
      </c>
      <c r="H18">
        <v>2</v>
      </c>
      <c r="I18" t="s">
        <v>366</v>
      </c>
      <c r="J18" t="s">
        <v>367</v>
      </c>
      <c r="K18" t="s">
        <v>368</v>
      </c>
      <c r="L18">
        <v>1368</v>
      </c>
      <c r="N18">
        <v>1011</v>
      </c>
      <c r="O18" t="s">
        <v>338</v>
      </c>
      <c r="P18" t="s">
        <v>338</v>
      </c>
      <c r="Q18">
        <v>1</v>
      </c>
      <c r="X18">
        <v>1.5</v>
      </c>
      <c r="Y18">
        <v>0</v>
      </c>
      <c r="Z18">
        <v>3.57</v>
      </c>
      <c r="AA18">
        <v>0.01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1.5</v>
      </c>
      <c r="AH18">
        <v>2</v>
      </c>
      <c r="AI18">
        <v>75701061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75702313</v>
      </c>
      <c r="C19">
        <v>75701057</v>
      </c>
      <c r="D19">
        <v>75390660</v>
      </c>
      <c r="E19">
        <v>1</v>
      </c>
      <c r="F19">
        <v>1</v>
      </c>
      <c r="G19">
        <v>39</v>
      </c>
      <c r="H19">
        <v>3</v>
      </c>
      <c r="I19" t="s">
        <v>369</v>
      </c>
      <c r="J19" t="s">
        <v>370</v>
      </c>
      <c r="K19" t="s">
        <v>371</v>
      </c>
      <c r="L19">
        <v>1346</v>
      </c>
      <c r="N19">
        <v>1009</v>
      </c>
      <c r="O19" t="s">
        <v>63</v>
      </c>
      <c r="P19" t="s">
        <v>63</v>
      </c>
      <c r="Q19">
        <v>1</v>
      </c>
      <c r="X19">
        <v>36.049999999999997</v>
      </c>
      <c r="Y19">
        <v>221.14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36.049999999999997</v>
      </c>
      <c r="AH19">
        <v>2</v>
      </c>
      <c r="AI19">
        <v>75701062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75702314</v>
      </c>
      <c r="C20">
        <v>75701057</v>
      </c>
      <c r="D20">
        <v>75391078</v>
      </c>
      <c r="E20">
        <v>1</v>
      </c>
      <c r="F20">
        <v>1</v>
      </c>
      <c r="G20">
        <v>39</v>
      </c>
      <c r="H20">
        <v>3</v>
      </c>
      <c r="I20" t="s">
        <v>372</v>
      </c>
      <c r="J20" t="s">
        <v>373</v>
      </c>
      <c r="K20" t="s">
        <v>374</v>
      </c>
      <c r="L20">
        <v>1327</v>
      </c>
      <c r="N20">
        <v>1005</v>
      </c>
      <c r="O20" t="s">
        <v>132</v>
      </c>
      <c r="P20" t="s">
        <v>132</v>
      </c>
      <c r="Q20">
        <v>1</v>
      </c>
      <c r="X20">
        <v>107</v>
      </c>
      <c r="Y20">
        <v>1117.3499999999999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107</v>
      </c>
      <c r="AH20">
        <v>2</v>
      </c>
      <c r="AI20">
        <v>75701063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75702315</v>
      </c>
      <c r="C21">
        <v>75701057</v>
      </c>
      <c r="D21">
        <v>75391090</v>
      </c>
      <c r="E21">
        <v>1</v>
      </c>
      <c r="F21">
        <v>1</v>
      </c>
      <c r="G21">
        <v>39</v>
      </c>
      <c r="H21">
        <v>3</v>
      </c>
      <c r="I21" t="s">
        <v>375</v>
      </c>
      <c r="J21" t="s">
        <v>376</v>
      </c>
      <c r="K21" t="s">
        <v>377</v>
      </c>
      <c r="L21">
        <v>1301</v>
      </c>
      <c r="N21">
        <v>1003</v>
      </c>
      <c r="O21" t="s">
        <v>49</v>
      </c>
      <c r="P21" t="s">
        <v>49</v>
      </c>
      <c r="Q21">
        <v>1</v>
      </c>
      <c r="X21">
        <v>60</v>
      </c>
      <c r="Y21">
        <v>57.6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60</v>
      </c>
      <c r="AH21">
        <v>2</v>
      </c>
      <c r="AI21">
        <v>75701064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75702316</v>
      </c>
      <c r="C22">
        <v>75701057</v>
      </c>
      <c r="D22">
        <v>75389139</v>
      </c>
      <c r="E22">
        <v>1</v>
      </c>
      <c r="F22">
        <v>1</v>
      </c>
      <c r="G22">
        <v>39</v>
      </c>
      <c r="H22">
        <v>3</v>
      </c>
      <c r="I22" t="s">
        <v>378</v>
      </c>
      <c r="J22" t="s">
        <v>379</v>
      </c>
      <c r="K22" t="s">
        <v>380</v>
      </c>
      <c r="L22">
        <v>1346</v>
      </c>
      <c r="N22">
        <v>1009</v>
      </c>
      <c r="O22" t="s">
        <v>63</v>
      </c>
      <c r="P22" t="s">
        <v>63</v>
      </c>
      <c r="Q22">
        <v>1</v>
      </c>
      <c r="X22">
        <v>10.3</v>
      </c>
      <c r="Y22">
        <v>138.59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10.3</v>
      </c>
      <c r="AH22">
        <v>2</v>
      </c>
      <c r="AI22">
        <v>75701065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ROW(Source!A37)</f>
        <v>37</v>
      </c>
      <c r="B23">
        <v>75702317</v>
      </c>
      <c r="C23">
        <v>75701074</v>
      </c>
      <c r="D23">
        <v>75386788</v>
      </c>
      <c r="E23">
        <v>39</v>
      </c>
      <c r="F23">
        <v>1</v>
      </c>
      <c r="G23">
        <v>39</v>
      </c>
      <c r="H23">
        <v>1</v>
      </c>
      <c r="I23" t="s">
        <v>332</v>
      </c>
      <c r="J23" t="s">
        <v>3</v>
      </c>
      <c r="K23" t="s">
        <v>333</v>
      </c>
      <c r="L23">
        <v>1191</v>
      </c>
      <c r="N23">
        <v>1013</v>
      </c>
      <c r="O23" t="s">
        <v>334</v>
      </c>
      <c r="P23" t="s">
        <v>334</v>
      </c>
      <c r="Q23">
        <v>1</v>
      </c>
      <c r="X23">
        <v>8.8000000000000007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8.8000000000000007</v>
      </c>
      <c r="AH23">
        <v>2</v>
      </c>
      <c r="AI23">
        <v>75701075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ROW(Source!A37)</f>
        <v>37</v>
      </c>
      <c r="B24">
        <v>75702318</v>
      </c>
      <c r="C24">
        <v>75701074</v>
      </c>
      <c r="D24">
        <v>75389672</v>
      </c>
      <c r="E24">
        <v>1</v>
      </c>
      <c r="F24">
        <v>1</v>
      </c>
      <c r="G24">
        <v>39</v>
      </c>
      <c r="H24">
        <v>3</v>
      </c>
      <c r="I24" t="s">
        <v>381</v>
      </c>
      <c r="J24" t="s">
        <v>382</v>
      </c>
      <c r="K24" t="s">
        <v>383</v>
      </c>
      <c r="L24">
        <v>1348</v>
      </c>
      <c r="N24">
        <v>1009</v>
      </c>
      <c r="O24" t="s">
        <v>68</v>
      </c>
      <c r="P24" t="s">
        <v>68</v>
      </c>
      <c r="Q24">
        <v>1000</v>
      </c>
      <c r="X24">
        <v>4.2000000000000002E-4</v>
      </c>
      <c r="Y24">
        <v>95976.83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4.2000000000000002E-4</v>
      </c>
      <c r="AH24">
        <v>2</v>
      </c>
      <c r="AI24">
        <v>75701076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ROW(Source!A37)</f>
        <v>37</v>
      </c>
      <c r="B25">
        <v>75702319</v>
      </c>
      <c r="C25">
        <v>75701074</v>
      </c>
      <c r="D25">
        <v>75393932</v>
      </c>
      <c r="E25">
        <v>1</v>
      </c>
      <c r="F25">
        <v>1</v>
      </c>
      <c r="G25">
        <v>39</v>
      </c>
      <c r="H25">
        <v>3</v>
      </c>
      <c r="I25" t="s">
        <v>53</v>
      </c>
      <c r="J25" t="s">
        <v>55</v>
      </c>
      <c r="K25" t="s">
        <v>54</v>
      </c>
      <c r="L25">
        <v>1301</v>
      </c>
      <c r="N25">
        <v>1003</v>
      </c>
      <c r="O25" t="s">
        <v>49</v>
      </c>
      <c r="P25" t="s">
        <v>49</v>
      </c>
      <c r="Q25">
        <v>1</v>
      </c>
      <c r="X25">
        <v>105</v>
      </c>
      <c r="Y25">
        <v>37.29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105</v>
      </c>
      <c r="AH25">
        <v>2</v>
      </c>
      <c r="AI25">
        <v>75701083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75702320</v>
      </c>
      <c r="C26">
        <v>75701084</v>
      </c>
      <c r="D26">
        <v>75386788</v>
      </c>
      <c r="E26">
        <v>39</v>
      </c>
      <c r="F26">
        <v>1</v>
      </c>
      <c r="G26">
        <v>39</v>
      </c>
      <c r="H26">
        <v>1</v>
      </c>
      <c r="I26" t="s">
        <v>332</v>
      </c>
      <c r="J26" t="s">
        <v>3</v>
      </c>
      <c r="K26" t="s">
        <v>333</v>
      </c>
      <c r="L26">
        <v>1191</v>
      </c>
      <c r="N26">
        <v>1013</v>
      </c>
      <c r="O26" t="s">
        <v>334</v>
      </c>
      <c r="P26" t="s">
        <v>334</v>
      </c>
      <c r="Q26">
        <v>1</v>
      </c>
      <c r="X26">
        <v>12.88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12.88</v>
      </c>
      <c r="AH26">
        <v>2</v>
      </c>
      <c r="AI26">
        <v>75701085</v>
      </c>
      <c r="AJ26">
        <v>27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75702321</v>
      </c>
      <c r="C27">
        <v>75701084</v>
      </c>
      <c r="D27">
        <v>75389061</v>
      </c>
      <c r="E27">
        <v>1</v>
      </c>
      <c r="F27">
        <v>1</v>
      </c>
      <c r="G27">
        <v>39</v>
      </c>
      <c r="H27">
        <v>3</v>
      </c>
      <c r="I27" t="s">
        <v>66</v>
      </c>
      <c r="J27" t="s">
        <v>69</v>
      </c>
      <c r="K27" t="s">
        <v>67</v>
      </c>
      <c r="L27">
        <v>1348</v>
      </c>
      <c r="N27">
        <v>1009</v>
      </c>
      <c r="O27" t="s">
        <v>68</v>
      </c>
      <c r="P27" t="s">
        <v>68</v>
      </c>
      <c r="Q27">
        <v>1000</v>
      </c>
      <c r="X27">
        <v>2.0799999999999999E-2</v>
      </c>
      <c r="Y27">
        <v>247397.04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2.0799999999999999E-2</v>
      </c>
      <c r="AH27">
        <v>2</v>
      </c>
      <c r="AI27">
        <v>75701091</v>
      </c>
      <c r="AJ27">
        <v>28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ROW(Source!A43)</f>
        <v>43</v>
      </c>
      <c r="B28">
        <v>75702322</v>
      </c>
      <c r="C28">
        <v>75701092</v>
      </c>
      <c r="D28">
        <v>75386788</v>
      </c>
      <c r="E28">
        <v>39</v>
      </c>
      <c r="F28">
        <v>1</v>
      </c>
      <c r="G28">
        <v>39</v>
      </c>
      <c r="H28">
        <v>1</v>
      </c>
      <c r="I28" t="s">
        <v>332</v>
      </c>
      <c r="J28" t="s">
        <v>3</v>
      </c>
      <c r="K28" t="s">
        <v>333</v>
      </c>
      <c r="L28">
        <v>1191</v>
      </c>
      <c r="N28">
        <v>1013</v>
      </c>
      <c r="O28" t="s">
        <v>334</v>
      </c>
      <c r="P28" t="s">
        <v>334</v>
      </c>
      <c r="Q28">
        <v>1</v>
      </c>
      <c r="X28">
        <v>19.14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19.14</v>
      </c>
      <c r="AH28">
        <v>2</v>
      </c>
      <c r="AI28">
        <v>75701093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ROW(Source!A43)</f>
        <v>43</v>
      </c>
      <c r="B29">
        <v>75702323</v>
      </c>
      <c r="C29">
        <v>75701092</v>
      </c>
      <c r="D29">
        <v>75388585</v>
      </c>
      <c r="E29">
        <v>1</v>
      </c>
      <c r="F29">
        <v>1</v>
      </c>
      <c r="G29">
        <v>39</v>
      </c>
      <c r="H29">
        <v>2</v>
      </c>
      <c r="I29" t="s">
        <v>384</v>
      </c>
      <c r="J29" t="s">
        <v>385</v>
      </c>
      <c r="K29" t="s">
        <v>386</v>
      </c>
      <c r="L29">
        <v>1368</v>
      </c>
      <c r="N29">
        <v>1011</v>
      </c>
      <c r="O29" t="s">
        <v>338</v>
      </c>
      <c r="P29" t="s">
        <v>338</v>
      </c>
      <c r="Q29">
        <v>1</v>
      </c>
      <c r="X29">
        <v>5.36</v>
      </c>
      <c r="Y29">
        <v>0</v>
      </c>
      <c r="Z29">
        <v>6.13</v>
      </c>
      <c r="AA29">
        <v>1.91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5.36</v>
      </c>
      <c r="AH29">
        <v>2</v>
      </c>
      <c r="AI29">
        <v>75701094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ROW(Source!A43)</f>
        <v>43</v>
      </c>
      <c r="B30">
        <v>75702324</v>
      </c>
      <c r="C30">
        <v>75701092</v>
      </c>
      <c r="D30">
        <v>75388528</v>
      </c>
      <c r="E30">
        <v>1</v>
      </c>
      <c r="F30">
        <v>1</v>
      </c>
      <c r="G30">
        <v>39</v>
      </c>
      <c r="H30">
        <v>2</v>
      </c>
      <c r="I30" t="s">
        <v>387</v>
      </c>
      <c r="J30" t="s">
        <v>388</v>
      </c>
      <c r="K30" t="s">
        <v>389</v>
      </c>
      <c r="L30">
        <v>1368</v>
      </c>
      <c r="N30">
        <v>1011</v>
      </c>
      <c r="O30" t="s">
        <v>338</v>
      </c>
      <c r="P30" t="s">
        <v>338</v>
      </c>
      <c r="Q30">
        <v>1</v>
      </c>
      <c r="X30">
        <v>0.45</v>
      </c>
      <c r="Y30">
        <v>0</v>
      </c>
      <c r="Z30">
        <v>6.09</v>
      </c>
      <c r="AA30">
        <v>0.01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0.45</v>
      </c>
      <c r="AH30">
        <v>2</v>
      </c>
      <c r="AI30">
        <v>75701095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ROW(Source!A43)</f>
        <v>43</v>
      </c>
      <c r="B31">
        <v>75702325</v>
      </c>
      <c r="C31">
        <v>75701092</v>
      </c>
      <c r="D31">
        <v>75388550</v>
      </c>
      <c r="E31">
        <v>1</v>
      </c>
      <c r="F31">
        <v>1</v>
      </c>
      <c r="G31">
        <v>39</v>
      </c>
      <c r="H31">
        <v>2</v>
      </c>
      <c r="I31" t="s">
        <v>335</v>
      </c>
      <c r="J31" t="s">
        <v>336</v>
      </c>
      <c r="K31" t="s">
        <v>337</v>
      </c>
      <c r="L31">
        <v>1368</v>
      </c>
      <c r="N31">
        <v>1011</v>
      </c>
      <c r="O31" t="s">
        <v>338</v>
      </c>
      <c r="P31" t="s">
        <v>338</v>
      </c>
      <c r="Q31">
        <v>1</v>
      </c>
      <c r="X31">
        <v>7.3</v>
      </c>
      <c r="Y31">
        <v>0</v>
      </c>
      <c r="Z31">
        <v>7.44</v>
      </c>
      <c r="AA31">
        <v>0.01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7.3</v>
      </c>
      <c r="AH31">
        <v>2</v>
      </c>
      <c r="AI31">
        <v>75701096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ROW(Source!A43)</f>
        <v>43</v>
      </c>
      <c r="B32">
        <v>75702326</v>
      </c>
      <c r="C32">
        <v>75701092</v>
      </c>
      <c r="D32">
        <v>75389658</v>
      </c>
      <c r="E32">
        <v>1</v>
      </c>
      <c r="F32">
        <v>1</v>
      </c>
      <c r="G32">
        <v>39</v>
      </c>
      <c r="H32">
        <v>3</v>
      </c>
      <c r="I32" t="s">
        <v>390</v>
      </c>
      <c r="J32" t="s">
        <v>391</v>
      </c>
      <c r="K32" t="s">
        <v>392</v>
      </c>
      <c r="L32">
        <v>1346</v>
      </c>
      <c r="N32">
        <v>1009</v>
      </c>
      <c r="O32" t="s">
        <v>63</v>
      </c>
      <c r="P32" t="s">
        <v>63</v>
      </c>
      <c r="Q32">
        <v>1</v>
      </c>
      <c r="X32">
        <v>0.94</v>
      </c>
      <c r="Y32">
        <v>263.45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0.94</v>
      </c>
      <c r="AH32">
        <v>2</v>
      </c>
      <c r="AI32">
        <v>75701097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ROW(Source!A43)</f>
        <v>43</v>
      </c>
      <c r="B33">
        <v>75702327</v>
      </c>
      <c r="C33">
        <v>75701092</v>
      </c>
      <c r="D33">
        <v>75393446</v>
      </c>
      <c r="E33">
        <v>1</v>
      </c>
      <c r="F33">
        <v>1</v>
      </c>
      <c r="G33">
        <v>39</v>
      </c>
      <c r="H33">
        <v>3</v>
      </c>
      <c r="I33" t="s">
        <v>393</v>
      </c>
      <c r="J33" t="s">
        <v>394</v>
      </c>
      <c r="K33" t="s">
        <v>395</v>
      </c>
      <c r="L33">
        <v>1301</v>
      </c>
      <c r="N33">
        <v>1003</v>
      </c>
      <c r="O33" t="s">
        <v>49</v>
      </c>
      <c r="P33" t="s">
        <v>49</v>
      </c>
      <c r="Q33">
        <v>1</v>
      </c>
      <c r="X33">
        <v>105</v>
      </c>
      <c r="Y33">
        <v>154.56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105</v>
      </c>
      <c r="AH33">
        <v>2</v>
      </c>
      <c r="AI33">
        <v>75701098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ROW(Source!A79)</f>
        <v>79</v>
      </c>
      <c r="B34">
        <v>75702328</v>
      </c>
      <c r="C34">
        <v>75701161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332</v>
      </c>
      <c r="J34" t="s">
        <v>3</v>
      </c>
      <c r="K34" t="s">
        <v>333</v>
      </c>
      <c r="L34">
        <v>1191</v>
      </c>
      <c r="N34">
        <v>1013</v>
      </c>
      <c r="O34" t="s">
        <v>334</v>
      </c>
      <c r="P34" t="s">
        <v>334</v>
      </c>
      <c r="Q34">
        <v>1</v>
      </c>
      <c r="X34">
        <v>0.51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0.51</v>
      </c>
      <c r="AH34">
        <v>2</v>
      </c>
      <c r="AI34">
        <v>75701162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ROW(Source!A79)</f>
        <v>79</v>
      </c>
      <c r="B35">
        <v>75702329</v>
      </c>
      <c r="C35">
        <v>75701161</v>
      </c>
      <c r="D35">
        <v>75388550</v>
      </c>
      <c r="E35">
        <v>1</v>
      </c>
      <c r="F35">
        <v>1</v>
      </c>
      <c r="G35">
        <v>39</v>
      </c>
      <c r="H35">
        <v>2</v>
      </c>
      <c r="I35" t="s">
        <v>335</v>
      </c>
      <c r="J35" t="s">
        <v>336</v>
      </c>
      <c r="K35" t="s">
        <v>337</v>
      </c>
      <c r="L35">
        <v>1368</v>
      </c>
      <c r="N35">
        <v>1011</v>
      </c>
      <c r="O35" t="s">
        <v>338</v>
      </c>
      <c r="P35" t="s">
        <v>338</v>
      </c>
      <c r="Q35">
        <v>1</v>
      </c>
      <c r="X35">
        <v>0.02</v>
      </c>
      <c r="Y35">
        <v>0</v>
      </c>
      <c r="Z35">
        <v>7.44</v>
      </c>
      <c r="AA35">
        <v>0.01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0.02</v>
      </c>
      <c r="AH35">
        <v>2</v>
      </c>
      <c r="AI35">
        <v>75701163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ROW(Source!A80)</f>
        <v>80</v>
      </c>
      <c r="B36">
        <v>75702330</v>
      </c>
      <c r="C36">
        <v>75701166</v>
      </c>
      <c r="D36">
        <v>75386788</v>
      </c>
      <c r="E36">
        <v>39</v>
      </c>
      <c r="F36">
        <v>1</v>
      </c>
      <c r="G36">
        <v>39</v>
      </c>
      <c r="H36">
        <v>1</v>
      </c>
      <c r="I36" t="s">
        <v>332</v>
      </c>
      <c r="J36" t="s">
        <v>3</v>
      </c>
      <c r="K36" t="s">
        <v>333</v>
      </c>
      <c r="L36">
        <v>1191</v>
      </c>
      <c r="N36">
        <v>1013</v>
      </c>
      <c r="O36" t="s">
        <v>334</v>
      </c>
      <c r="P36" t="s">
        <v>334</v>
      </c>
      <c r="Q36">
        <v>1</v>
      </c>
      <c r="X36">
        <v>9.9499999999999993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9.9499999999999993</v>
      </c>
      <c r="AH36">
        <v>2</v>
      </c>
      <c r="AI36">
        <v>75701167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ROW(Source!A80)</f>
        <v>80</v>
      </c>
      <c r="B37">
        <v>75702331</v>
      </c>
      <c r="C37">
        <v>75701166</v>
      </c>
      <c r="D37">
        <v>75386789</v>
      </c>
      <c r="E37">
        <v>39</v>
      </c>
      <c r="F37">
        <v>1</v>
      </c>
      <c r="G37">
        <v>39</v>
      </c>
      <c r="H37">
        <v>3</v>
      </c>
      <c r="I37" t="s">
        <v>339</v>
      </c>
      <c r="J37" t="s">
        <v>3</v>
      </c>
      <c r="K37" t="s">
        <v>340</v>
      </c>
      <c r="L37">
        <v>1348</v>
      </c>
      <c r="N37">
        <v>1009</v>
      </c>
      <c r="O37" t="s">
        <v>68</v>
      </c>
      <c r="P37" t="s">
        <v>68</v>
      </c>
      <c r="Q37">
        <v>1000</v>
      </c>
      <c r="X37">
        <v>0.08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0.08</v>
      </c>
      <c r="AH37">
        <v>2</v>
      </c>
      <c r="AI37">
        <v>75701168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ROW(Source!A81)</f>
        <v>81</v>
      </c>
      <c r="B38">
        <v>75702332</v>
      </c>
      <c r="C38">
        <v>75701171</v>
      </c>
      <c r="D38">
        <v>75386788</v>
      </c>
      <c r="E38">
        <v>39</v>
      </c>
      <c r="F38">
        <v>1</v>
      </c>
      <c r="G38">
        <v>39</v>
      </c>
      <c r="H38">
        <v>1</v>
      </c>
      <c r="I38" t="s">
        <v>332</v>
      </c>
      <c r="J38" t="s">
        <v>3</v>
      </c>
      <c r="K38" t="s">
        <v>333</v>
      </c>
      <c r="L38">
        <v>1191</v>
      </c>
      <c r="N38">
        <v>1013</v>
      </c>
      <c r="O38" t="s">
        <v>334</v>
      </c>
      <c r="P38" t="s">
        <v>334</v>
      </c>
      <c r="Q38">
        <v>1</v>
      </c>
      <c r="X38">
        <v>5.35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5.35</v>
      </c>
      <c r="AH38">
        <v>2</v>
      </c>
      <c r="AI38">
        <v>75701172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ROW(Source!A81)</f>
        <v>81</v>
      </c>
      <c r="B39">
        <v>75702333</v>
      </c>
      <c r="C39">
        <v>75701171</v>
      </c>
      <c r="D39">
        <v>75388577</v>
      </c>
      <c r="E39">
        <v>1</v>
      </c>
      <c r="F39">
        <v>1</v>
      </c>
      <c r="G39">
        <v>39</v>
      </c>
      <c r="H39">
        <v>2</v>
      </c>
      <c r="I39" t="s">
        <v>396</v>
      </c>
      <c r="J39" t="s">
        <v>397</v>
      </c>
      <c r="K39" t="s">
        <v>398</v>
      </c>
      <c r="L39">
        <v>1368</v>
      </c>
      <c r="N39">
        <v>1011</v>
      </c>
      <c r="O39" t="s">
        <v>338</v>
      </c>
      <c r="P39" t="s">
        <v>338</v>
      </c>
      <c r="Q39">
        <v>1</v>
      </c>
      <c r="X39">
        <v>0.04</v>
      </c>
      <c r="Y39">
        <v>0</v>
      </c>
      <c r="Z39">
        <v>12.22</v>
      </c>
      <c r="AA39">
        <v>0.24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0.04</v>
      </c>
      <c r="AH39">
        <v>2</v>
      </c>
      <c r="AI39">
        <v>75701173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ROW(Source!A81)</f>
        <v>81</v>
      </c>
      <c r="B40">
        <v>75702334</v>
      </c>
      <c r="C40">
        <v>75701171</v>
      </c>
      <c r="D40">
        <v>75388993</v>
      </c>
      <c r="E40">
        <v>1</v>
      </c>
      <c r="F40">
        <v>1</v>
      </c>
      <c r="G40">
        <v>39</v>
      </c>
      <c r="H40">
        <v>3</v>
      </c>
      <c r="I40" t="s">
        <v>399</v>
      </c>
      <c r="J40" t="s">
        <v>400</v>
      </c>
      <c r="K40" t="s">
        <v>401</v>
      </c>
      <c r="L40">
        <v>1296</v>
      </c>
      <c r="N40">
        <v>1002</v>
      </c>
      <c r="O40" t="s">
        <v>402</v>
      </c>
      <c r="P40" t="s">
        <v>402</v>
      </c>
      <c r="Q40">
        <v>1</v>
      </c>
      <c r="X40">
        <v>10.3</v>
      </c>
      <c r="Y40">
        <v>128.71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10.3</v>
      </c>
      <c r="AH40">
        <v>2</v>
      </c>
      <c r="AI40">
        <v>75701174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ROW(Source!A82)</f>
        <v>82</v>
      </c>
      <c r="B41">
        <v>75702335</v>
      </c>
      <c r="C41">
        <v>75701178</v>
      </c>
      <c r="D41">
        <v>75386788</v>
      </c>
      <c r="E41">
        <v>39</v>
      </c>
      <c r="F41">
        <v>1</v>
      </c>
      <c r="G41">
        <v>39</v>
      </c>
      <c r="H41">
        <v>1</v>
      </c>
      <c r="I41" t="s">
        <v>332</v>
      </c>
      <c r="J41" t="s">
        <v>3</v>
      </c>
      <c r="K41" t="s">
        <v>333</v>
      </c>
      <c r="L41">
        <v>1191</v>
      </c>
      <c r="N41">
        <v>1013</v>
      </c>
      <c r="O41" t="s">
        <v>334</v>
      </c>
      <c r="P41" t="s">
        <v>334</v>
      </c>
      <c r="Q41">
        <v>1</v>
      </c>
      <c r="X41">
        <v>42.17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42.17</v>
      </c>
      <c r="AH41">
        <v>2</v>
      </c>
      <c r="AI41">
        <v>75701179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ROW(Source!A82)</f>
        <v>82</v>
      </c>
      <c r="B42">
        <v>75702336</v>
      </c>
      <c r="C42">
        <v>75701178</v>
      </c>
      <c r="D42">
        <v>75390376</v>
      </c>
      <c r="E42">
        <v>1</v>
      </c>
      <c r="F42">
        <v>1</v>
      </c>
      <c r="G42">
        <v>39</v>
      </c>
      <c r="H42">
        <v>3</v>
      </c>
      <c r="I42" t="s">
        <v>403</v>
      </c>
      <c r="J42" t="s">
        <v>404</v>
      </c>
      <c r="K42" t="s">
        <v>405</v>
      </c>
      <c r="L42">
        <v>1346</v>
      </c>
      <c r="N42">
        <v>1009</v>
      </c>
      <c r="O42" t="s">
        <v>63</v>
      </c>
      <c r="P42" t="s">
        <v>63</v>
      </c>
      <c r="Q42">
        <v>1</v>
      </c>
      <c r="X42">
        <v>0.31</v>
      </c>
      <c r="Y42">
        <v>26.09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0.31</v>
      </c>
      <c r="AH42">
        <v>2</v>
      </c>
      <c r="AI42">
        <v>75701180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ROW(Source!A82)</f>
        <v>82</v>
      </c>
      <c r="B43">
        <v>75702337</v>
      </c>
      <c r="C43">
        <v>75701178</v>
      </c>
      <c r="D43">
        <v>75390588</v>
      </c>
      <c r="E43">
        <v>1</v>
      </c>
      <c r="F43">
        <v>1</v>
      </c>
      <c r="G43">
        <v>39</v>
      </c>
      <c r="H43">
        <v>3</v>
      </c>
      <c r="I43" t="s">
        <v>350</v>
      </c>
      <c r="J43" t="s">
        <v>351</v>
      </c>
      <c r="K43" t="s">
        <v>352</v>
      </c>
      <c r="L43">
        <v>1339</v>
      </c>
      <c r="N43">
        <v>1007</v>
      </c>
      <c r="O43" t="s">
        <v>353</v>
      </c>
      <c r="P43" t="s">
        <v>353</v>
      </c>
      <c r="Q43">
        <v>1</v>
      </c>
      <c r="X43">
        <v>6.0000000000000001E-3</v>
      </c>
      <c r="Y43">
        <v>49.83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6.0000000000000001E-3</v>
      </c>
      <c r="AH43">
        <v>2</v>
      </c>
      <c r="AI43">
        <v>75701181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ROW(Source!A82)</f>
        <v>82</v>
      </c>
      <c r="B44">
        <v>75702338</v>
      </c>
      <c r="C44">
        <v>75701178</v>
      </c>
      <c r="D44">
        <v>75390936</v>
      </c>
      <c r="E44">
        <v>1</v>
      </c>
      <c r="F44">
        <v>1</v>
      </c>
      <c r="G44">
        <v>39</v>
      </c>
      <c r="H44">
        <v>3</v>
      </c>
      <c r="I44" t="s">
        <v>406</v>
      </c>
      <c r="J44" t="s">
        <v>407</v>
      </c>
      <c r="K44" t="s">
        <v>408</v>
      </c>
      <c r="L44">
        <v>1327</v>
      </c>
      <c r="N44">
        <v>1005</v>
      </c>
      <c r="O44" t="s">
        <v>132</v>
      </c>
      <c r="P44" t="s">
        <v>132</v>
      </c>
      <c r="Q44">
        <v>1</v>
      </c>
      <c r="X44">
        <v>0.8</v>
      </c>
      <c r="Y44">
        <v>338.51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0.8</v>
      </c>
      <c r="AH44">
        <v>2</v>
      </c>
      <c r="AI44">
        <v>75701182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ROW(Source!A82)</f>
        <v>82</v>
      </c>
      <c r="B45">
        <v>75702339</v>
      </c>
      <c r="C45">
        <v>75701178</v>
      </c>
      <c r="D45">
        <v>75390952</v>
      </c>
      <c r="E45">
        <v>1</v>
      </c>
      <c r="F45">
        <v>1</v>
      </c>
      <c r="G45">
        <v>39</v>
      </c>
      <c r="H45">
        <v>3</v>
      </c>
      <c r="I45" t="s">
        <v>409</v>
      </c>
      <c r="J45" t="s">
        <v>410</v>
      </c>
      <c r="K45" t="s">
        <v>411</v>
      </c>
      <c r="L45">
        <v>1348</v>
      </c>
      <c r="N45">
        <v>1009</v>
      </c>
      <c r="O45" t="s">
        <v>68</v>
      </c>
      <c r="P45" t="s">
        <v>68</v>
      </c>
      <c r="Q45">
        <v>1000</v>
      </c>
      <c r="X45">
        <v>5.0999999999999997E-2</v>
      </c>
      <c r="Y45">
        <v>76204.789999999994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5.0999999999999997E-2</v>
      </c>
      <c r="AH45">
        <v>2</v>
      </c>
      <c r="AI45">
        <v>75701183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ROW(Source!A82)</f>
        <v>82</v>
      </c>
      <c r="B46">
        <v>75702340</v>
      </c>
      <c r="C46">
        <v>75701178</v>
      </c>
      <c r="D46">
        <v>75389193</v>
      </c>
      <c r="E46">
        <v>1</v>
      </c>
      <c r="F46">
        <v>1</v>
      </c>
      <c r="G46">
        <v>39</v>
      </c>
      <c r="H46">
        <v>3</v>
      </c>
      <c r="I46" t="s">
        <v>412</v>
      </c>
      <c r="J46" t="s">
        <v>413</v>
      </c>
      <c r="K46" t="s">
        <v>414</v>
      </c>
      <c r="L46">
        <v>1346</v>
      </c>
      <c r="N46">
        <v>1009</v>
      </c>
      <c r="O46" t="s">
        <v>63</v>
      </c>
      <c r="P46" t="s">
        <v>63</v>
      </c>
      <c r="Q46">
        <v>1</v>
      </c>
      <c r="X46">
        <v>24.2</v>
      </c>
      <c r="Y46">
        <v>215.72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24.2</v>
      </c>
      <c r="AH46">
        <v>2</v>
      </c>
      <c r="AI46">
        <v>75701184</v>
      </c>
      <c r="AJ46">
        <v>49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ROW(Source!A82)</f>
        <v>82</v>
      </c>
      <c r="B47">
        <v>75702341</v>
      </c>
      <c r="C47">
        <v>75701178</v>
      </c>
      <c r="D47">
        <v>75389195</v>
      </c>
      <c r="E47">
        <v>1</v>
      </c>
      <c r="F47">
        <v>1</v>
      </c>
      <c r="G47">
        <v>39</v>
      </c>
      <c r="H47">
        <v>3</v>
      </c>
      <c r="I47" t="s">
        <v>415</v>
      </c>
      <c r="J47" t="s">
        <v>416</v>
      </c>
      <c r="K47" t="s">
        <v>417</v>
      </c>
      <c r="L47">
        <v>1346</v>
      </c>
      <c r="N47">
        <v>1009</v>
      </c>
      <c r="O47" t="s">
        <v>63</v>
      </c>
      <c r="P47" t="s">
        <v>63</v>
      </c>
      <c r="Q47">
        <v>1</v>
      </c>
      <c r="X47">
        <v>10.4</v>
      </c>
      <c r="Y47">
        <v>80.599999999999994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10.4</v>
      </c>
      <c r="AH47">
        <v>2</v>
      </c>
      <c r="AI47">
        <v>75701185</v>
      </c>
      <c r="AJ47">
        <v>50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ROW(Source!A119)</f>
        <v>119</v>
      </c>
      <c r="B48">
        <v>75702342</v>
      </c>
      <c r="C48">
        <v>75701251</v>
      </c>
      <c r="D48">
        <v>75386788</v>
      </c>
      <c r="E48">
        <v>39</v>
      </c>
      <c r="F48">
        <v>1</v>
      </c>
      <c r="G48">
        <v>39</v>
      </c>
      <c r="H48">
        <v>1</v>
      </c>
      <c r="I48" t="s">
        <v>332</v>
      </c>
      <c r="J48" t="s">
        <v>3</v>
      </c>
      <c r="K48" t="s">
        <v>333</v>
      </c>
      <c r="L48">
        <v>1191</v>
      </c>
      <c r="N48">
        <v>1013</v>
      </c>
      <c r="O48" t="s">
        <v>334</v>
      </c>
      <c r="P48" t="s">
        <v>334</v>
      </c>
      <c r="Q48">
        <v>1</v>
      </c>
      <c r="X48">
        <v>60.8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3</v>
      </c>
      <c r="AG48">
        <v>60.8</v>
      </c>
      <c r="AH48">
        <v>2</v>
      </c>
      <c r="AI48">
        <v>75701252</v>
      </c>
      <c r="AJ48">
        <v>51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ROW(Source!A119)</f>
        <v>119</v>
      </c>
      <c r="B49">
        <v>75702343</v>
      </c>
      <c r="C49">
        <v>75701251</v>
      </c>
      <c r="D49">
        <v>75386789</v>
      </c>
      <c r="E49">
        <v>39</v>
      </c>
      <c r="F49">
        <v>1</v>
      </c>
      <c r="G49">
        <v>39</v>
      </c>
      <c r="H49">
        <v>3</v>
      </c>
      <c r="I49" t="s">
        <v>339</v>
      </c>
      <c r="J49" t="s">
        <v>3</v>
      </c>
      <c r="K49" t="s">
        <v>340</v>
      </c>
      <c r="L49">
        <v>1348</v>
      </c>
      <c r="N49">
        <v>1009</v>
      </c>
      <c r="O49" t="s">
        <v>68</v>
      </c>
      <c r="P49" t="s">
        <v>68</v>
      </c>
      <c r="Q49">
        <v>1000</v>
      </c>
      <c r="X49">
        <v>1.66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1.66</v>
      </c>
      <c r="AH49">
        <v>2</v>
      </c>
      <c r="AI49">
        <v>75701253</v>
      </c>
      <c r="AJ49">
        <v>52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ROW(Source!A120)</f>
        <v>120</v>
      </c>
      <c r="B50">
        <v>75702344</v>
      </c>
      <c r="C50">
        <v>75701256</v>
      </c>
      <c r="D50">
        <v>75386788</v>
      </c>
      <c r="E50">
        <v>39</v>
      </c>
      <c r="F50">
        <v>1</v>
      </c>
      <c r="G50">
        <v>39</v>
      </c>
      <c r="H50">
        <v>1</v>
      </c>
      <c r="I50" t="s">
        <v>332</v>
      </c>
      <c r="J50" t="s">
        <v>3</v>
      </c>
      <c r="K50" t="s">
        <v>333</v>
      </c>
      <c r="L50">
        <v>1191</v>
      </c>
      <c r="N50">
        <v>1013</v>
      </c>
      <c r="O50" t="s">
        <v>334</v>
      </c>
      <c r="P50" t="s">
        <v>334</v>
      </c>
      <c r="Q50">
        <v>1</v>
      </c>
      <c r="X50">
        <v>77.86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161</v>
      </c>
      <c r="AG50">
        <v>15.572000000000001</v>
      </c>
      <c r="AH50">
        <v>2</v>
      </c>
      <c r="AI50">
        <v>75701257</v>
      </c>
      <c r="AJ50">
        <v>53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ROW(Source!A120)</f>
        <v>120</v>
      </c>
      <c r="B51">
        <v>75702345</v>
      </c>
      <c r="C51">
        <v>75701256</v>
      </c>
      <c r="D51">
        <v>75389672</v>
      </c>
      <c r="E51">
        <v>1</v>
      </c>
      <c r="F51">
        <v>1</v>
      </c>
      <c r="G51">
        <v>39</v>
      </c>
      <c r="H51">
        <v>3</v>
      </c>
      <c r="I51" t="s">
        <v>381</v>
      </c>
      <c r="J51" t="s">
        <v>382</v>
      </c>
      <c r="K51" t="s">
        <v>383</v>
      </c>
      <c r="L51">
        <v>1348</v>
      </c>
      <c r="N51">
        <v>1009</v>
      </c>
      <c r="O51" t="s">
        <v>68</v>
      </c>
      <c r="P51" t="s">
        <v>68</v>
      </c>
      <c r="Q51">
        <v>1000</v>
      </c>
      <c r="X51">
        <v>1.2E-2</v>
      </c>
      <c r="Y51">
        <v>95976.83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160</v>
      </c>
      <c r="AG51">
        <v>0</v>
      </c>
      <c r="AH51">
        <v>2</v>
      </c>
      <c r="AI51">
        <v>75701258</v>
      </c>
      <c r="AJ51">
        <v>54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ROW(Source!A120)</f>
        <v>120</v>
      </c>
      <c r="B52">
        <v>75702346</v>
      </c>
      <c r="C52">
        <v>75701256</v>
      </c>
      <c r="D52">
        <v>75389710</v>
      </c>
      <c r="E52">
        <v>1</v>
      </c>
      <c r="F52">
        <v>1</v>
      </c>
      <c r="G52">
        <v>39</v>
      </c>
      <c r="H52">
        <v>3</v>
      </c>
      <c r="I52" t="s">
        <v>418</v>
      </c>
      <c r="J52" t="s">
        <v>419</v>
      </c>
      <c r="K52" t="s">
        <v>420</v>
      </c>
      <c r="L52">
        <v>1348</v>
      </c>
      <c r="N52">
        <v>1009</v>
      </c>
      <c r="O52" t="s">
        <v>68</v>
      </c>
      <c r="P52" t="s">
        <v>68</v>
      </c>
      <c r="Q52">
        <v>1000</v>
      </c>
      <c r="X52">
        <v>3.5000000000000003E-2</v>
      </c>
      <c r="Y52">
        <v>87313.75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160</v>
      </c>
      <c r="AG52">
        <v>0</v>
      </c>
      <c r="AH52">
        <v>2</v>
      </c>
      <c r="AI52">
        <v>75701259</v>
      </c>
      <c r="AJ52">
        <v>55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ROW(Source!A120)</f>
        <v>120</v>
      </c>
      <c r="B53">
        <v>75702347</v>
      </c>
      <c r="C53">
        <v>75701256</v>
      </c>
      <c r="D53">
        <v>75393920</v>
      </c>
      <c r="E53">
        <v>1</v>
      </c>
      <c r="F53">
        <v>1</v>
      </c>
      <c r="G53">
        <v>39</v>
      </c>
      <c r="H53">
        <v>3</v>
      </c>
      <c r="I53" t="s">
        <v>421</v>
      </c>
      <c r="J53" t="s">
        <v>422</v>
      </c>
      <c r="K53" t="s">
        <v>423</v>
      </c>
      <c r="L53">
        <v>1301</v>
      </c>
      <c r="N53">
        <v>1003</v>
      </c>
      <c r="O53" t="s">
        <v>49</v>
      </c>
      <c r="P53" t="s">
        <v>49</v>
      </c>
      <c r="Q53">
        <v>1</v>
      </c>
      <c r="X53">
        <v>400</v>
      </c>
      <c r="Y53">
        <v>27.14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160</v>
      </c>
      <c r="AG53">
        <v>0</v>
      </c>
      <c r="AH53">
        <v>2</v>
      </c>
      <c r="AI53">
        <v>75701260</v>
      </c>
      <c r="AJ53">
        <v>56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ROW(Source!A121)</f>
        <v>121</v>
      </c>
      <c r="B54">
        <v>75702348</v>
      </c>
      <c r="C54">
        <v>75701265</v>
      </c>
      <c r="D54">
        <v>75386788</v>
      </c>
      <c r="E54">
        <v>39</v>
      </c>
      <c r="F54">
        <v>1</v>
      </c>
      <c r="G54">
        <v>39</v>
      </c>
      <c r="H54">
        <v>1</v>
      </c>
      <c r="I54" t="s">
        <v>332</v>
      </c>
      <c r="J54" t="s">
        <v>3</v>
      </c>
      <c r="K54" t="s">
        <v>333</v>
      </c>
      <c r="L54">
        <v>1191</v>
      </c>
      <c r="N54">
        <v>1013</v>
      </c>
      <c r="O54" t="s">
        <v>334</v>
      </c>
      <c r="P54" t="s">
        <v>334</v>
      </c>
      <c r="Q54">
        <v>1</v>
      </c>
      <c r="X54">
        <v>2.2400000000000002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2.2400000000000002</v>
      </c>
      <c r="AH54">
        <v>2</v>
      </c>
      <c r="AI54">
        <v>75701266</v>
      </c>
      <c r="AJ54">
        <v>57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ROW(Source!A121)</f>
        <v>121</v>
      </c>
      <c r="B55">
        <v>75702349</v>
      </c>
      <c r="C55">
        <v>75701265</v>
      </c>
      <c r="D55">
        <v>75388585</v>
      </c>
      <c r="E55">
        <v>1</v>
      </c>
      <c r="F55">
        <v>1</v>
      </c>
      <c r="G55">
        <v>39</v>
      </c>
      <c r="H55">
        <v>2</v>
      </c>
      <c r="I55" t="s">
        <v>384</v>
      </c>
      <c r="J55" t="s">
        <v>385</v>
      </c>
      <c r="K55" t="s">
        <v>386</v>
      </c>
      <c r="L55">
        <v>1368</v>
      </c>
      <c r="N55">
        <v>1011</v>
      </c>
      <c r="O55" t="s">
        <v>338</v>
      </c>
      <c r="P55" t="s">
        <v>338</v>
      </c>
      <c r="Q55">
        <v>1</v>
      </c>
      <c r="X55">
        <v>0.02</v>
      </c>
      <c r="Y55">
        <v>0</v>
      </c>
      <c r="Z55">
        <v>6.13</v>
      </c>
      <c r="AA55">
        <v>1.91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0.02</v>
      </c>
      <c r="AH55">
        <v>2</v>
      </c>
      <c r="AI55">
        <v>75701267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ROW(Source!A121)</f>
        <v>121</v>
      </c>
      <c r="B56">
        <v>75702350</v>
      </c>
      <c r="C56">
        <v>75701265</v>
      </c>
      <c r="D56">
        <v>75389751</v>
      </c>
      <c r="E56">
        <v>1</v>
      </c>
      <c r="F56">
        <v>1</v>
      </c>
      <c r="G56">
        <v>39</v>
      </c>
      <c r="H56">
        <v>3</v>
      </c>
      <c r="I56" t="s">
        <v>424</v>
      </c>
      <c r="J56" t="s">
        <v>425</v>
      </c>
      <c r="K56" t="s">
        <v>426</v>
      </c>
      <c r="L56">
        <v>1348</v>
      </c>
      <c r="N56">
        <v>1009</v>
      </c>
      <c r="O56" t="s">
        <v>68</v>
      </c>
      <c r="P56" t="s">
        <v>68</v>
      </c>
      <c r="Q56">
        <v>1000</v>
      </c>
      <c r="X56">
        <v>6.9999999999999994E-5</v>
      </c>
      <c r="Y56">
        <v>239140.75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6.9999999999999994E-5</v>
      </c>
      <c r="AH56">
        <v>2</v>
      </c>
      <c r="AI56">
        <v>75701268</v>
      </c>
      <c r="AJ56">
        <v>59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ROW(Source!A121)</f>
        <v>121</v>
      </c>
      <c r="B57">
        <v>75702351</v>
      </c>
      <c r="C57">
        <v>75701265</v>
      </c>
      <c r="D57">
        <v>75389824</v>
      </c>
      <c r="E57">
        <v>1</v>
      </c>
      <c r="F57">
        <v>1</v>
      </c>
      <c r="G57">
        <v>39</v>
      </c>
      <c r="H57">
        <v>3</v>
      </c>
      <c r="I57" t="s">
        <v>427</v>
      </c>
      <c r="J57" t="s">
        <v>428</v>
      </c>
      <c r="K57" t="s">
        <v>429</v>
      </c>
      <c r="L57">
        <v>1354</v>
      </c>
      <c r="N57">
        <v>1010</v>
      </c>
      <c r="O57" t="s">
        <v>171</v>
      </c>
      <c r="P57" t="s">
        <v>171</v>
      </c>
      <c r="Q57">
        <v>1</v>
      </c>
      <c r="X57">
        <v>0.04</v>
      </c>
      <c r="Y57">
        <v>2.31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0.04</v>
      </c>
      <c r="AH57">
        <v>2</v>
      </c>
      <c r="AI57">
        <v>75701269</v>
      </c>
      <c r="AJ57">
        <v>60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ROW(Source!A121)</f>
        <v>121</v>
      </c>
      <c r="B58">
        <v>75702352</v>
      </c>
      <c r="C58">
        <v>75701265</v>
      </c>
      <c r="D58">
        <v>75389710</v>
      </c>
      <c r="E58">
        <v>1</v>
      </c>
      <c r="F58">
        <v>1</v>
      </c>
      <c r="G58">
        <v>39</v>
      </c>
      <c r="H58">
        <v>3</v>
      </c>
      <c r="I58" t="s">
        <v>418</v>
      </c>
      <c r="J58" t="s">
        <v>419</v>
      </c>
      <c r="K58" t="s">
        <v>420</v>
      </c>
      <c r="L58">
        <v>1348</v>
      </c>
      <c r="N58">
        <v>1009</v>
      </c>
      <c r="O58" t="s">
        <v>68</v>
      </c>
      <c r="P58" t="s">
        <v>68</v>
      </c>
      <c r="Q58">
        <v>1000</v>
      </c>
      <c r="X58">
        <v>3.6000000000000002E-4</v>
      </c>
      <c r="Y58">
        <v>87313.75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3.6000000000000002E-4</v>
      </c>
      <c r="AH58">
        <v>2</v>
      </c>
      <c r="AI58">
        <v>75701270</v>
      </c>
      <c r="AJ58">
        <v>61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ROW(Source!A121)</f>
        <v>121</v>
      </c>
      <c r="B59">
        <v>75702353</v>
      </c>
      <c r="C59">
        <v>75701265</v>
      </c>
      <c r="D59">
        <v>75390591</v>
      </c>
      <c r="E59">
        <v>1</v>
      </c>
      <c r="F59">
        <v>1</v>
      </c>
      <c r="G59">
        <v>39</v>
      </c>
      <c r="H59">
        <v>3</v>
      </c>
      <c r="I59" t="s">
        <v>430</v>
      </c>
      <c r="J59" t="s">
        <v>431</v>
      </c>
      <c r="K59" t="s">
        <v>432</v>
      </c>
      <c r="L59">
        <v>1346</v>
      </c>
      <c r="N59">
        <v>1009</v>
      </c>
      <c r="O59" t="s">
        <v>63</v>
      </c>
      <c r="P59" t="s">
        <v>63</v>
      </c>
      <c r="Q59">
        <v>1</v>
      </c>
      <c r="X59">
        <v>0.03</v>
      </c>
      <c r="Y59">
        <v>656.56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0.03</v>
      </c>
      <c r="AH59">
        <v>2</v>
      </c>
      <c r="AI59">
        <v>75701271</v>
      </c>
      <c r="AJ59">
        <v>62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ROW(Source!A121)</f>
        <v>121</v>
      </c>
      <c r="B60">
        <v>75702354</v>
      </c>
      <c r="C60">
        <v>75701265</v>
      </c>
      <c r="D60">
        <v>75390621</v>
      </c>
      <c r="E60">
        <v>1</v>
      </c>
      <c r="F60">
        <v>1</v>
      </c>
      <c r="G60">
        <v>39</v>
      </c>
      <c r="H60">
        <v>3</v>
      </c>
      <c r="I60" t="s">
        <v>433</v>
      </c>
      <c r="J60" t="s">
        <v>434</v>
      </c>
      <c r="K60" t="s">
        <v>435</v>
      </c>
      <c r="L60">
        <v>1348</v>
      </c>
      <c r="N60">
        <v>1009</v>
      </c>
      <c r="O60" t="s">
        <v>68</v>
      </c>
      <c r="P60" t="s">
        <v>68</v>
      </c>
      <c r="Q60">
        <v>1000</v>
      </c>
      <c r="X60">
        <v>2.0000000000000001E-4</v>
      </c>
      <c r="Y60">
        <v>58866.75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2.0000000000000001E-4</v>
      </c>
      <c r="AH60">
        <v>2</v>
      </c>
      <c r="AI60">
        <v>75701272</v>
      </c>
      <c r="AJ60">
        <v>63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ROW(Source!A121)</f>
        <v>121</v>
      </c>
      <c r="B61">
        <v>75702355</v>
      </c>
      <c r="C61">
        <v>75701265</v>
      </c>
      <c r="D61">
        <v>75389029</v>
      </c>
      <c r="E61">
        <v>1</v>
      </c>
      <c r="F61">
        <v>1</v>
      </c>
      <c r="G61">
        <v>39</v>
      </c>
      <c r="H61">
        <v>3</v>
      </c>
      <c r="I61" t="s">
        <v>436</v>
      </c>
      <c r="J61" t="s">
        <v>437</v>
      </c>
      <c r="K61" t="s">
        <v>438</v>
      </c>
      <c r="L61">
        <v>1348</v>
      </c>
      <c r="N61">
        <v>1009</v>
      </c>
      <c r="O61" t="s">
        <v>68</v>
      </c>
      <c r="P61" t="s">
        <v>68</v>
      </c>
      <c r="Q61">
        <v>1000</v>
      </c>
      <c r="X61">
        <v>3.8000000000000002E-4</v>
      </c>
      <c r="Y61">
        <v>91558.65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3.8000000000000002E-4</v>
      </c>
      <c r="AH61">
        <v>2</v>
      </c>
      <c r="AI61">
        <v>75701273</v>
      </c>
      <c r="AJ61">
        <v>64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ROW(Source!A121)</f>
        <v>121</v>
      </c>
      <c r="B62">
        <v>75702356</v>
      </c>
      <c r="C62">
        <v>75701265</v>
      </c>
      <c r="D62">
        <v>75389070</v>
      </c>
      <c r="E62">
        <v>1</v>
      </c>
      <c r="F62">
        <v>1</v>
      </c>
      <c r="G62">
        <v>39</v>
      </c>
      <c r="H62">
        <v>3</v>
      </c>
      <c r="I62" t="s">
        <v>439</v>
      </c>
      <c r="J62" t="s">
        <v>440</v>
      </c>
      <c r="K62" t="s">
        <v>441</v>
      </c>
      <c r="L62">
        <v>1346</v>
      </c>
      <c r="N62">
        <v>1009</v>
      </c>
      <c r="O62" t="s">
        <v>63</v>
      </c>
      <c r="P62" t="s">
        <v>63</v>
      </c>
      <c r="Q62">
        <v>1</v>
      </c>
      <c r="X62">
        <v>0.04</v>
      </c>
      <c r="Y62">
        <v>99.65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0.04</v>
      </c>
      <c r="AH62">
        <v>2</v>
      </c>
      <c r="AI62">
        <v>75701274</v>
      </c>
      <c r="AJ62">
        <v>65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ROW(Source!A121)</f>
        <v>121</v>
      </c>
      <c r="B63">
        <v>75702357</v>
      </c>
      <c r="C63">
        <v>75701265</v>
      </c>
      <c r="D63">
        <v>75396250</v>
      </c>
      <c r="E63">
        <v>1</v>
      </c>
      <c r="F63">
        <v>1</v>
      </c>
      <c r="G63">
        <v>39</v>
      </c>
      <c r="H63">
        <v>3</v>
      </c>
      <c r="I63" t="s">
        <v>179</v>
      </c>
      <c r="J63" t="s">
        <v>181</v>
      </c>
      <c r="K63" t="s">
        <v>180</v>
      </c>
      <c r="L63">
        <v>1354</v>
      </c>
      <c r="N63">
        <v>1010</v>
      </c>
      <c r="O63" t="s">
        <v>171</v>
      </c>
      <c r="P63" t="s">
        <v>171</v>
      </c>
      <c r="Q63">
        <v>1</v>
      </c>
      <c r="X63">
        <v>1</v>
      </c>
      <c r="Y63">
        <v>1624.55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1</v>
      </c>
      <c r="AH63">
        <v>2</v>
      </c>
      <c r="AI63">
        <v>75701297</v>
      </c>
      <c r="AJ63">
        <v>66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ROW(Source!A121)</f>
        <v>121</v>
      </c>
      <c r="B64">
        <v>75702358</v>
      </c>
      <c r="C64">
        <v>75701265</v>
      </c>
      <c r="D64">
        <v>75396306</v>
      </c>
      <c r="E64">
        <v>1</v>
      </c>
      <c r="F64">
        <v>1</v>
      </c>
      <c r="G64">
        <v>39</v>
      </c>
      <c r="H64">
        <v>3</v>
      </c>
      <c r="I64" t="s">
        <v>442</v>
      </c>
      <c r="J64" t="s">
        <v>443</v>
      </c>
      <c r="K64" t="s">
        <v>444</v>
      </c>
      <c r="L64">
        <v>1354</v>
      </c>
      <c r="N64">
        <v>1010</v>
      </c>
      <c r="O64" t="s">
        <v>171</v>
      </c>
      <c r="P64" t="s">
        <v>171</v>
      </c>
      <c r="Q64">
        <v>1</v>
      </c>
      <c r="X64">
        <v>2</v>
      </c>
      <c r="Y64">
        <v>271.39999999999998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</v>
      </c>
      <c r="AH64">
        <v>2</v>
      </c>
      <c r="AI64">
        <v>75701275</v>
      </c>
      <c r="AJ64">
        <v>67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ROW(Source!A121)</f>
        <v>121</v>
      </c>
      <c r="B65">
        <v>75702359</v>
      </c>
      <c r="C65">
        <v>75701265</v>
      </c>
      <c r="D65">
        <v>75396309</v>
      </c>
      <c r="E65">
        <v>1</v>
      </c>
      <c r="F65">
        <v>1</v>
      </c>
      <c r="G65">
        <v>39</v>
      </c>
      <c r="H65">
        <v>3</v>
      </c>
      <c r="I65" t="s">
        <v>445</v>
      </c>
      <c r="J65" t="s">
        <v>446</v>
      </c>
      <c r="K65" t="s">
        <v>447</v>
      </c>
      <c r="L65">
        <v>1354</v>
      </c>
      <c r="N65">
        <v>1010</v>
      </c>
      <c r="O65" t="s">
        <v>171</v>
      </c>
      <c r="P65" t="s">
        <v>171</v>
      </c>
      <c r="Q65">
        <v>1</v>
      </c>
      <c r="X65">
        <v>1</v>
      </c>
      <c r="Y65">
        <v>603.87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</v>
      </c>
      <c r="AH65">
        <v>2</v>
      </c>
      <c r="AI65">
        <v>75701276</v>
      </c>
      <c r="AJ65">
        <v>68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ROW(Source!A121)</f>
        <v>121</v>
      </c>
      <c r="B66">
        <v>75702360</v>
      </c>
      <c r="C66">
        <v>75701265</v>
      </c>
      <c r="D66">
        <v>75396313</v>
      </c>
      <c r="E66">
        <v>1</v>
      </c>
      <c r="F66">
        <v>1</v>
      </c>
      <c r="G66">
        <v>39</v>
      </c>
      <c r="H66">
        <v>3</v>
      </c>
      <c r="I66" t="s">
        <v>169</v>
      </c>
      <c r="J66" t="s">
        <v>172</v>
      </c>
      <c r="K66" t="s">
        <v>170</v>
      </c>
      <c r="L66">
        <v>1354</v>
      </c>
      <c r="N66">
        <v>1010</v>
      </c>
      <c r="O66" t="s">
        <v>171</v>
      </c>
      <c r="P66" t="s">
        <v>171</v>
      </c>
      <c r="Q66">
        <v>1</v>
      </c>
      <c r="X66">
        <v>1</v>
      </c>
      <c r="Y66">
        <v>5025.26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</v>
      </c>
      <c r="AH66">
        <v>2</v>
      </c>
      <c r="AI66">
        <v>75701291</v>
      </c>
      <c r="AJ66">
        <v>69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ROW(Source!A126)</f>
        <v>126</v>
      </c>
      <c r="B67">
        <v>75702361</v>
      </c>
      <c r="C67">
        <v>75701298</v>
      </c>
      <c r="D67">
        <v>75386788</v>
      </c>
      <c r="E67">
        <v>39</v>
      </c>
      <c r="F67">
        <v>1</v>
      </c>
      <c r="G67">
        <v>39</v>
      </c>
      <c r="H67">
        <v>1</v>
      </c>
      <c r="I67" t="s">
        <v>332</v>
      </c>
      <c r="J67" t="s">
        <v>3</v>
      </c>
      <c r="K67" t="s">
        <v>333</v>
      </c>
      <c r="L67">
        <v>1191</v>
      </c>
      <c r="N67">
        <v>1013</v>
      </c>
      <c r="O67" t="s">
        <v>334</v>
      </c>
      <c r="P67" t="s">
        <v>334</v>
      </c>
      <c r="Q67">
        <v>1</v>
      </c>
      <c r="X67">
        <v>77.86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77.86</v>
      </c>
      <c r="AH67">
        <v>2</v>
      </c>
      <c r="AI67">
        <v>75701299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ROW(Source!A126)</f>
        <v>126</v>
      </c>
      <c r="B68">
        <v>75702362</v>
      </c>
      <c r="C68">
        <v>75701298</v>
      </c>
      <c r="D68">
        <v>75389672</v>
      </c>
      <c r="E68">
        <v>1</v>
      </c>
      <c r="F68">
        <v>1</v>
      </c>
      <c r="G68">
        <v>39</v>
      </c>
      <c r="H68">
        <v>3</v>
      </c>
      <c r="I68" t="s">
        <v>381</v>
      </c>
      <c r="J68" t="s">
        <v>382</v>
      </c>
      <c r="K68" t="s">
        <v>383</v>
      </c>
      <c r="L68">
        <v>1348</v>
      </c>
      <c r="N68">
        <v>1009</v>
      </c>
      <c r="O68" t="s">
        <v>68</v>
      </c>
      <c r="P68" t="s">
        <v>68</v>
      </c>
      <c r="Q68">
        <v>1000</v>
      </c>
      <c r="X68">
        <v>1.2E-2</v>
      </c>
      <c r="Y68">
        <v>95976.83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1.2E-2</v>
      </c>
      <c r="AH68">
        <v>2</v>
      </c>
      <c r="AI68">
        <v>75701300</v>
      </c>
      <c r="AJ68">
        <v>73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ROW(Source!A126)</f>
        <v>126</v>
      </c>
      <c r="B69">
        <v>75702363</v>
      </c>
      <c r="C69">
        <v>75701298</v>
      </c>
      <c r="D69">
        <v>75389710</v>
      </c>
      <c r="E69">
        <v>1</v>
      </c>
      <c r="F69">
        <v>1</v>
      </c>
      <c r="G69">
        <v>39</v>
      </c>
      <c r="H69">
        <v>3</v>
      </c>
      <c r="I69" t="s">
        <v>418</v>
      </c>
      <c r="J69" t="s">
        <v>419</v>
      </c>
      <c r="K69" t="s">
        <v>420</v>
      </c>
      <c r="L69">
        <v>1348</v>
      </c>
      <c r="N69">
        <v>1009</v>
      </c>
      <c r="O69" t="s">
        <v>68</v>
      </c>
      <c r="P69" t="s">
        <v>68</v>
      </c>
      <c r="Q69">
        <v>1000</v>
      </c>
      <c r="X69">
        <v>3.5000000000000003E-2</v>
      </c>
      <c r="Y69">
        <v>87313.75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3.5000000000000003E-2</v>
      </c>
      <c r="AH69">
        <v>2</v>
      </c>
      <c r="AI69">
        <v>75701301</v>
      </c>
      <c r="AJ69">
        <v>74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ROW(Source!A126)</f>
        <v>126</v>
      </c>
      <c r="B70">
        <v>75702364</v>
      </c>
      <c r="C70">
        <v>75701298</v>
      </c>
      <c r="D70">
        <v>75393920</v>
      </c>
      <c r="E70">
        <v>1</v>
      </c>
      <c r="F70">
        <v>1</v>
      </c>
      <c r="G70">
        <v>39</v>
      </c>
      <c r="H70">
        <v>3</v>
      </c>
      <c r="I70" t="s">
        <v>421</v>
      </c>
      <c r="J70" t="s">
        <v>422</v>
      </c>
      <c r="K70" t="s">
        <v>423</v>
      </c>
      <c r="L70">
        <v>1301</v>
      </c>
      <c r="N70">
        <v>1003</v>
      </c>
      <c r="O70" t="s">
        <v>49</v>
      </c>
      <c r="P70" t="s">
        <v>49</v>
      </c>
      <c r="Q70">
        <v>1</v>
      </c>
      <c r="X70">
        <v>400</v>
      </c>
      <c r="Y70">
        <v>27.14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400</v>
      </c>
      <c r="AH70">
        <v>2</v>
      </c>
      <c r="AI70">
        <v>75701302</v>
      </c>
      <c r="AJ70">
        <v>75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ROW(Source!A128)</f>
        <v>128</v>
      </c>
      <c r="B71">
        <v>75702365</v>
      </c>
      <c r="C71">
        <v>75701309</v>
      </c>
      <c r="D71">
        <v>75386788</v>
      </c>
      <c r="E71">
        <v>39</v>
      </c>
      <c r="F71">
        <v>1</v>
      </c>
      <c r="G71">
        <v>39</v>
      </c>
      <c r="H71">
        <v>1</v>
      </c>
      <c r="I71" t="s">
        <v>332</v>
      </c>
      <c r="J71" t="s">
        <v>3</v>
      </c>
      <c r="K71" t="s">
        <v>333</v>
      </c>
      <c r="L71">
        <v>1191</v>
      </c>
      <c r="N71">
        <v>1013</v>
      </c>
      <c r="O71" t="s">
        <v>334</v>
      </c>
      <c r="P71" t="s">
        <v>334</v>
      </c>
      <c r="Q71">
        <v>1</v>
      </c>
      <c r="X71">
        <v>38.76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38.76</v>
      </c>
      <c r="AH71">
        <v>2</v>
      </c>
      <c r="AI71">
        <v>75701310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ROW(Source!A128)</f>
        <v>128</v>
      </c>
      <c r="B72">
        <v>75702366</v>
      </c>
      <c r="C72">
        <v>75701309</v>
      </c>
      <c r="D72">
        <v>75394576</v>
      </c>
      <c r="E72">
        <v>1</v>
      </c>
      <c r="F72">
        <v>1</v>
      </c>
      <c r="G72">
        <v>39</v>
      </c>
      <c r="H72">
        <v>3</v>
      </c>
      <c r="I72" t="s">
        <v>448</v>
      </c>
      <c r="J72" t="s">
        <v>449</v>
      </c>
      <c r="K72" t="s">
        <v>450</v>
      </c>
      <c r="L72">
        <v>1035</v>
      </c>
      <c r="N72">
        <v>1013</v>
      </c>
      <c r="O72" t="s">
        <v>166</v>
      </c>
      <c r="P72" t="s">
        <v>166</v>
      </c>
      <c r="Q72">
        <v>1</v>
      </c>
      <c r="X72">
        <v>200</v>
      </c>
      <c r="Y72">
        <v>132.30000000000001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200</v>
      </c>
      <c r="AH72">
        <v>2</v>
      </c>
      <c r="AI72">
        <v>75701311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ROW(Source!A129)</f>
        <v>129</v>
      </c>
      <c r="B73">
        <v>75702367</v>
      </c>
      <c r="C73">
        <v>75701314</v>
      </c>
      <c r="D73">
        <v>75386788</v>
      </c>
      <c r="E73">
        <v>39</v>
      </c>
      <c r="F73">
        <v>1</v>
      </c>
      <c r="G73">
        <v>39</v>
      </c>
      <c r="H73">
        <v>1</v>
      </c>
      <c r="I73" t="s">
        <v>332</v>
      </c>
      <c r="J73" t="s">
        <v>3</v>
      </c>
      <c r="K73" t="s">
        <v>333</v>
      </c>
      <c r="L73">
        <v>1191</v>
      </c>
      <c r="N73">
        <v>1013</v>
      </c>
      <c r="O73" t="s">
        <v>334</v>
      </c>
      <c r="P73" t="s">
        <v>334</v>
      </c>
      <c r="Q73">
        <v>1</v>
      </c>
      <c r="X73">
        <v>1.21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1.21</v>
      </c>
      <c r="AH73">
        <v>2</v>
      </c>
      <c r="AI73">
        <v>75701315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ROW(Source!A130)</f>
        <v>130</v>
      </c>
      <c r="B74">
        <v>75702368</v>
      </c>
      <c r="C74">
        <v>75701317</v>
      </c>
      <c r="D74">
        <v>75386788</v>
      </c>
      <c r="E74">
        <v>39</v>
      </c>
      <c r="F74">
        <v>1</v>
      </c>
      <c r="G74">
        <v>39</v>
      </c>
      <c r="H74">
        <v>1</v>
      </c>
      <c r="I74" t="s">
        <v>332</v>
      </c>
      <c r="J74" t="s">
        <v>3</v>
      </c>
      <c r="K74" t="s">
        <v>333</v>
      </c>
      <c r="L74">
        <v>1191</v>
      </c>
      <c r="N74">
        <v>1013</v>
      </c>
      <c r="O74" t="s">
        <v>334</v>
      </c>
      <c r="P74" t="s">
        <v>334</v>
      </c>
      <c r="Q74">
        <v>1</v>
      </c>
      <c r="X74">
        <v>1.72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3</v>
      </c>
      <c r="AG74">
        <v>1.72</v>
      </c>
      <c r="AH74">
        <v>2</v>
      </c>
      <c r="AI74">
        <v>75701318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ROW(Source!A130)</f>
        <v>130</v>
      </c>
      <c r="B75">
        <v>75702369</v>
      </c>
      <c r="C75">
        <v>75701317</v>
      </c>
      <c r="D75">
        <v>75390591</v>
      </c>
      <c r="E75">
        <v>1</v>
      </c>
      <c r="F75">
        <v>1</v>
      </c>
      <c r="G75">
        <v>39</v>
      </c>
      <c r="H75">
        <v>3</v>
      </c>
      <c r="I75" t="s">
        <v>430</v>
      </c>
      <c r="J75" t="s">
        <v>431</v>
      </c>
      <c r="K75" t="s">
        <v>432</v>
      </c>
      <c r="L75">
        <v>1346</v>
      </c>
      <c r="N75">
        <v>1009</v>
      </c>
      <c r="O75" t="s">
        <v>63</v>
      </c>
      <c r="P75" t="s">
        <v>63</v>
      </c>
      <c r="Q75">
        <v>1</v>
      </c>
      <c r="X75">
        <v>6.3E-2</v>
      </c>
      <c r="Y75">
        <v>656.56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6.3E-2</v>
      </c>
      <c r="AH75">
        <v>2</v>
      </c>
      <c r="AI75">
        <v>75701319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ROW(Source!A130)</f>
        <v>130</v>
      </c>
      <c r="B76">
        <v>75702370</v>
      </c>
      <c r="C76">
        <v>75701317</v>
      </c>
      <c r="D76">
        <v>75389029</v>
      </c>
      <c r="E76">
        <v>1</v>
      </c>
      <c r="F76">
        <v>1</v>
      </c>
      <c r="G76">
        <v>39</v>
      </c>
      <c r="H76">
        <v>3</v>
      </c>
      <c r="I76" t="s">
        <v>436</v>
      </c>
      <c r="J76" t="s">
        <v>437</v>
      </c>
      <c r="K76" t="s">
        <v>438</v>
      </c>
      <c r="L76">
        <v>1348</v>
      </c>
      <c r="N76">
        <v>1009</v>
      </c>
      <c r="O76" t="s">
        <v>68</v>
      </c>
      <c r="P76" t="s">
        <v>68</v>
      </c>
      <c r="Q76">
        <v>1000</v>
      </c>
      <c r="X76">
        <v>1.2999999999999999E-4</v>
      </c>
      <c r="Y76">
        <v>91558.65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1.2999999999999999E-4</v>
      </c>
      <c r="AH76">
        <v>2</v>
      </c>
      <c r="AI76">
        <v>75701320</v>
      </c>
      <c r="AJ76">
        <v>83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ROW(Source!A130)</f>
        <v>130</v>
      </c>
      <c r="B77">
        <v>75702371</v>
      </c>
      <c r="C77">
        <v>75701317</v>
      </c>
      <c r="D77">
        <v>75389070</v>
      </c>
      <c r="E77">
        <v>1</v>
      </c>
      <c r="F77">
        <v>1</v>
      </c>
      <c r="G77">
        <v>39</v>
      </c>
      <c r="H77">
        <v>3</v>
      </c>
      <c r="I77" t="s">
        <v>439</v>
      </c>
      <c r="J77" t="s">
        <v>440</v>
      </c>
      <c r="K77" t="s">
        <v>441</v>
      </c>
      <c r="L77">
        <v>1346</v>
      </c>
      <c r="N77">
        <v>1009</v>
      </c>
      <c r="O77" t="s">
        <v>63</v>
      </c>
      <c r="P77" t="s">
        <v>63</v>
      </c>
      <c r="Q77">
        <v>1</v>
      </c>
      <c r="X77">
        <v>6.3E-2</v>
      </c>
      <c r="Y77">
        <v>99.65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6.3E-2</v>
      </c>
      <c r="AH77">
        <v>2</v>
      </c>
      <c r="AI77">
        <v>75701321</v>
      </c>
      <c r="AJ77">
        <v>84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ROW(Source!A167)</f>
        <v>167</v>
      </c>
      <c r="B78">
        <v>75702372</v>
      </c>
      <c r="C78">
        <v>75701384</v>
      </c>
      <c r="D78">
        <v>75386788</v>
      </c>
      <c r="E78">
        <v>39</v>
      </c>
      <c r="F78">
        <v>1</v>
      </c>
      <c r="G78">
        <v>39</v>
      </c>
      <c r="H78">
        <v>1</v>
      </c>
      <c r="I78" t="s">
        <v>332</v>
      </c>
      <c r="J78" t="s">
        <v>3</v>
      </c>
      <c r="K78" t="s">
        <v>333</v>
      </c>
      <c r="L78">
        <v>1191</v>
      </c>
      <c r="N78">
        <v>1013</v>
      </c>
      <c r="O78" t="s">
        <v>334</v>
      </c>
      <c r="P78" t="s">
        <v>334</v>
      </c>
      <c r="Q78">
        <v>1</v>
      </c>
      <c r="X78">
        <v>29.74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29.74</v>
      </c>
      <c r="AH78">
        <v>2</v>
      </c>
      <c r="AI78">
        <v>75701385</v>
      </c>
      <c r="AJ78">
        <v>85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ROW(Source!A205)</f>
        <v>205</v>
      </c>
      <c r="B79">
        <v>75702373</v>
      </c>
      <c r="C79">
        <v>75701447</v>
      </c>
      <c r="D79">
        <v>75386788</v>
      </c>
      <c r="E79">
        <v>39</v>
      </c>
      <c r="F79">
        <v>1</v>
      </c>
      <c r="G79">
        <v>39</v>
      </c>
      <c r="H79">
        <v>1</v>
      </c>
      <c r="I79" t="s">
        <v>332</v>
      </c>
      <c r="J79" t="s">
        <v>3</v>
      </c>
      <c r="K79" t="s">
        <v>333</v>
      </c>
      <c r="L79">
        <v>1191</v>
      </c>
      <c r="N79">
        <v>1013</v>
      </c>
      <c r="O79" t="s">
        <v>334</v>
      </c>
      <c r="P79" t="s">
        <v>334</v>
      </c>
      <c r="Q79">
        <v>1</v>
      </c>
      <c r="X79">
        <v>46.19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46.19</v>
      </c>
      <c r="AH79">
        <v>2</v>
      </c>
      <c r="AI79">
        <v>75701448</v>
      </c>
      <c r="AJ79">
        <v>88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ROW(Source!A205)</f>
        <v>205</v>
      </c>
      <c r="B80">
        <v>75702374</v>
      </c>
      <c r="C80">
        <v>75701447</v>
      </c>
      <c r="D80">
        <v>75388752</v>
      </c>
      <c r="E80">
        <v>1</v>
      </c>
      <c r="F80">
        <v>1</v>
      </c>
      <c r="G80">
        <v>39</v>
      </c>
      <c r="H80">
        <v>3</v>
      </c>
      <c r="I80" t="s">
        <v>451</v>
      </c>
      <c r="J80" t="s">
        <v>452</v>
      </c>
      <c r="K80" t="s">
        <v>453</v>
      </c>
      <c r="L80">
        <v>1348</v>
      </c>
      <c r="N80">
        <v>1009</v>
      </c>
      <c r="O80" t="s">
        <v>68</v>
      </c>
      <c r="P80" t="s">
        <v>68</v>
      </c>
      <c r="Q80">
        <v>1000</v>
      </c>
      <c r="X80">
        <v>0.05</v>
      </c>
      <c r="Y80">
        <v>8017.57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0.05</v>
      </c>
      <c r="AH80">
        <v>2</v>
      </c>
      <c r="AI80">
        <v>75701449</v>
      </c>
      <c r="AJ80">
        <v>89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ROW(Source!A205)</f>
        <v>205</v>
      </c>
      <c r="B81">
        <v>75702375</v>
      </c>
      <c r="C81">
        <v>75701447</v>
      </c>
      <c r="D81">
        <v>75397345</v>
      </c>
      <c r="E81">
        <v>1</v>
      </c>
      <c r="F81">
        <v>1</v>
      </c>
      <c r="G81">
        <v>39</v>
      </c>
      <c r="H81">
        <v>3</v>
      </c>
      <c r="I81" t="s">
        <v>226</v>
      </c>
      <c r="J81" t="s">
        <v>228</v>
      </c>
      <c r="K81" t="s">
        <v>227</v>
      </c>
      <c r="L81">
        <v>1354</v>
      </c>
      <c r="N81">
        <v>1010</v>
      </c>
      <c r="O81" t="s">
        <v>171</v>
      </c>
      <c r="P81" t="s">
        <v>171</v>
      </c>
      <c r="Q81">
        <v>1</v>
      </c>
      <c r="X81">
        <v>100</v>
      </c>
      <c r="Y81">
        <v>287.24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100</v>
      </c>
      <c r="AH81">
        <v>2</v>
      </c>
      <c r="AI81">
        <v>75701456</v>
      </c>
      <c r="AJ81">
        <v>90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ROW(Source!A277)</f>
        <v>277</v>
      </c>
      <c r="B82">
        <v>75702376</v>
      </c>
      <c r="C82">
        <v>75701569</v>
      </c>
      <c r="D82">
        <v>75386788</v>
      </c>
      <c r="E82">
        <v>39</v>
      </c>
      <c r="F82">
        <v>1</v>
      </c>
      <c r="G82">
        <v>39</v>
      </c>
      <c r="H82">
        <v>1</v>
      </c>
      <c r="I82" t="s">
        <v>332</v>
      </c>
      <c r="J82" t="s">
        <v>3</v>
      </c>
      <c r="K82" t="s">
        <v>333</v>
      </c>
      <c r="L82">
        <v>1191</v>
      </c>
      <c r="N82">
        <v>1013</v>
      </c>
      <c r="O82" t="s">
        <v>334</v>
      </c>
      <c r="P82" t="s">
        <v>334</v>
      </c>
      <c r="Q82">
        <v>1</v>
      </c>
      <c r="X82">
        <v>3.13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3.13</v>
      </c>
      <c r="AH82">
        <v>2</v>
      </c>
      <c r="AI82">
        <v>75701570</v>
      </c>
      <c r="AJ82">
        <v>92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ROW(Source!A277)</f>
        <v>277</v>
      </c>
      <c r="B83">
        <v>75702377</v>
      </c>
      <c r="C83">
        <v>75701569</v>
      </c>
      <c r="D83">
        <v>75388550</v>
      </c>
      <c r="E83">
        <v>1</v>
      </c>
      <c r="F83">
        <v>1</v>
      </c>
      <c r="G83">
        <v>39</v>
      </c>
      <c r="H83">
        <v>2</v>
      </c>
      <c r="I83" t="s">
        <v>335</v>
      </c>
      <c r="J83" t="s">
        <v>336</v>
      </c>
      <c r="K83" t="s">
        <v>337</v>
      </c>
      <c r="L83">
        <v>1368</v>
      </c>
      <c r="N83">
        <v>1011</v>
      </c>
      <c r="O83" t="s">
        <v>338</v>
      </c>
      <c r="P83" t="s">
        <v>338</v>
      </c>
      <c r="Q83">
        <v>1</v>
      </c>
      <c r="X83">
        <v>1</v>
      </c>
      <c r="Y83">
        <v>0</v>
      </c>
      <c r="Z83">
        <v>7.44</v>
      </c>
      <c r="AA83">
        <v>0.01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1</v>
      </c>
      <c r="AH83">
        <v>2</v>
      </c>
      <c r="AI83">
        <v>75701571</v>
      </c>
      <c r="AJ83">
        <v>93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ROW(Source!A278)</f>
        <v>278</v>
      </c>
      <c r="B84">
        <v>75702378</v>
      </c>
      <c r="C84">
        <v>75701574</v>
      </c>
      <c r="D84">
        <v>75386788</v>
      </c>
      <c r="E84">
        <v>39</v>
      </c>
      <c r="F84">
        <v>1</v>
      </c>
      <c r="G84">
        <v>39</v>
      </c>
      <c r="H84">
        <v>1</v>
      </c>
      <c r="I84" t="s">
        <v>332</v>
      </c>
      <c r="J84" t="s">
        <v>3</v>
      </c>
      <c r="K84" t="s">
        <v>333</v>
      </c>
      <c r="L84">
        <v>1191</v>
      </c>
      <c r="N84">
        <v>1013</v>
      </c>
      <c r="O84" t="s">
        <v>334</v>
      </c>
      <c r="P84" t="s">
        <v>334</v>
      </c>
      <c r="Q84">
        <v>1</v>
      </c>
      <c r="X84">
        <v>3.77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3.77</v>
      </c>
      <c r="AH84">
        <v>2</v>
      </c>
      <c r="AI84">
        <v>75701575</v>
      </c>
      <c r="AJ84">
        <v>94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ROW(Source!A278)</f>
        <v>278</v>
      </c>
      <c r="B85">
        <v>75702379</v>
      </c>
      <c r="C85">
        <v>75701574</v>
      </c>
      <c r="D85">
        <v>75386789</v>
      </c>
      <c r="E85">
        <v>39</v>
      </c>
      <c r="F85">
        <v>1</v>
      </c>
      <c r="G85">
        <v>39</v>
      </c>
      <c r="H85">
        <v>3</v>
      </c>
      <c r="I85" t="s">
        <v>339</v>
      </c>
      <c r="J85" t="s">
        <v>3</v>
      </c>
      <c r="K85" t="s">
        <v>340</v>
      </c>
      <c r="L85">
        <v>1348</v>
      </c>
      <c r="N85">
        <v>1009</v>
      </c>
      <c r="O85" t="s">
        <v>68</v>
      </c>
      <c r="P85" t="s">
        <v>68</v>
      </c>
      <c r="Q85">
        <v>1000</v>
      </c>
      <c r="X85">
        <v>0.11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0.11</v>
      </c>
      <c r="AH85">
        <v>2</v>
      </c>
      <c r="AI85">
        <v>75701576</v>
      </c>
      <c r="AJ85">
        <v>95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ROW(Source!A279)</f>
        <v>279</v>
      </c>
      <c r="B86">
        <v>75702380</v>
      </c>
      <c r="C86">
        <v>75701579</v>
      </c>
      <c r="D86">
        <v>75386788</v>
      </c>
      <c r="E86">
        <v>39</v>
      </c>
      <c r="F86">
        <v>1</v>
      </c>
      <c r="G86">
        <v>39</v>
      </c>
      <c r="H86">
        <v>1</v>
      </c>
      <c r="I86" t="s">
        <v>332</v>
      </c>
      <c r="J86" t="s">
        <v>3</v>
      </c>
      <c r="K86" t="s">
        <v>333</v>
      </c>
      <c r="L86">
        <v>1191</v>
      </c>
      <c r="N86">
        <v>1013</v>
      </c>
      <c r="O86" t="s">
        <v>334</v>
      </c>
      <c r="P86" t="s">
        <v>334</v>
      </c>
      <c r="Q86">
        <v>1</v>
      </c>
      <c r="X86">
        <v>8.8000000000000007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8.8000000000000007</v>
      </c>
      <c r="AH86">
        <v>2</v>
      </c>
      <c r="AI86">
        <v>75701580</v>
      </c>
      <c r="AJ86">
        <v>96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ROW(Source!A279)</f>
        <v>279</v>
      </c>
      <c r="B87">
        <v>75702381</v>
      </c>
      <c r="C87">
        <v>75701579</v>
      </c>
      <c r="D87">
        <v>75389672</v>
      </c>
      <c r="E87">
        <v>1</v>
      </c>
      <c r="F87">
        <v>1</v>
      </c>
      <c r="G87">
        <v>39</v>
      </c>
      <c r="H87">
        <v>3</v>
      </c>
      <c r="I87" t="s">
        <v>381</v>
      </c>
      <c r="J87" t="s">
        <v>382</v>
      </c>
      <c r="K87" t="s">
        <v>383</v>
      </c>
      <c r="L87">
        <v>1348</v>
      </c>
      <c r="N87">
        <v>1009</v>
      </c>
      <c r="O87" t="s">
        <v>68</v>
      </c>
      <c r="P87" t="s">
        <v>68</v>
      </c>
      <c r="Q87">
        <v>1000</v>
      </c>
      <c r="X87">
        <v>4.2000000000000002E-4</v>
      </c>
      <c r="Y87">
        <v>95976.83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4.2000000000000002E-4</v>
      </c>
      <c r="AH87">
        <v>2</v>
      </c>
      <c r="AI87">
        <v>75701581</v>
      </c>
      <c r="AJ87">
        <v>97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ROW(Source!A279)</f>
        <v>279</v>
      </c>
      <c r="B88">
        <v>75702382</v>
      </c>
      <c r="C88">
        <v>75701579</v>
      </c>
      <c r="D88">
        <v>75393932</v>
      </c>
      <c r="E88">
        <v>1</v>
      </c>
      <c r="F88">
        <v>1</v>
      </c>
      <c r="G88">
        <v>39</v>
      </c>
      <c r="H88">
        <v>3</v>
      </c>
      <c r="I88" t="s">
        <v>53</v>
      </c>
      <c r="J88" t="s">
        <v>55</v>
      </c>
      <c r="K88" t="s">
        <v>54</v>
      </c>
      <c r="L88">
        <v>1301</v>
      </c>
      <c r="N88">
        <v>1003</v>
      </c>
      <c r="O88" t="s">
        <v>49</v>
      </c>
      <c r="P88" t="s">
        <v>49</v>
      </c>
      <c r="Q88">
        <v>1</v>
      </c>
      <c r="X88">
        <v>105</v>
      </c>
      <c r="Y88">
        <v>37.29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105</v>
      </c>
      <c r="AH88">
        <v>2</v>
      </c>
      <c r="AI88">
        <v>75701588</v>
      </c>
      <c r="AJ88">
        <v>98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ROW(Source!A282)</f>
        <v>282</v>
      </c>
      <c r="B89">
        <v>75702383</v>
      </c>
      <c r="C89">
        <v>75701589</v>
      </c>
      <c r="D89">
        <v>75386788</v>
      </c>
      <c r="E89">
        <v>39</v>
      </c>
      <c r="F89">
        <v>1</v>
      </c>
      <c r="G89">
        <v>39</v>
      </c>
      <c r="H89">
        <v>1</v>
      </c>
      <c r="I89" t="s">
        <v>332</v>
      </c>
      <c r="J89" t="s">
        <v>3</v>
      </c>
      <c r="K89" t="s">
        <v>333</v>
      </c>
      <c r="L89">
        <v>1191</v>
      </c>
      <c r="N89">
        <v>1013</v>
      </c>
      <c r="O89" t="s">
        <v>334</v>
      </c>
      <c r="P89" t="s">
        <v>334</v>
      </c>
      <c r="Q89">
        <v>1</v>
      </c>
      <c r="X89">
        <v>12.88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12.88</v>
      </c>
      <c r="AH89">
        <v>2</v>
      </c>
      <c r="AI89">
        <v>75701590</v>
      </c>
      <c r="AJ89">
        <v>100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ROW(Source!A282)</f>
        <v>282</v>
      </c>
      <c r="B90">
        <v>75702384</v>
      </c>
      <c r="C90">
        <v>75701589</v>
      </c>
      <c r="D90">
        <v>75389061</v>
      </c>
      <c r="E90">
        <v>1</v>
      </c>
      <c r="F90">
        <v>1</v>
      </c>
      <c r="G90">
        <v>39</v>
      </c>
      <c r="H90">
        <v>3</v>
      </c>
      <c r="I90" t="s">
        <v>66</v>
      </c>
      <c r="J90" t="s">
        <v>69</v>
      </c>
      <c r="K90" t="s">
        <v>67</v>
      </c>
      <c r="L90">
        <v>1348</v>
      </c>
      <c r="N90">
        <v>1009</v>
      </c>
      <c r="O90" t="s">
        <v>68</v>
      </c>
      <c r="P90" t="s">
        <v>68</v>
      </c>
      <c r="Q90">
        <v>1000</v>
      </c>
      <c r="X90">
        <v>2.0799999999999999E-2</v>
      </c>
      <c r="Y90">
        <v>247397.04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2.0799999999999999E-2</v>
      </c>
      <c r="AH90">
        <v>2</v>
      </c>
      <c r="AI90">
        <v>75701596</v>
      </c>
      <c r="AJ90">
        <v>101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ROW(Source!A285)</f>
        <v>285</v>
      </c>
      <c r="B91">
        <v>75702385</v>
      </c>
      <c r="C91">
        <v>75701597</v>
      </c>
      <c r="D91">
        <v>75386788</v>
      </c>
      <c r="E91">
        <v>39</v>
      </c>
      <c r="F91">
        <v>1</v>
      </c>
      <c r="G91">
        <v>39</v>
      </c>
      <c r="H91">
        <v>1</v>
      </c>
      <c r="I91" t="s">
        <v>332</v>
      </c>
      <c r="J91" t="s">
        <v>3</v>
      </c>
      <c r="K91" t="s">
        <v>333</v>
      </c>
      <c r="L91">
        <v>1191</v>
      </c>
      <c r="N91">
        <v>1013</v>
      </c>
      <c r="O91" t="s">
        <v>334</v>
      </c>
      <c r="P91" t="s">
        <v>334</v>
      </c>
      <c r="Q91">
        <v>1</v>
      </c>
      <c r="X91">
        <v>19.14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19.14</v>
      </c>
      <c r="AH91">
        <v>2</v>
      </c>
      <c r="AI91">
        <v>75701598</v>
      </c>
      <c r="AJ91">
        <v>103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ROW(Source!A285)</f>
        <v>285</v>
      </c>
      <c r="B92">
        <v>75702386</v>
      </c>
      <c r="C92">
        <v>75701597</v>
      </c>
      <c r="D92">
        <v>75388585</v>
      </c>
      <c r="E92">
        <v>1</v>
      </c>
      <c r="F92">
        <v>1</v>
      </c>
      <c r="G92">
        <v>39</v>
      </c>
      <c r="H92">
        <v>2</v>
      </c>
      <c r="I92" t="s">
        <v>384</v>
      </c>
      <c r="J92" t="s">
        <v>385</v>
      </c>
      <c r="K92" t="s">
        <v>386</v>
      </c>
      <c r="L92">
        <v>1368</v>
      </c>
      <c r="N92">
        <v>1011</v>
      </c>
      <c r="O92" t="s">
        <v>338</v>
      </c>
      <c r="P92" t="s">
        <v>338</v>
      </c>
      <c r="Q92">
        <v>1</v>
      </c>
      <c r="X92">
        <v>5.36</v>
      </c>
      <c r="Y92">
        <v>0</v>
      </c>
      <c r="Z92">
        <v>6.13</v>
      </c>
      <c r="AA92">
        <v>1.91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5.36</v>
      </c>
      <c r="AH92">
        <v>2</v>
      </c>
      <c r="AI92">
        <v>75701599</v>
      </c>
      <c r="AJ92">
        <v>104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ROW(Source!A285)</f>
        <v>285</v>
      </c>
      <c r="B93">
        <v>75702387</v>
      </c>
      <c r="C93">
        <v>75701597</v>
      </c>
      <c r="D93">
        <v>75388528</v>
      </c>
      <c r="E93">
        <v>1</v>
      </c>
      <c r="F93">
        <v>1</v>
      </c>
      <c r="G93">
        <v>39</v>
      </c>
      <c r="H93">
        <v>2</v>
      </c>
      <c r="I93" t="s">
        <v>387</v>
      </c>
      <c r="J93" t="s">
        <v>388</v>
      </c>
      <c r="K93" t="s">
        <v>389</v>
      </c>
      <c r="L93">
        <v>1368</v>
      </c>
      <c r="N93">
        <v>1011</v>
      </c>
      <c r="O93" t="s">
        <v>338</v>
      </c>
      <c r="P93" t="s">
        <v>338</v>
      </c>
      <c r="Q93">
        <v>1</v>
      </c>
      <c r="X93">
        <v>0.45</v>
      </c>
      <c r="Y93">
        <v>0</v>
      </c>
      <c r="Z93">
        <v>6.09</v>
      </c>
      <c r="AA93">
        <v>0.01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0.45</v>
      </c>
      <c r="AH93">
        <v>2</v>
      </c>
      <c r="AI93">
        <v>75701600</v>
      </c>
      <c r="AJ93">
        <v>105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ROW(Source!A285)</f>
        <v>285</v>
      </c>
      <c r="B94">
        <v>75702388</v>
      </c>
      <c r="C94">
        <v>75701597</v>
      </c>
      <c r="D94">
        <v>75388550</v>
      </c>
      <c r="E94">
        <v>1</v>
      </c>
      <c r="F94">
        <v>1</v>
      </c>
      <c r="G94">
        <v>39</v>
      </c>
      <c r="H94">
        <v>2</v>
      </c>
      <c r="I94" t="s">
        <v>335</v>
      </c>
      <c r="J94" t="s">
        <v>336</v>
      </c>
      <c r="K94" t="s">
        <v>337</v>
      </c>
      <c r="L94">
        <v>1368</v>
      </c>
      <c r="N94">
        <v>1011</v>
      </c>
      <c r="O94" t="s">
        <v>338</v>
      </c>
      <c r="P94" t="s">
        <v>338</v>
      </c>
      <c r="Q94">
        <v>1</v>
      </c>
      <c r="X94">
        <v>7.3</v>
      </c>
      <c r="Y94">
        <v>0</v>
      </c>
      <c r="Z94">
        <v>7.44</v>
      </c>
      <c r="AA94">
        <v>0.01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7.3</v>
      </c>
      <c r="AH94">
        <v>2</v>
      </c>
      <c r="AI94">
        <v>75701601</v>
      </c>
      <c r="AJ94">
        <v>106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ROW(Source!A285)</f>
        <v>285</v>
      </c>
      <c r="B95">
        <v>75702389</v>
      </c>
      <c r="C95">
        <v>75701597</v>
      </c>
      <c r="D95">
        <v>75389658</v>
      </c>
      <c r="E95">
        <v>1</v>
      </c>
      <c r="F95">
        <v>1</v>
      </c>
      <c r="G95">
        <v>39</v>
      </c>
      <c r="H95">
        <v>3</v>
      </c>
      <c r="I95" t="s">
        <v>390</v>
      </c>
      <c r="J95" t="s">
        <v>391</v>
      </c>
      <c r="K95" t="s">
        <v>392</v>
      </c>
      <c r="L95">
        <v>1346</v>
      </c>
      <c r="N95">
        <v>1009</v>
      </c>
      <c r="O95" t="s">
        <v>63</v>
      </c>
      <c r="P95" t="s">
        <v>63</v>
      </c>
      <c r="Q95">
        <v>1</v>
      </c>
      <c r="X95">
        <v>0.94</v>
      </c>
      <c r="Y95">
        <v>263.45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0.94</v>
      </c>
      <c r="AH95">
        <v>2</v>
      </c>
      <c r="AI95">
        <v>75701602</v>
      </c>
      <c r="AJ95">
        <v>107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ROW(Source!A285)</f>
        <v>285</v>
      </c>
      <c r="B96">
        <v>75702390</v>
      </c>
      <c r="C96">
        <v>75701597</v>
      </c>
      <c r="D96">
        <v>75393446</v>
      </c>
      <c r="E96">
        <v>1</v>
      </c>
      <c r="F96">
        <v>1</v>
      </c>
      <c r="G96">
        <v>39</v>
      </c>
      <c r="H96">
        <v>3</v>
      </c>
      <c r="I96" t="s">
        <v>393</v>
      </c>
      <c r="J96" t="s">
        <v>394</v>
      </c>
      <c r="K96" t="s">
        <v>395</v>
      </c>
      <c r="L96">
        <v>1301</v>
      </c>
      <c r="N96">
        <v>1003</v>
      </c>
      <c r="O96" t="s">
        <v>49</v>
      </c>
      <c r="P96" t="s">
        <v>49</v>
      </c>
      <c r="Q96">
        <v>1</v>
      </c>
      <c r="X96">
        <v>105</v>
      </c>
      <c r="Y96">
        <v>154.56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105</v>
      </c>
      <c r="AH96">
        <v>2</v>
      </c>
      <c r="AI96">
        <v>75701603</v>
      </c>
      <c r="AJ96">
        <v>108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ROW(Source!A286)</f>
        <v>286</v>
      </c>
      <c r="B97">
        <v>75702391</v>
      </c>
      <c r="C97">
        <v>75701610</v>
      </c>
      <c r="D97">
        <v>75386788</v>
      </c>
      <c r="E97">
        <v>39</v>
      </c>
      <c r="F97">
        <v>1</v>
      </c>
      <c r="G97">
        <v>39</v>
      </c>
      <c r="H97">
        <v>1</v>
      </c>
      <c r="I97" t="s">
        <v>332</v>
      </c>
      <c r="J97" t="s">
        <v>3</v>
      </c>
      <c r="K97" t="s">
        <v>333</v>
      </c>
      <c r="L97">
        <v>1191</v>
      </c>
      <c r="N97">
        <v>1013</v>
      </c>
      <c r="O97" t="s">
        <v>334</v>
      </c>
      <c r="P97" t="s">
        <v>334</v>
      </c>
      <c r="Q97">
        <v>1</v>
      </c>
      <c r="X97">
        <v>11.39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11.39</v>
      </c>
      <c r="AH97">
        <v>2</v>
      </c>
      <c r="AI97">
        <v>75701611</v>
      </c>
      <c r="AJ97">
        <v>109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ROW(Source!A286)</f>
        <v>286</v>
      </c>
      <c r="B98">
        <v>75702392</v>
      </c>
      <c r="C98">
        <v>75701610</v>
      </c>
      <c r="D98">
        <v>75386789</v>
      </c>
      <c r="E98">
        <v>39</v>
      </c>
      <c r="F98">
        <v>1</v>
      </c>
      <c r="G98">
        <v>39</v>
      </c>
      <c r="H98">
        <v>3</v>
      </c>
      <c r="I98" t="s">
        <v>339</v>
      </c>
      <c r="J98" t="s">
        <v>3</v>
      </c>
      <c r="K98" t="s">
        <v>340</v>
      </c>
      <c r="L98">
        <v>1348</v>
      </c>
      <c r="N98">
        <v>1009</v>
      </c>
      <c r="O98" t="s">
        <v>68</v>
      </c>
      <c r="P98" t="s">
        <v>68</v>
      </c>
      <c r="Q98">
        <v>1000</v>
      </c>
      <c r="X98">
        <v>0.47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0.47</v>
      </c>
      <c r="AH98">
        <v>2</v>
      </c>
      <c r="AI98">
        <v>75701612</v>
      </c>
      <c r="AJ98">
        <v>110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ROW(Source!A287)</f>
        <v>287</v>
      </c>
      <c r="B99">
        <v>75702393</v>
      </c>
      <c r="C99">
        <v>75701615</v>
      </c>
      <c r="D99">
        <v>75386788</v>
      </c>
      <c r="E99">
        <v>39</v>
      </c>
      <c r="F99">
        <v>1</v>
      </c>
      <c r="G99">
        <v>39</v>
      </c>
      <c r="H99">
        <v>1</v>
      </c>
      <c r="I99" t="s">
        <v>332</v>
      </c>
      <c r="J99" t="s">
        <v>3</v>
      </c>
      <c r="K99" t="s">
        <v>333</v>
      </c>
      <c r="L99">
        <v>1191</v>
      </c>
      <c r="N99">
        <v>1013</v>
      </c>
      <c r="O99" t="s">
        <v>334</v>
      </c>
      <c r="P99" t="s">
        <v>334</v>
      </c>
      <c r="Q99">
        <v>1</v>
      </c>
      <c r="X99">
        <v>37.97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37.97</v>
      </c>
      <c r="AH99">
        <v>2</v>
      </c>
      <c r="AI99">
        <v>75701616</v>
      </c>
      <c r="AJ99">
        <v>111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ROW(Source!A287)</f>
        <v>287</v>
      </c>
      <c r="B100">
        <v>75702394</v>
      </c>
      <c r="C100">
        <v>75701615</v>
      </c>
      <c r="D100">
        <v>75388182</v>
      </c>
      <c r="E100">
        <v>1</v>
      </c>
      <c r="F100">
        <v>1</v>
      </c>
      <c r="G100">
        <v>39</v>
      </c>
      <c r="H100">
        <v>2</v>
      </c>
      <c r="I100" t="s">
        <v>341</v>
      </c>
      <c r="J100" t="s">
        <v>342</v>
      </c>
      <c r="K100" t="s">
        <v>343</v>
      </c>
      <c r="L100">
        <v>1368</v>
      </c>
      <c r="N100">
        <v>1011</v>
      </c>
      <c r="O100" t="s">
        <v>338</v>
      </c>
      <c r="P100" t="s">
        <v>338</v>
      </c>
      <c r="Q100">
        <v>1</v>
      </c>
      <c r="X100">
        <v>3</v>
      </c>
      <c r="Y100">
        <v>0</v>
      </c>
      <c r="Z100">
        <v>56.19</v>
      </c>
      <c r="AA100">
        <v>0.31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3</v>
      </c>
      <c r="AH100">
        <v>2</v>
      </c>
      <c r="AI100">
        <v>75701617</v>
      </c>
      <c r="AJ100">
        <v>112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ROW(Source!A287)</f>
        <v>287</v>
      </c>
      <c r="B101">
        <v>75702395</v>
      </c>
      <c r="C101">
        <v>75701615</v>
      </c>
      <c r="D101">
        <v>75388586</v>
      </c>
      <c r="E101">
        <v>1</v>
      </c>
      <c r="F101">
        <v>1</v>
      </c>
      <c r="G101">
        <v>39</v>
      </c>
      <c r="H101">
        <v>2</v>
      </c>
      <c r="I101" t="s">
        <v>344</v>
      </c>
      <c r="J101" t="s">
        <v>345</v>
      </c>
      <c r="K101" t="s">
        <v>346</v>
      </c>
      <c r="L101">
        <v>1368</v>
      </c>
      <c r="N101">
        <v>1011</v>
      </c>
      <c r="O101" t="s">
        <v>338</v>
      </c>
      <c r="P101" t="s">
        <v>338</v>
      </c>
      <c r="Q101">
        <v>1</v>
      </c>
      <c r="X101">
        <v>4.1500000000000004</v>
      </c>
      <c r="Y101">
        <v>0</v>
      </c>
      <c r="Z101">
        <v>10.7</v>
      </c>
      <c r="AA101">
        <v>1.91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4.1500000000000004</v>
      </c>
      <c r="AH101">
        <v>2</v>
      </c>
      <c r="AI101">
        <v>75701618</v>
      </c>
      <c r="AJ101">
        <v>113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ROW(Source!A287)</f>
        <v>287</v>
      </c>
      <c r="B102">
        <v>75702396</v>
      </c>
      <c r="C102">
        <v>75701615</v>
      </c>
      <c r="D102">
        <v>75387866</v>
      </c>
      <c r="E102">
        <v>1</v>
      </c>
      <c r="F102">
        <v>1</v>
      </c>
      <c r="G102">
        <v>39</v>
      </c>
      <c r="H102">
        <v>2</v>
      </c>
      <c r="I102" t="s">
        <v>347</v>
      </c>
      <c r="J102" t="s">
        <v>348</v>
      </c>
      <c r="K102" t="s">
        <v>349</v>
      </c>
      <c r="L102">
        <v>1368</v>
      </c>
      <c r="N102">
        <v>1011</v>
      </c>
      <c r="O102" t="s">
        <v>338</v>
      </c>
      <c r="P102" t="s">
        <v>338</v>
      </c>
      <c r="Q102">
        <v>1</v>
      </c>
      <c r="X102">
        <v>0.02</v>
      </c>
      <c r="Y102">
        <v>0</v>
      </c>
      <c r="Z102">
        <v>1472.88</v>
      </c>
      <c r="AA102">
        <v>893.16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0.02</v>
      </c>
      <c r="AH102">
        <v>2</v>
      </c>
      <c r="AI102">
        <v>75701619</v>
      </c>
      <c r="AJ102">
        <v>114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ROW(Source!A287)</f>
        <v>287</v>
      </c>
      <c r="B103">
        <v>75702397</v>
      </c>
      <c r="C103">
        <v>75701615</v>
      </c>
      <c r="D103">
        <v>75390588</v>
      </c>
      <c r="E103">
        <v>1</v>
      </c>
      <c r="F103">
        <v>1</v>
      </c>
      <c r="G103">
        <v>39</v>
      </c>
      <c r="H103">
        <v>3</v>
      </c>
      <c r="I103" t="s">
        <v>350</v>
      </c>
      <c r="J103" t="s">
        <v>351</v>
      </c>
      <c r="K103" t="s">
        <v>352</v>
      </c>
      <c r="L103">
        <v>1339</v>
      </c>
      <c r="N103">
        <v>1007</v>
      </c>
      <c r="O103" t="s">
        <v>353</v>
      </c>
      <c r="P103" t="s">
        <v>353</v>
      </c>
      <c r="Q103">
        <v>1</v>
      </c>
      <c r="X103">
        <v>0.30199999999999999</v>
      </c>
      <c r="Y103">
        <v>49.83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0.30199999999999999</v>
      </c>
      <c r="AH103">
        <v>2</v>
      </c>
      <c r="AI103">
        <v>75701620</v>
      </c>
      <c r="AJ103">
        <v>115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ROW(Source!A287)</f>
        <v>287</v>
      </c>
      <c r="B104">
        <v>75702398</v>
      </c>
      <c r="C104">
        <v>75701615</v>
      </c>
      <c r="D104">
        <v>75390808</v>
      </c>
      <c r="E104">
        <v>1</v>
      </c>
      <c r="F104">
        <v>1</v>
      </c>
      <c r="G104">
        <v>39</v>
      </c>
      <c r="H104">
        <v>3</v>
      </c>
      <c r="I104" t="s">
        <v>354</v>
      </c>
      <c r="J104" t="s">
        <v>355</v>
      </c>
      <c r="K104" t="s">
        <v>356</v>
      </c>
      <c r="L104">
        <v>1327</v>
      </c>
      <c r="N104">
        <v>1005</v>
      </c>
      <c r="O104" t="s">
        <v>132</v>
      </c>
      <c r="P104" t="s">
        <v>132</v>
      </c>
      <c r="Q104">
        <v>1</v>
      </c>
      <c r="X104">
        <v>10</v>
      </c>
      <c r="Y104">
        <v>10.62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10</v>
      </c>
      <c r="AH104">
        <v>2</v>
      </c>
      <c r="AI104">
        <v>75701621</v>
      </c>
      <c r="AJ104">
        <v>116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ROW(Source!A287)</f>
        <v>287</v>
      </c>
      <c r="B105">
        <v>75702399</v>
      </c>
      <c r="C105">
        <v>75701615</v>
      </c>
      <c r="D105">
        <v>75389157</v>
      </c>
      <c r="E105">
        <v>1</v>
      </c>
      <c r="F105">
        <v>1</v>
      </c>
      <c r="G105">
        <v>39</v>
      </c>
      <c r="H105">
        <v>3</v>
      </c>
      <c r="I105" t="s">
        <v>357</v>
      </c>
      <c r="J105" t="s">
        <v>358</v>
      </c>
      <c r="K105" t="s">
        <v>359</v>
      </c>
      <c r="L105">
        <v>1346</v>
      </c>
      <c r="N105">
        <v>1009</v>
      </c>
      <c r="O105" t="s">
        <v>63</v>
      </c>
      <c r="P105" t="s">
        <v>63</v>
      </c>
      <c r="Q105">
        <v>1</v>
      </c>
      <c r="X105">
        <v>20</v>
      </c>
      <c r="Y105">
        <v>915.75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20</v>
      </c>
      <c r="AH105">
        <v>2</v>
      </c>
      <c r="AI105">
        <v>75701622</v>
      </c>
      <c r="AJ105">
        <v>117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ROW(Source!A287)</f>
        <v>287</v>
      </c>
      <c r="B106">
        <v>75702400</v>
      </c>
      <c r="C106">
        <v>75701615</v>
      </c>
      <c r="D106">
        <v>75391767</v>
      </c>
      <c r="E106">
        <v>1</v>
      </c>
      <c r="F106">
        <v>1</v>
      </c>
      <c r="G106">
        <v>39</v>
      </c>
      <c r="H106">
        <v>3</v>
      </c>
      <c r="I106" t="s">
        <v>360</v>
      </c>
      <c r="J106" t="s">
        <v>361</v>
      </c>
      <c r="K106" t="s">
        <v>362</v>
      </c>
      <c r="L106">
        <v>1348</v>
      </c>
      <c r="N106">
        <v>1009</v>
      </c>
      <c r="O106" t="s">
        <v>68</v>
      </c>
      <c r="P106" t="s">
        <v>68</v>
      </c>
      <c r="Q106">
        <v>1000</v>
      </c>
      <c r="X106">
        <v>0.84199999999999997</v>
      </c>
      <c r="Y106">
        <v>37996.660000000003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0.84199999999999997</v>
      </c>
      <c r="AH106">
        <v>2</v>
      </c>
      <c r="AI106">
        <v>75701623</v>
      </c>
      <c r="AJ106">
        <v>118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ROW(Source!A288)</f>
        <v>288</v>
      </c>
      <c r="B107">
        <v>75702401</v>
      </c>
      <c r="C107">
        <v>75701632</v>
      </c>
      <c r="D107">
        <v>75386788</v>
      </c>
      <c r="E107">
        <v>39</v>
      </c>
      <c r="F107">
        <v>1</v>
      </c>
      <c r="G107">
        <v>39</v>
      </c>
      <c r="H107">
        <v>1</v>
      </c>
      <c r="I107" t="s">
        <v>332</v>
      </c>
      <c r="J107" t="s">
        <v>3</v>
      </c>
      <c r="K107" t="s">
        <v>333</v>
      </c>
      <c r="L107">
        <v>1191</v>
      </c>
      <c r="N107">
        <v>1013</v>
      </c>
      <c r="O107" t="s">
        <v>334</v>
      </c>
      <c r="P107" t="s">
        <v>334</v>
      </c>
      <c r="Q107">
        <v>1</v>
      </c>
      <c r="X107">
        <v>60.04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</v>
      </c>
      <c r="AG107">
        <v>60.04</v>
      </c>
      <c r="AH107">
        <v>2</v>
      </c>
      <c r="AI107">
        <v>75701633</v>
      </c>
      <c r="AJ107">
        <v>119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ROW(Source!A288)</f>
        <v>288</v>
      </c>
      <c r="B108">
        <v>75702402</v>
      </c>
      <c r="C108">
        <v>75701632</v>
      </c>
      <c r="D108">
        <v>75388182</v>
      </c>
      <c r="E108">
        <v>1</v>
      </c>
      <c r="F108">
        <v>1</v>
      </c>
      <c r="G108">
        <v>39</v>
      </c>
      <c r="H108">
        <v>2</v>
      </c>
      <c r="I108" t="s">
        <v>341</v>
      </c>
      <c r="J108" t="s">
        <v>342</v>
      </c>
      <c r="K108" t="s">
        <v>343</v>
      </c>
      <c r="L108">
        <v>1368</v>
      </c>
      <c r="N108">
        <v>1011</v>
      </c>
      <c r="O108" t="s">
        <v>338</v>
      </c>
      <c r="P108" t="s">
        <v>338</v>
      </c>
      <c r="Q108">
        <v>1</v>
      </c>
      <c r="X108">
        <v>6.64</v>
      </c>
      <c r="Y108">
        <v>0</v>
      </c>
      <c r="Z108">
        <v>56.19</v>
      </c>
      <c r="AA108">
        <v>0.31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6.64</v>
      </c>
      <c r="AH108">
        <v>2</v>
      </c>
      <c r="AI108">
        <v>75701634</v>
      </c>
      <c r="AJ108">
        <v>120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ROW(Source!A288)</f>
        <v>288</v>
      </c>
      <c r="B109">
        <v>75702403</v>
      </c>
      <c r="C109">
        <v>75701632</v>
      </c>
      <c r="D109">
        <v>75388325</v>
      </c>
      <c r="E109">
        <v>1</v>
      </c>
      <c r="F109">
        <v>1</v>
      </c>
      <c r="G109">
        <v>39</v>
      </c>
      <c r="H109">
        <v>2</v>
      </c>
      <c r="I109" t="s">
        <v>363</v>
      </c>
      <c r="J109" t="s">
        <v>364</v>
      </c>
      <c r="K109" t="s">
        <v>365</v>
      </c>
      <c r="L109">
        <v>1368</v>
      </c>
      <c r="N109">
        <v>1011</v>
      </c>
      <c r="O109" t="s">
        <v>338</v>
      </c>
      <c r="P109" t="s">
        <v>338</v>
      </c>
      <c r="Q109">
        <v>1</v>
      </c>
      <c r="X109">
        <v>4.7</v>
      </c>
      <c r="Y109">
        <v>0</v>
      </c>
      <c r="Z109">
        <v>10.02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4.7</v>
      </c>
      <c r="AH109">
        <v>2</v>
      </c>
      <c r="AI109">
        <v>75701635</v>
      </c>
      <c r="AJ109">
        <v>121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ROW(Source!A288)</f>
        <v>288</v>
      </c>
      <c r="B110">
        <v>75702404</v>
      </c>
      <c r="C110">
        <v>75701632</v>
      </c>
      <c r="D110">
        <v>75388524</v>
      </c>
      <c r="E110">
        <v>1</v>
      </c>
      <c r="F110">
        <v>1</v>
      </c>
      <c r="G110">
        <v>39</v>
      </c>
      <c r="H110">
        <v>2</v>
      </c>
      <c r="I110" t="s">
        <v>366</v>
      </c>
      <c r="J110" t="s">
        <v>367</v>
      </c>
      <c r="K110" t="s">
        <v>368</v>
      </c>
      <c r="L110">
        <v>1368</v>
      </c>
      <c r="N110">
        <v>1011</v>
      </c>
      <c r="O110" t="s">
        <v>338</v>
      </c>
      <c r="P110" t="s">
        <v>338</v>
      </c>
      <c r="Q110">
        <v>1</v>
      </c>
      <c r="X110">
        <v>1.5</v>
      </c>
      <c r="Y110">
        <v>0</v>
      </c>
      <c r="Z110">
        <v>3.57</v>
      </c>
      <c r="AA110">
        <v>0.01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1.5</v>
      </c>
      <c r="AH110">
        <v>2</v>
      </c>
      <c r="AI110">
        <v>75701636</v>
      </c>
      <c r="AJ110">
        <v>122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ROW(Source!A288)</f>
        <v>288</v>
      </c>
      <c r="B111">
        <v>75702405</v>
      </c>
      <c r="C111">
        <v>75701632</v>
      </c>
      <c r="D111">
        <v>75390660</v>
      </c>
      <c r="E111">
        <v>1</v>
      </c>
      <c r="F111">
        <v>1</v>
      </c>
      <c r="G111">
        <v>39</v>
      </c>
      <c r="H111">
        <v>3</v>
      </c>
      <c r="I111" t="s">
        <v>369</v>
      </c>
      <c r="J111" t="s">
        <v>370</v>
      </c>
      <c r="K111" t="s">
        <v>371</v>
      </c>
      <c r="L111">
        <v>1346</v>
      </c>
      <c r="N111">
        <v>1009</v>
      </c>
      <c r="O111" t="s">
        <v>63</v>
      </c>
      <c r="P111" t="s">
        <v>63</v>
      </c>
      <c r="Q111">
        <v>1</v>
      </c>
      <c r="X111">
        <v>36.049999999999997</v>
      </c>
      <c r="Y111">
        <v>221.14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36.049999999999997</v>
      </c>
      <c r="AH111">
        <v>2</v>
      </c>
      <c r="AI111">
        <v>75701637</v>
      </c>
      <c r="AJ111">
        <v>123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ROW(Source!A288)</f>
        <v>288</v>
      </c>
      <c r="B112">
        <v>75702406</v>
      </c>
      <c r="C112">
        <v>75701632</v>
      </c>
      <c r="D112">
        <v>75391078</v>
      </c>
      <c r="E112">
        <v>1</v>
      </c>
      <c r="F112">
        <v>1</v>
      </c>
      <c r="G112">
        <v>39</v>
      </c>
      <c r="H112">
        <v>3</v>
      </c>
      <c r="I112" t="s">
        <v>372</v>
      </c>
      <c r="J112" t="s">
        <v>373</v>
      </c>
      <c r="K112" t="s">
        <v>374</v>
      </c>
      <c r="L112">
        <v>1327</v>
      </c>
      <c r="N112">
        <v>1005</v>
      </c>
      <c r="O112" t="s">
        <v>132</v>
      </c>
      <c r="P112" t="s">
        <v>132</v>
      </c>
      <c r="Q112">
        <v>1</v>
      </c>
      <c r="X112">
        <v>107</v>
      </c>
      <c r="Y112">
        <v>1117.3499999999999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107</v>
      </c>
      <c r="AH112">
        <v>2</v>
      </c>
      <c r="AI112">
        <v>75701638</v>
      </c>
      <c r="AJ112">
        <v>124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ROW(Source!A288)</f>
        <v>288</v>
      </c>
      <c r="B113">
        <v>75702407</v>
      </c>
      <c r="C113">
        <v>75701632</v>
      </c>
      <c r="D113">
        <v>75391090</v>
      </c>
      <c r="E113">
        <v>1</v>
      </c>
      <c r="F113">
        <v>1</v>
      </c>
      <c r="G113">
        <v>39</v>
      </c>
      <c r="H113">
        <v>3</v>
      </c>
      <c r="I113" t="s">
        <v>375</v>
      </c>
      <c r="J113" t="s">
        <v>376</v>
      </c>
      <c r="K113" t="s">
        <v>377</v>
      </c>
      <c r="L113">
        <v>1301</v>
      </c>
      <c r="N113">
        <v>1003</v>
      </c>
      <c r="O113" t="s">
        <v>49</v>
      </c>
      <c r="P113" t="s">
        <v>49</v>
      </c>
      <c r="Q113">
        <v>1</v>
      </c>
      <c r="X113">
        <v>60</v>
      </c>
      <c r="Y113">
        <v>57.6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60</v>
      </c>
      <c r="AH113">
        <v>2</v>
      </c>
      <c r="AI113">
        <v>75701639</v>
      </c>
      <c r="AJ113">
        <v>125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ROW(Source!A288)</f>
        <v>288</v>
      </c>
      <c r="B114">
        <v>75702408</v>
      </c>
      <c r="C114">
        <v>75701632</v>
      </c>
      <c r="D114">
        <v>75389139</v>
      </c>
      <c r="E114">
        <v>1</v>
      </c>
      <c r="F114">
        <v>1</v>
      </c>
      <c r="G114">
        <v>39</v>
      </c>
      <c r="H114">
        <v>3</v>
      </c>
      <c r="I114" t="s">
        <v>378</v>
      </c>
      <c r="J114" t="s">
        <v>379</v>
      </c>
      <c r="K114" t="s">
        <v>380</v>
      </c>
      <c r="L114">
        <v>1346</v>
      </c>
      <c r="N114">
        <v>1009</v>
      </c>
      <c r="O114" t="s">
        <v>63</v>
      </c>
      <c r="P114" t="s">
        <v>63</v>
      </c>
      <c r="Q114">
        <v>1</v>
      </c>
      <c r="X114">
        <v>10.3</v>
      </c>
      <c r="Y114">
        <v>138.59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10.3</v>
      </c>
      <c r="AH114">
        <v>2</v>
      </c>
      <c r="AI114">
        <v>75701640</v>
      </c>
      <c r="AJ114">
        <v>126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ROW(Source!A324)</f>
        <v>324</v>
      </c>
      <c r="B115">
        <v>75702409</v>
      </c>
      <c r="C115">
        <v>75701705</v>
      </c>
      <c r="D115">
        <v>75386788</v>
      </c>
      <c r="E115">
        <v>39</v>
      </c>
      <c r="F115">
        <v>1</v>
      </c>
      <c r="G115">
        <v>39</v>
      </c>
      <c r="H115">
        <v>1</v>
      </c>
      <c r="I115" t="s">
        <v>332</v>
      </c>
      <c r="J115" t="s">
        <v>3</v>
      </c>
      <c r="K115" t="s">
        <v>333</v>
      </c>
      <c r="L115">
        <v>1191</v>
      </c>
      <c r="N115">
        <v>1013</v>
      </c>
      <c r="O115" t="s">
        <v>334</v>
      </c>
      <c r="P115" t="s">
        <v>334</v>
      </c>
      <c r="Q115">
        <v>1</v>
      </c>
      <c r="X115">
        <v>24.52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3</v>
      </c>
      <c r="AG115">
        <v>24.52</v>
      </c>
      <c r="AH115">
        <v>2</v>
      </c>
      <c r="AI115">
        <v>75701706</v>
      </c>
      <c r="AJ115">
        <v>127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ROW(Source!A324)</f>
        <v>324</v>
      </c>
      <c r="B116">
        <v>75702410</v>
      </c>
      <c r="C116">
        <v>75701705</v>
      </c>
      <c r="D116">
        <v>75390376</v>
      </c>
      <c r="E116">
        <v>1</v>
      </c>
      <c r="F116">
        <v>1</v>
      </c>
      <c r="G116">
        <v>39</v>
      </c>
      <c r="H116">
        <v>3</v>
      </c>
      <c r="I116" t="s">
        <v>403</v>
      </c>
      <c r="J116" t="s">
        <v>404</v>
      </c>
      <c r="K116" t="s">
        <v>405</v>
      </c>
      <c r="L116">
        <v>1346</v>
      </c>
      <c r="N116">
        <v>1009</v>
      </c>
      <c r="O116" t="s">
        <v>63</v>
      </c>
      <c r="P116" t="s">
        <v>63</v>
      </c>
      <c r="Q116">
        <v>1</v>
      </c>
      <c r="X116">
        <v>0.36</v>
      </c>
      <c r="Y116">
        <v>26.09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0.36</v>
      </c>
      <c r="AH116">
        <v>2</v>
      </c>
      <c r="AI116">
        <v>75701707</v>
      </c>
      <c r="AJ116">
        <v>128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ROW(Source!A324)</f>
        <v>324</v>
      </c>
      <c r="B117">
        <v>75702411</v>
      </c>
      <c r="C117">
        <v>75701705</v>
      </c>
      <c r="D117">
        <v>75390588</v>
      </c>
      <c r="E117">
        <v>1</v>
      </c>
      <c r="F117">
        <v>1</v>
      </c>
      <c r="G117">
        <v>39</v>
      </c>
      <c r="H117">
        <v>3</v>
      </c>
      <c r="I117" t="s">
        <v>350</v>
      </c>
      <c r="J117" t="s">
        <v>351</v>
      </c>
      <c r="K117" t="s">
        <v>352</v>
      </c>
      <c r="L117">
        <v>1339</v>
      </c>
      <c r="N117">
        <v>1007</v>
      </c>
      <c r="O117" t="s">
        <v>353</v>
      </c>
      <c r="P117" t="s">
        <v>353</v>
      </c>
      <c r="Q117">
        <v>1</v>
      </c>
      <c r="X117">
        <v>0.24</v>
      </c>
      <c r="Y117">
        <v>49.83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0.24</v>
      </c>
      <c r="AH117">
        <v>2</v>
      </c>
      <c r="AI117">
        <v>75701708</v>
      </c>
      <c r="AJ117">
        <v>129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ROW(Source!A324)</f>
        <v>324</v>
      </c>
      <c r="B118">
        <v>75702412</v>
      </c>
      <c r="C118">
        <v>75701705</v>
      </c>
      <c r="D118">
        <v>75390936</v>
      </c>
      <c r="E118">
        <v>1</v>
      </c>
      <c r="F118">
        <v>1</v>
      </c>
      <c r="G118">
        <v>39</v>
      </c>
      <c r="H118">
        <v>3</v>
      </c>
      <c r="I118" t="s">
        <v>406</v>
      </c>
      <c r="J118" t="s">
        <v>407</v>
      </c>
      <c r="K118" t="s">
        <v>408</v>
      </c>
      <c r="L118">
        <v>1327</v>
      </c>
      <c r="N118">
        <v>1005</v>
      </c>
      <c r="O118" t="s">
        <v>132</v>
      </c>
      <c r="P118" t="s">
        <v>132</v>
      </c>
      <c r="Q118">
        <v>1</v>
      </c>
      <c r="X118">
        <v>0.8</v>
      </c>
      <c r="Y118">
        <v>338.51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0.8</v>
      </c>
      <c r="AH118">
        <v>2</v>
      </c>
      <c r="AI118">
        <v>75701709</v>
      </c>
      <c r="AJ118">
        <v>130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ROW(Source!A324)</f>
        <v>324</v>
      </c>
      <c r="B119">
        <v>75702413</v>
      </c>
      <c r="C119">
        <v>75701705</v>
      </c>
      <c r="D119">
        <v>75390952</v>
      </c>
      <c r="E119">
        <v>1</v>
      </c>
      <c r="F119">
        <v>1</v>
      </c>
      <c r="G119">
        <v>39</v>
      </c>
      <c r="H119">
        <v>3</v>
      </c>
      <c r="I119" t="s">
        <v>409</v>
      </c>
      <c r="J119" t="s">
        <v>410</v>
      </c>
      <c r="K119" t="s">
        <v>411</v>
      </c>
      <c r="L119">
        <v>1348</v>
      </c>
      <c r="N119">
        <v>1009</v>
      </c>
      <c r="O119" t="s">
        <v>68</v>
      </c>
      <c r="P119" t="s">
        <v>68</v>
      </c>
      <c r="Q119">
        <v>1000</v>
      </c>
      <c r="X119">
        <v>6.4000000000000003E-3</v>
      </c>
      <c r="Y119">
        <v>76204.789999999994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6.4000000000000003E-3</v>
      </c>
      <c r="AH119">
        <v>2</v>
      </c>
      <c r="AI119">
        <v>75701710</v>
      </c>
      <c r="AJ119">
        <v>131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ROW(Source!A324)</f>
        <v>324</v>
      </c>
      <c r="B120">
        <v>75702414</v>
      </c>
      <c r="C120">
        <v>75701705</v>
      </c>
      <c r="D120">
        <v>75389193</v>
      </c>
      <c r="E120">
        <v>1</v>
      </c>
      <c r="F120">
        <v>1</v>
      </c>
      <c r="G120">
        <v>39</v>
      </c>
      <c r="H120">
        <v>3</v>
      </c>
      <c r="I120" t="s">
        <v>412</v>
      </c>
      <c r="J120" t="s">
        <v>413</v>
      </c>
      <c r="K120" t="s">
        <v>414</v>
      </c>
      <c r="L120">
        <v>1346</v>
      </c>
      <c r="N120">
        <v>1009</v>
      </c>
      <c r="O120" t="s">
        <v>63</v>
      </c>
      <c r="P120" t="s">
        <v>63</v>
      </c>
      <c r="Q120">
        <v>1</v>
      </c>
      <c r="X120">
        <v>24.8</v>
      </c>
      <c r="Y120">
        <v>215.72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24.8</v>
      </c>
      <c r="AH120">
        <v>2</v>
      </c>
      <c r="AI120">
        <v>75701711</v>
      </c>
      <c r="AJ120">
        <v>133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ROW(Source!A324)</f>
        <v>324</v>
      </c>
      <c r="B121">
        <v>75702415</v>
      </c>
      <c r="C121">
        <v>75701705</v>
      </c>
      <c r="D121">
        <v>75389195</v>
      </c>
      <c r="E121">
        <v>1</v>
      </c>
      <c r="F121">
        <v>1</v>
      </c>
      <c r="G121">
        <v>39</v>
      </c>
      <c r="H121">
        <v>3</v>
      </c>
      <c r="I121" t="s">
        <v>415</v>
      </c>
      <c r="J121" t="s">
        <v>416</v>
      </c>
      <c r="K121" t="s">
        <v>417</v>
      </c>
      <c r="L121">
        <v>1346</v>
      </c>
      <c r="N121">
        <v>1009</v>
      </c>
      <c r="O121" t="s">
        <v>63</v>
      </c>
      <c r="P121" t="s">
        <v>63</v>
      </c>
      <c r="Q121">
        <v>1</v>
      </c>
      <c r="X121">
        <v>14</v>
      </c>
      <c r="Y121">
        <v>80.599999999999994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14</v>
      </c>
      <c r="AH121">
        <v>2</v>
      </c>
      <c r="AI121">
        <v>75701712</v>
      </c>
      <c r="AJ121">
        <v>134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ROW(Source!A361)</f>
        <v>361</v>
      </c>
      <c r="B122">
        <v>75702416</v>
      </c>
      <c r="C122">
        <v>75701778</v>
      </c>
      <c r="D122">
        <v>75386788</v>
      </c>
      <c r="E122">
        <v>39</v>
      </c>
      <c r="F122">
        <v>1</v>
      </c>
      <c r="G122">
        <v>39</v>
      </c>
      <c r="H122">
        <v>1</v>
      </c>
      <c r="I122" t="s">
        <v>332</v>
      </c>
      <c r="J122" t="s">
        <v>3</v>
      </c>
      <c r="K122" t="s">
        <v>333</v>
      </c>
      <c r="L122">
        <v>1191</v>
      </c>
      <c r="N122">
        <v>1013</v>
      </c>
      <c r="O122" t="s">
        <v>334</v>
      </c>
      <c r="P122" t="s">
        <v>334</v>
      </c>
      <c r="Q122">
        <v>1</v>
      </c>
      <c r="X122">
        <v>30.74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</v>
      </c>
      <c r="AG122">
        <v>30.74</v>
      </c>
      <c r="AH122">
        <v>2</v>
      </c>
      <c r="AI122">
        <v>75701779</v>
      </c>
      <c r="AJ122">
        <v>135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ROW(Source!A361)</f>
        <v>361</v>
      </c>
      <c r="B123">
        <v>75702417</v>
      </c>
      <c r="C123">
        <v>75701778</v>
      </c>
      <c r="D123">
        <v>75390376</v>
      </c>
      <c r="E123">
        <v>1</v>
      </c>
      <c r="F123">
        <v>1</v>
      </c>
      <c r="G123">
        <v>39</v>
      </c>
      <c r="H123">
        <v>3</v>
      </c>
      <c r="I123" t="s">
        <v>403</v>
      </c>
      <c r="J123" t="s">
        <v>404</v>
      </c>
      <c r="K123" t="s">
        <v>405</v>
      </c>
      <c r="L123">
        <v>1346</v>
      </c>
      <c r="N123">
        <v>1009</v>
      </c>
      <c r="O123" t="s">
        <v>63</v>
      </c>
      <c r="P123" t="s">
        <v>63</v>
      </c>
      <c r="Q123">
        <v>1</v>
      </c>
      <c r="X123">
        <v>0.36</v>
      </c>
      <c r="Y123">
        <v>26.09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0.36</v>
      </c>
      <c r="AH123">
        <v>2</v>
      </c>
      <c r="AI123">
        <v>75701780</v>
      </c>
      <c r="AJ123">
        <v>136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ROW(Source!A361)</f>
        <v>361</v>
      </c>
      <c r="B124">
        <v>75702418</v>
      </c>
      <c r="C124">
        <v>75701778</v>
      </c>
      <c r="D124">
        <v>75390588</v>
      </c>
      <c r="E124">
        <v>1</v>
      </c>
      <c r="F124">
        <v>1</v>
      </c>
      <c r="G124">
        <v>39</v>
      </c>
      <c r="H124">
        <v>3</v>
      </c>
      <c r="I124" t="s">
        <v>350</v>
      </c>
      <c r="J124" t="s">
        <v>351</v>
      </c>
      <c r="K124" t="s">
        <v>352</v>
      </c>
      <c r="L124">
        <v>1339</v>
      </c>
      <c r="N124">
        <v>1007</v>
      </c>
      <c r="O124" t="s">
        <v>353</v>
      </c>
      <c r="P124" t="s">
        <v>353</v>
      </c>
      <c r="Q124">
        <v>1</v>
      </c>
      <c r="X124">
        <v>0.24</v>
      </c>
      <c r="Y124">
        <v>49.83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0.24</v>
      </c>
      <c r="AH124">
        <v>2</v>
      </c>
      <c r="AI124">
        <v>75701781</v>
      </c>
      <c r="AJ124">
        <v>137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ROW(Source!A361)</f>
        <v>361</v>
      </c>
      <c r="B125">
        <v>75702419</v>
      </c>
      <c r="C125">
        <v>75701778</v>
      </c>
      <c r="D125">
        <v>75390936</v>
      </c>
      <c r="E125">
        <v>1</v>
      </c>
      <c r="F125">
        <v>1</v>
      </c>
      <c r="G125">
        <v>39</v>
      </c>
      <c r="H125">
        <v>3</v>
      </c>
      <c r="I125" t="s">
        <v>406</v>
      </c>
      <c r="J125" t="s">
        <v>407</v>
      </c>
      <c r="K125" t="s">
        <v>408</v>
      </c>
      <c r="L125">
        <v>1327</v>
      </c>
      <c r="N125">
        <v>1005</v>
      </c>
      <c r="O125" t="s">
        <v>132</v>
      </c>
      <c r="P125" t="s">
        <v>132</v>
      </c>
      <c r="Q125">
        <v>1</v>
      </c>
      <c r="X125">
        <v>1.6</v>
      </c>
      <c r="Y125">
        <v>338.51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1.6</v>
      </c>
      <c r="AH125">
        <v>2</v>
      </c>
      <c r="AI125">
        <v>75701782</v>
      </c>
      <c r="AJ125">
        <v>138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ROW(Source!A361)</f>
        <v>361</v>
      </c>
      <c r="B126">
        <v>75702420</v>
      </c>
      <c r="C126">
        <v>75701778</v>
      </c>
      <c r="D126">
        <v>75390952</v>
      </c>
      <c r="E126">
        <v>1</v>
      </c>
      <c r="F126">
        <v>1</v>
      </c>
      <c r="G126">
        <v>39</v>
      </c>
      <c r="H126">
        <v>3</v>
      </c>
      <c r="I126" t="s">
        <v>409</v>
      </c>
      <c r="J126" t="s">
        <v>410</v>
      </c>
      <c r="K126" t="s">
        <v>411</v>
      </c>
      <c r="L126">
        <v>1348</v>
      </c>
      <c r="N126">
        <v>1009</v>
      </c>
      <c r="O126" t="s">
        <v>68</v>
      </c>
      <c r="P126" t="s">
        <v>68</v>
      </c>
      <c r="Q126">
        <v>1000</v>
      </c>
      <c r="X126">
        <v>6.7999999999999996E-3</v>
      </c>
      <c r="Y126">
        <v>76204.789999999994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6.7999999999999996E-3</v>
      </c>
      <c r="AH126">
        <v>2</v>
      </c>
      <c r="AI126">
        <v>75701783</v>
      </c>
      <c r="AJ126">
        <v>139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ROW(Source!A361)</f>
        <v>361</v>
      </c>
      <c r="B127">
        <v>75702421</v>
      </c>
      <c r="C127">
        <v>75701778</v>
      </c>
      <c r="D127">
        <v>75389192</v>
      </c>
      <c r="E127">
        <v>1</v>
      </c>
      <c r="F127">
        <v>1</v>
      </c>
      <c r="G127">
        <v>39</v>
      </c>
      <c r="H127">
        <v>3</v>
      </c>
      <c r="I127" t="s">
        <v>454</v>
      </c>
      <c r="J127" t="s">
        <v>455</v>
      </c>
      <c r="K127" t="s">
        <v>456</v>
      </c>
      <c r="L127">
        <v>1346</v>
      </c>
      <c r="N127">
        <v>1009</v>
      </c>
      <c r="O127" t="s">
        <v>63</v>
      </c>
      <c r="P127" t="s">
        <v>63</v>
      </c>
      <c r="Q127">
        <v>1</v>
      </c>
      <c r="X127">
        <v>24.8</v>
      </c>
      <c r="Y127">
        <v>157.52000000000001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24.8</v>
      </c>
      <c r="AH127">
        <v>2</v>
      </c>
      <c r="AI127">
        <v>75701784</v>
      </c>
      <c r="AJ127">
        <v>140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ROW(Source!A361)</f>
        <v>361</v>
      </c>
      <c r="B128">
        <v>75702422</v>
      </c>
      <c r="C128">
        <v>75701778</v>
      </c>
      <c r="D128">
        <v>75389195</v>
      </c>
      <c r="E128">
        <v>1</v>
      </c>
      <c r="F128">
        <v>1</v>
      </c>
      <c r="G128">
        <v>39</v>
      </c>
      <c r="H128">
        <v>3</v>
      </c>
      <c r="I128" t="s">
        <v>415</v>
      </c>
      <c r="J128" t="s">
        <v>416</v>
      </c>
      <c r="K128" t="s">
        <v>417</v>
      </c>
      <c r="L128">
        <v>1346</v>
      </c>
      <c r="N128">
        <v>1009</v>
      </c>
      <c r="O128" t="s">
        <v>63</v>
      </c>
      <c r="P128" t="s">
        <v>63</v>
      </c>
      <c r="Q128">
        <v>1</v>
      </c>
      <c r="X128">
        <v>14</v>
      </c>
      <c r="Y128">
        <v>80.599999999999994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14</v>
      </c>
      <c r="AH128">
        <v>2</v>
      </c>
      <c r="AI128">
        <v>75701785</v>
      </c>
      <c r="AJ128">
        <v>141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ROW(Source!A397)</f>
        <v>397</v>
      </c>
      <c r="B129">
        <v>75702423</v>
      </c>
      <c r="C129">
        <v>75701849</v>
      </c>
      <c r="D129">
        <v>75386788</v>
      </c>
      <c r="E129">
        <v>39</v>
      </c>
      <c r="F129">
        <v>1</v>
      </c>
      <c r="G129">
        <v>39</v>
      </c>
      <c r="H129">
        <v>1</v>
      </c>
      <c r="I129" t="s">
        <v>332</v>
      </c>
      <c r="J129" t="s">
        <v>3</v>
      </c>
      <c r="K129" t="s">
        <v>333</v>
      </c>
      <c r="L129">
        <v>1191</v>
      </c>
      <c r="N129">
        <v>1013</v>
      </c>
      <c r="O129" t="s">
        <v>334</v>
      </c>
      <c r="P129" t="s">
        <v>334</v>
      </c>
      <c r="Q129">
        <v>1</v>
      </c>
      <c r="X129">
        <v>7.4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261</v>
      </c>
      <c r="AG129">
        <v>1.4800000000000002</v>
      </c>
      <c r="AH129">
        <v>2</v>
      </c>
      <c r="AI129">
        <v>75701850</v>
      </c>
      <c r="AJ129">
        <v>142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ROW(Source!A397)</f>
        <v>397</v>
      </c>
      <c r="B130">
        <v>75702424</v>
      </c>
      <c r="C130">
        <v>75701849</v>
      </c>
      <c r="D130">
        <v>75390706</v>
      </c>
      <c r="E130">
        <v>1</v>
      </c>
      <c r="F130">
        <v>1</v>
      </c>
      <c r="G130">
        <v>39</v>
      </c>
      <c r="H130">
        <v>3</v>
      </c>
      <c r="I130" t="s">
        <v>457</v>
      </c>
      <c r="J130" t="s">
        <v>458</v>
      </c>
      <c r="K130" t="s">
        <v>459</v>
      </c>
      <c r="L130">
        <v>1301</v>
      </c>
      <c r="N130">
        <v>1003</v>
      </c>
      <c r="O130" t="s">
        <v>49</v>
      </c>
      <c r="P130" t="s">
        <v>49</v>
      </c>
      <c r="Q130">
        <v>1</v>
      </c>
      <c r="X130">
        <v>13</v>
      </c>
      <c r="Y130">
        <v>2.2400000000000002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260</v>
      </c>
      <c r="AG130">
        <v>0</v>
      </c>
      <c r="AH130">
        <v>2</v>
      </c>
      <c r="AI130">
        <v>75701851</v>
      </c>
      <c r="AJ130">
        <v>143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ROW(Source!A397)</f>
        <v>397</v>
      </c>
      <c r="B131">
        <v>75702425</v>
      </c>
      <c r="C131">
        <v>75701849</v>
      </c>
      <c r="D131">
        <v>75390645</v>
      </c>
      <c r="E131">
        <v>1</v>
      </c>
      <c r="F131">
        <v>1</v>
      </c>
      <c r="G131">
        <v>39</v>
      </c>
      <c r="H131">
        <v>3</v>
      </c>
      <c r="I131" t="s">
        <v>460</v>
      </c>
      <c r="J131" t="s">
        <v>461</v>
      </c>
      <c r="K131" t="s">
        <v>462</v>
      </c>
      <c r="L131">
        <v>1296</v>
      </c>
      <c r="N131">
        <v>1002</v>
      </c>
      <c r="O131" t="s">
        <v>402</v>
      </c>
      <c r="P131" t="s">
        <v>402</v>
      </c>
      <c r="Q131">
        <v>1</v>
      </c>
      <c r="X131">
        <v>0.56999999999999995</v>
      </c>
      <c r="Y131">
        <v>594.64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260</v>
      </c>
      <c r="AG131">
        <v>0</v>
      </c>
      <c r="AH131">
        <v>2</v>
      </c>
      <c r="AI131">
        <v>75701852</v>
      </c>
      <c r="AJ131">
        <v>144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ROW(Source!A397)</f>
        <v>397</v>
      </c>
      <c r="B132">
        <v>75702426</v>
      </c>
      <c r="C132">
        <v>75701849</v>
      </c>
      <c r="D132">
        <v>75386977</v>
      </c>
      <c r="E132">
        <v>39</v>
      </c>
      <c r="F132">
        <v>1</v>
      </c>
      <c r="G132">
        <v>39</v>
      </c>
      <c r="H132">
        <v>3</v>
      </c>
      <c r="I132" t="s">
        <v>487</v>
      </c>
      <c r="J132" t="s">
        <v>3</v>
      </c>
      <c r="K132" t="s">
        <v>488</v>
      </c>
      <c r="L132">
        <v>1301</v>
      </c>
      <c r="N132">
        <v>1003</v>
      </c>
      <c r="O132" t="s">
        <v>49</v>
      </c>
      <c r="P132" t="s">
        <v>49</v>
      </c>
      <c r="Q132">
        <v>1</v>
      </c>
      <c r="X132">
        <v>101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 t="s">
        <v>260</v>
      </c>
      <c r="AG132">
        <v>0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ROW(Source!A398)</f>
        <v>398</v>
      </c>
      <c r="B133">
        <v>75702427</v>
      </c>
      <c r="C133">
        <v>75701857</v>
      </c>
      <c r="D133">
        <v>75386788</v>
      </c>
      <c r="E133">
        <v>39</v>
      </c>
      <c r="F133">
        <v>1</v>
      </c>
      <c r="G133">
        <v>39</v>
      </c>
      <c r="H133">
        <v>1</v>
      </c>
      <c r="I133" t="s">
        <v>332</v>
      </c>
      <c r="J133" t="s">
        <v>3</v>
      </c>
      <c r="K133" t="s">
        <v>333</v>
      </c>
      <c r="L133">
        <v>1191</v>
      </c>
      <c r="N133">
        <v>1013</v>
      </c>
      <c r="O133" t="s">
        <v>334</v>
      </c>
      <c r="P133" t="s">
        <v>334</v>
      </c>
      <c r="Q133">
        <v>1</v>
      </c>
      <c r="X133">
        <v>8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261</v>
      </c>
      <c r="AG133">
        <v>1.6</v>
      </c>
      <c r="AH133">
        <v>2</v>
      </c>
      <c r="AI133">
        <v>75701858</v>
      </c>
      <c r="AJ133">
        <v>145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ROW(Source!A398)</f>
        <v>398</v>
      </c>
      <c r="B134">
        <v>75702428</v>
      </c>
      <c r="C134">
        <v>75701857</v>
      </c>
      <c r="D134">
        <v>75390706</v>
      </c>
      <c r="E134">
        <v>1</v>
      </c>
      <c r="F134">
        <v>1</v>
      </c>
      <c r="G134">
        <v>39</v>
      </c>
      <c r="H134">
        <v>3</v>
      </c>
      <c r="I134" t="s">
        <v>457</v>
      </c>
      <c r="J134" t="s">
        <v>458</v>
      </c>
      <c r="K134" t="s">
        <v>459</v>
      </c>
      <c r="L134">
        <v>1301</v>
      </c>
      <c r="N134">
        <v>1003</v>
      </c>
      <c r="O134" t="s">
        <v>49</v>
      </c>
      <c r="P134" t="s">
        <v>49</v>
      </c>
      <c r="Q134">
        <v>1</v>
      </c>
      <c r="X134">
        <v>13</v>
      </c>
      <c r="Y134">
        <v>2.2400000000000002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260</v>
      </c>
      <c r="AG134">
        <v>0</v>
      </c>
      <c r="AH134">
        <v>2</v>
      </c>
      <c r="AI134">
        <v>75701859</v>
      </c>
      <c r="AJ134">
        <v>146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ROW(Source!A398)</f>
        <v>398</v>
      </c>
      <c r="B135">
        <v>75702429</v>
      </c>
      <c r="C135">
        <v>75701857</v>
      </c>
      <c r="D135">
        <v>75390645</v>
      </c>
      <c r="E135">
        <v>1</v>
      </c>
      <c r="F135">
        <v>1</v>
      </c>
      <c r="G135">
        <v>39</v>
      </c>
      <c r="H135">
        <v>3</v>
      </c>
      <c r="I135" t="s">
        <v>460</v>
      </c>
      <c r="J135" t="s">
        <v>461</v>
      </c>
      <c r="K135" t="s">
        <v>462</v>
      </c>
      <c r="L135">
        <v>1296</v>
      </c>
      <c r="N135">
        <v>1002</v>
      </c>
      <c r="O135" t="s">
        <v>402</v>
      </c>
      <c r="P135" t="s">
        <v>402</v>
      </c>
      <c r="Q135">
        <v>1</v>
      </c>
      <c r="X135">
        <v>0.56999999999999995</v>
      </c>
      <c r="Y135">
        <v>594.64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260</v>
      </c>
      <c r="AG135">
        <v>0</v>
      </c>
      <c r="AH135">
        <v>2</v>
      </c>
      <c r="AI135">
        <v>75701860</v>
      </c>
      <c r="AJ135">
        <v>147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ROW(Source!A398)</f>
        <v>398</v>
      </c>
      <c r="B136">
        <v>75702430</v>
      </c>
      <c r="C136">
        <v>75701857</v>
      </c>
      <c r="D136">
        <v>75386977</v>
      </c>
      <c r="E136">
        <v>39</v>
      </c>
      <c r="F136">
        <v>1</v>
      </c>
      <c r="G136">
        <v>39</v>
      </c>
      <c r="H136">
        <v>3</v>
      </c>
      <c r="I136" t="s">
        <v>487</v>
      </c>
      <c r="J136" t="s">
        <v>3</v>
      </c>
      <c r="K136" t="s">
        <v>488</v>
      </c>
      <c r="L136">
        <v>1301</v>
      </c>
      <c r="N136">
        <v>1003</v>
      </c>
      <c r="O136" t="s">
        <v>49</v>
      </c>
      <c r="P136" t="s">
        <v>49</v>
      </c>
      <c r="Q136">
        <v>1</v>
      </c>
      <c r="X136">
        <v>101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260</v>
      </c>
      <c r="AG136">
        <v>0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ROW(Source!A399)</f>
        <v>399</v>
      </c>
      <c r="B137">
        <v>75702431</v>
      </c>
      <c r="C137">
        <v>75701865</v>
      </c>
      <c r="D137">
        <v>75386788</v>
      </c>
      <c r="E137">
        <v>39</v>
      </c>
      <c r="F137">
        <v>1</v>
      </c>
      <c r="G137">
        <v>39</v>
      </c>
      <c r="H137">
        <v>1</v>
      </c>
      <c r="I137" t="s">
        <v>332</v>
      </c>
      <c r="J137" t="s">
        <v>3</v>
      </c>
      <c r="K137" t="s">
        <v>333</v>
      </c>
      <c r="L137">
        <v>1191</v>
      </c>
      <c r="N137">
        <v>1013</v>
      </c>
      <c r="O137" t="s">
        <v>334</v>
      </c>
      <c r="P137" t="s">
        <v>334</v>
      </c>
      <c r="Q137">
        <v>1</v>
      </c>
      <c r="X137">
        <v>7.4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3</v>
      </c>
      <c r="AG137">
        <v>7.4</v>
      </c>
      <c r="AH137">
        <v>2</v>
      </c>
      <c r="AI137">
        <v>75701866</v>
      </c>
      <c r="AJ137">
        <v>148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ROW(Source!A399)</f>
        <v>399</v>
      </c>
      <c r="B138">
        <v>75702432</v>
      </c>
      <c r="C138">
        <v>75701865</v>
      </c>
      <c r="D138">
        <v>75390706</v>
      </c>
      <c r="E138">
        <v>1</v>
      </c>
      <c r="F138">
        <v>1</v>
      </c>
      <c r="G138">
        <v>39</v>
      </c>
      <c r="H138">
        <v>3</v>
      </c>
      <c r="I138" t="s">
        <v>457</v>
      </c>
      <c r="J138" t="s">
        <v>458</v>
      </c>
      <c r="K138" t="s">
        <v>459</v>
      </c>
      <c r="L138">
        <v>1301</v>
      </c>
      <c r="N138">
        <v>1003</v>
      </c>
      <c r="O138" t="s">
        <v>49</v>
      </c>
      <c r="P138" t="s">
        <v>49</v>
      </c>
      <c r="Q138">
        <v>1</v>
      </c>
      <c r="X138">
        <v>13</v>
      </c>
      <c r="Y138">
        <v>2.2400000000000002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13</v>
      </c>
      <c r="AH138">
        <v>2</v>
      </c>
      <c r="AI138">
        <v>75701867</v>
      </c>
      <c r="AJ138">
        <v>150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ROW(Source!A399)</f>
        <v>399</v>
      </c>
      <c r="B139">
        <v>75702433</v>
      </c>
      <c r="C139">
        <v>75701865</v>
      </c>
      <c r="D139">
        <v>75390645</v>
      </c>
      <c r="E139">
        <v>1</v>
      </c>
      <c r="F139">
        <v>1</v>
      </c>
      <c r="G139">
        <v>39</v>
      </c>
      <c r="H139">
        <v>3</v>
      </c>
      <c r="I139" t="s">
        <v>460</v>
      </c>
      <c r="J139" t="s">
        <v>461</v>
      </c>
      <c r="K139" t="s">
        <v>462</v>
      </c>
      <c r="L139">
        <v>1296</v>
      </c>
      <c r="N139">
        <v>1002</v>
      </c>
      <c r="O139" t="s">
        <v>402</v>
      </c>
      <c r="P139" t="s">
        <v>402</v>
      </c>
      <c r="Q139">
        <v>1</v>
      </c>
      <c r="X139">
        <v>0.56999999999999995</v>
      </c>
      <c r="Y139">
        <v>594.64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0.56999999999999995</v>
      </c>
      <c r="AH139">
        <v>2</v>
      </c>
      <c r="AI139">
        <v>75701868</v>
      </c>
      <c r="AJ139">
        <v>151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ROW(Source!A399)</f>
        <v>399</v>
      </c>
      <c r="B140">
        <v>75702434</v>
      </c>
      <c r="C140">
        <v>75701865</v>
      </c>
      <c r="D140">
        <v>75386977</v>
      </c>
      <c r="E140">
        <v>39</v>
      </c>
      <c r="F140">
        <v>1</v>
      </c>
      <c r="G140">
        <v>39</v>
      </c>
      <c r="H140">
        <v>3</v>
      </c>
      <c r="I140" t="s">
        <v>487</v>
      </c>
      <c r="J140" t="s">
        <v>3</v>
      </c>
      <c r="K140" t="s">
        <v>488</v>
      </c>
      <c r="L140">
        <v>1301</v>
      </c>
      <c r="N140">
        <v>1003</v>
      </c>
      <c r="O140" t="s">
        <v>49</v>
      </c>
      <c r="P140" t="s">
        <v>49</v>
      </c>
      <c r="Q140">
        <v>1</v>
      </c>
      <c r="X140">
        <v>101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 t="s">
        <v>3</v>
      </c>
      <c r="AG140">
        <v>101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ROW(Source!A401)</f>
        <v>401</v>
      </c>
      <c r="B141">
        <v>75702435</v>
      </c>
      <c r="C141">
        <v>75701875</v>
      </c>
      <c r="D141">
        <v>75386788</v>
      </c>
      <c r="E141">
        <v>39</v>
      </c>
      <c r="F141">
        <v>1</v>
      </c>
      <c r="G141">
        <v>39</v>
      </c>
      <c r="H141">
        <v>1</v>
      </c>
      <c r="I141" t="s">
        <v>332</v>
      </c>
      <c r="J141" t="s">
        <v>3</v>
      </c>
      <c r="K141" t="s">
        <v>333</v>
      </c>
      <c r="L141">
        <v>1191</v>
      </c>
      <c r="N141">
        <v>1013</v>
      </c>
      <c r="O141" t="s">
        <v>334</v>
      </c>
      <c r="P141" t="s">
        <v>334</v>
      </c>
      <c r="Q141">
        <v>1</v>
      </c>
      <c r="X141">
        <v>8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3</v>
      </c>
      <c r="AG141">
        <v>8</v>
      </c>
      <c r="AH141">
        <v>2</v>
      </c>
      <c r="AI141">
        <v>75701876</v>
      </c>
      <c r="AJ141">
        <v>152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ROW(Source!A401)</f>
        <v>401</v>
      </c>
      <c r="B142">
        <v>75702436</v>
      </c>
      <c r="C142">
        <v>75701875</v>
      </c>
      <c r="D142">
        <v>75390706</v>
      </c>
      <c r="E142">
        <v>1</v>
      </c>
      <c r="F142">
        <v>1</v>
      </c>
      <c r="G142">
        <v>39</v>
      </c>
      <c r="H142">
        <v>3</v>
      </c>
      <c r="I142" t="s">
        <v>457</v>
      </c>
      <c r="J142" t="s">
        <v>458</v>
      </c>
      <c r="K142" t="s">
        <v>459</v>
      </c>
      <c r="L142">
        <v>1301</v>
      </c>
      <c r="N142">
        <v>1003</v>
      </c>
      <c r="O142" t="s">
        <v>49</v>
      </c>
      <c r="P142" t="s">
        <v>49</v>
      </c>
      <c r="Q142">
        <v>1</v>
      </c>
      <c r="X142">
        <v>13</v>
      </c>
      <c r="Y142">
        <v>2.2400000000000002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13</v>
      </c>
      <c r="AH142">
        <v>2</v>
      </c>
      <c r="AI142">
        <v>75701877</v>
      </c>
      <c r="AJ142">
        <v>154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ROW(Source!A401)</f>
        <v>401</v>
      </c>
      <c r="B143">
        <v>75702437</v>
      </c>
      <c r="C143">
        <v>75701875</v>
      </c>
      <c r="D143">
        <v>75390645</v>
      </c>
      <c r="E143">
        <v>1</v>
      </c>
      <c r="F143">
        <v>1</v>
      </c>
      <c r="G143">
        <v>39</v>
      </c>
      <c r="H143">
        <v>3</v>
      </c>
      <c r="I143" t="s">
        <v>460</v>
      </c>
      <c r="J143" t="s">
        <v>461</v>
      </c>
      <c r="K143" t="s">
        <v>462</v>
      </c>
      <c r="L143">
        <v>1296</v>
      </c>
      <c r="N143">
        <v>1002</v>
      </c>
      <c r="O143" t="s">
        <v>402</v>
      </c>
      <c r="P143" t="s">
        <v>402</v>
      </c>
      <c r="Q143">
        <v>1</v>
      </c>
      <c r="X143">
        <v>0.56999999999999995</v>
      </c>
      <c r="Y143">
        <v>594.64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0.56999999999999995</v>
      </c>
      <c r="AH143">
        <v>2</v>
      </c>
      <c r="AI143">
        <v>75701878</v>
      </c>
      <c r="AJ143">
        <v>155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ROW(Source!A401)</f>
        <v>401</v>
      </c>
      <c r="B144">
        <v>75702438</v>
      </c>
      <c r="C144">
        <v>75701875</v>
      </c>
      <c r="D144">
        <v>75386977</v>
      </c>
      <c r="E144">
        <v>39</v>
      </c>
      <c r="F144">
        <v>1</v>
      </c>
      <c r="G144">
        <v>39</v>
      </c>
      <c r="H144">
        <v>3</v>
      </c>
      <c r="I144" t="s">
        <v>487</v>
      </c>
      <c r="J144" t="s">
        <v>3</v>
      </c>
      <c r="K144" t="s">
        <v>488</v>
      </c>
      <c r="L144">
        <v>1301</v>
      </c>
      <c r="N144">
        <v>1003</v>
      </c>
      <c r="O144" t="s">
        <v>49</v>
      </c>
      <c r="P144" t="s">
        <v>49</v>
      </c>
      <c r="Q144">
        <v>1</v>
      </c>
      <c r="X144">
        <v>101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 t="s">
        <v>3</v>
      </c>
      <c r="AG144">
        <v>101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ROW(Source!A438)</f>
        <v>438</v>
      </c>
      <c r="B145">
        <v>75702439</v>
      </c>
      <c r="C145">
        <v>75701941</v>
      </c>
      <c r="D145">
        <v>75386788</v>
      </c>
      <c r="E145">
        <v>39</v>
      </c>
      <c r="F145">
        <v>1</v>
      </c>
      <c r="G145">
        <v>39</v>
      </c>
      <c r="H145">
        <v>1</v>
      </c>
      <c r="I145" t="s">
        <v>332</v>
      </c>
      <c r="J145" t="s">
        <v>3</v>
      </c>
      <c r="K145" t="s">
        <v>333</v>
      </c>
      <c r="L145">
        <v>1191</v>
      </c>
      <c r="N145">
        <v>1013</v>
      </c>
      <c r="O145" t="s">
        <v>334</v>
      </c>
      <c r="P145" t="s">
        <v>334</v>
      </c>
      <c r="Q145">
        <v>1</v>
      </c>
      <c r="X145">
        <v>60.8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3</v>
      </c>
      <c r="AG145">
        <v>60.8</v>
      </c>
      <c r="AH145">
        <v>2</v>
      </c>
      <c r="AI145">
        <v>75701942</v>
      </c>
      <c r="AJ145">
        <v>156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ROW(Source!A438)</f>
        <v>438</v>
      </c>
      <c r="B146">
        <v>75702440</v>
      </c>
      <c r="C146">
        <v>75701941</v>
      </c>
      <c r="D146">
        <v>75386789</v>
      </c>
      <c r="E146">
        <v>39</v>
      </c>
      <c r="F146">
        <v>1</v>
      </c>
      <c r="G146">
        <v>39</v>
      </c>
      <c r="H146">
        <v>3</v>
      </c>
      <c r="I146" t="s">
        <v>339</v>
      </c>
      <c r="J146" t="s">
        <v>3</v>
      </c>
      <c r="K146" t="s">
        <v>340</v>
      </c>
      <c r="L146">
        <v>1348</v>
      </c>
      <c r="N146">
        <v>1009</v>
      </c>
      <c r="O146" t="s">
        <v>68</v>
      </c>
      <c r="P146" t="s">
        <v>68</v>
      </c>
      <c r="Q146">
        <v>1000</v>
      </c>
      <c r="X146">
        <v>1.66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1.66</v>
      </c>
      <c r="AH146">
        <v>2</v>
      </c>
      <c r="AI146">
        <v>75701943</v>
      </c>
      <c r="AJ146">
        <v>157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ROW(Source!A439)</f>
        <v>439</v>
      </c>
      <c r="B147">
        <v>75702441</v>
      </c>
      <c r="C147">
        <v>75701946</v>
      </c>
      <c r="D147">
        <v>75386788</v>
      </c>
      <c r="E147">
        <v>39</v>
      </c>
      <c r="F147">
        <v>1</v>
      </c>
      <c r="G147">
        <v>39</v>
      </c>
      <c r="H147">
        <v>1</v>
      </c>
      <c r="I147" t="s">
        <v>332</v>
      </c>
      <c r="J147" t="s">
        <v>3</v>
      </c>
      <c r="K147" t="s">
        <v>333</v>
      </c>
      <c r="L147">
        <v>1191</v>
      </c>
      <c r="N147">
        <v>1013</v>
      </c>
      <c r="O147" t="s">
        <v>334</v>
      </c>
      <c r="P147" t="s">
        <v>334</v>
      </c>
      <c r="Q147">
        <v>1</v>
      </c>
      <c r="X147">
        <v>77.86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161</v>
      </c>
      <c r="AG147">
        <v>15.572000000000001</v>
      </c>
      <c r="AH147">
        <v>2</v>
      </c>
      <c r="AI147">
        <v>75701947</v>
      </c>
      <c r="AJ147">
        <v>158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ROW(Source!A439)</f>
        <v>439</v>
      </c>
      <c r="B148">
        <v>75702442</v>
      </c>
      <c r="C148">
        <v>75701946</v>
      </c>
      <c r="D148">
        <v>75389672</v>
      </c>
      <c r="E148">
        <v>1</v>
      </c>
      <c r="F148">
        <v>1</v>
      </c>
      <c r="G148">
        <v>39</v>
      </c>
      <c r="H148">
        <v>3</v>
      </c>
      <c r="I148" t="s">
        <v>381</v>
      </c>
      <c r="J148" t="s">
        <v>382</v>
      </c>
      <c r="K148" t="s">
        <v>383</v>
      </c>
      <c r="L148">
        <v>1348</v>
      </c>
      <c r="N148">
        <v>1009</v>
      </c>
      <c r="O148" t="s">
        <v>68</v>
      </c>
      <c r="P148" t="s">
        <v>68</v>
      </c>
      <c r="Q148">
        <v>1000</v>
      </c>
      <c r="X148">
        <v>1.2E-2</v>
      </c>
      <c r="Y148">
        <v>95976.83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160</v>
      </c>
      <c r="AG148">
        <v>0</v>
      </c>
      <c r="AH148">
        <v>2</v>
      </c>
      <c r="AI148">
        <v>75701948</v>
      </c>
      <c r="AJ148">
        <v>159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ROW(Source!A439)</f>
        <v>439</v>
      </c>
      <c r="B149">
        <v>75702443</v>
      </c>
      <c r="C149">
        <v>75701946</v>
      </c>
      <c r="D149">
        <v>75389710</v>
      </c>
      <c r="E149">
        <v>1</v>
      </c>
      <c r="F149">
        <v>1</v>
      </c>
      <c r="G149">
        <v>39</v>
      </c>
      <c r="H149">
        <v>3</v>
      </c>
      <c r="I149" t="s">
        <v>418</v>
      </c>
      <c r="J149" t="s">
        <v>419</v>
      </c>
      <c r="K149" t="s">
        <v>420</v>
      </c>
      <c r="L149">
        <v>1348</v>
      </c>
      <c r="N149">
        <v>1009</v>
      </c>
      <c r="O149" t="s">
        <v>68</v>
      </c>
      <c r="P149" t="s">
        <v>68</v>
      </c>
      <c r="Q149">
        <v>1000</v>
      </c>
      <c r="X149">
        <v>3.5000000000000003E-2</v>
      </c>
      <c r="Y149">
        <v>87313.75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160</v>
      </c>
      <c r="AG149">
        <v>0</v>
      </c>
      <c r="AH149">
        <v>2</v>
      </c>
      <c r="AI149">
        <v>75701949</v>
      </c>
      <c r="AJ149">
        <v>160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ROW(Source!A439)</f>
        <v>439</v>
      </c>
      <c r="B150">
        <v>75702444</v>
      </c>
      <c r="C150">
        <v>75701946</v>
      </c>
      <c r="D150">
        <v>75393920</v>
      </c>
      <c r="E150">
        <v>1</v>
      </c>
      <c r="F150">
        <v>1</v>
      </c>
      <c r="G150">
        <v>39</v>
      </c>
      <c r="H150">
        <v>3</v>
      </c>
      <c r="I150" t="s">
        <v>421</v>
      </c>
      <c r="J150" t="s">
        <v>422</v>
      </c>
      <c r="K150" t="s">
        <v>423</v>
      </c>
      <c r="L150">
        <v>1301</v>
      </c>
      <c r="N150">
        <v>1003</v>
      </c>
      <c r="O150" t="s">
        <v>49</v>
      </c>
      <c r="P150" t="s">
        <v>49</v>
      </c>
      <c r="Q150">
        <v>1</v>
      </c>
      <c r="X150">
        <v>400</v>
      </c>
      <c r="Y150">
        <v>27.14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160</v>
      </c>
      <c r="AG150">
        <v>0</v>
      </c>
      <c r="AH150">
        <v>2</v>
      </c>
      <c r="AI150">
        <v>75701950</v>
      </c>
      <c r="AJ150">
        <v>161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ROW(Source!A440)</f>
        <v>440</v>
      </c>
      <c r="B151">
        <v>75702445</v>
      </c>
      <c r="C151">
        <v>75701955</v>
      </c>
      <c r="D151">
        <v>75386788</v>
      </c>
      <c r="E151">
        <v>39</v>
      </c>
      <c r="F151">
        <v>1</v>
      </c>
      <c r="G151">
        <v>39</v>
      </c>
      <c r="H151">
        <v>1</v>
      </c>
      <c r="I151" t="s">
        <v>332</v>
      </c>
      <c r="J151" t="s">
        <v>3</v>
      </c>
      <c r="K151" t="s">
        <v>333</v>
      </c>
      <c r="L151">
        <v>1191</v>
      </c>
      <c r="N151">
        <v>1013</v>
      </c>
      <c r="O151" t="s">
        <v>334</v>
      </c>
      <c r="P151" t="s">
        <v>334</v>
      </c>
      <c r="Q151">
        <v>1</v>
      </c>
      <c r="X151">
        <v>2.2400000000000002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3</v>
      </c>
      <c r="AG151">
        <v>2.2400000000000002</v>
      </c>
      <c r="AH151">
        <v>2</v>
      </c>
      <c r="AI151">
        <v>75701956</v>
      </c>
      <c r="AJ151">
        <v>162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ROW(Source!A440)</f>
        <v>440</v>
      </c>
      <c r="B152">
        <v>75702446</v>
      </c>
      <c r="C152">
        <v>75701955</v>
      </c>
      <c r="D152">
        <v>75388585</v>
      </c>
      <c r="E152">
        <v>1</v>
      </c>
      <c r="F152">
        <v>1</v>
      </c>
      <c r="G152">
        <v>39</v>
      </c>
      <c r="H152">
        <v>2</v>
      </c>
      <c r="I152" t="s">
        <v>384</v>
      </c>
      <c r="J152" t="s">
        <v>385</v>
      </c>
      <c r="K152" t="s">
        <v>386</v>
      </c>
      <c r="L152">
        <v>1368</v>
      </c>
      <c r="N152">
        <v>1011</v>
      </c>
      <c r="O152" t="s">
        <v>338</v>
      </c>
      <c r="P152" t="s">
        <v>338</v>
      </c>
      <c r="Q152">
        <v>1</v>
      </c>
      <c r="X152">
        <v>0.02</v>
      </c>
      <c r="Y152">
        <v>0</v>
      </c>
      <c r="Z152">
        <v>6.13</v>
      </c>
      <c r="AA152">
        <v>1.91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0.02</v>
      </c>
      <c r="AH152">
        <v>2</v>
      </c>
      <c r="AI152">
        <v>75701957</v>
      </c>
      <c r="AJ152">
        <v>163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ROW(Source!A440)</f>
        <v>440</v>
      </c>
      <c r="B153">
        <v>75702447</v>
      </c>
      <c r="C153">
        <v>75701955</v>
      </c>
      <c r="D153">
        <v>75389751</v>
      </c>
      <c r="E153">
        <v>1</v>
      </c>
      <c r="F153">
        <v>1</v>
      </c>
      <c r="G153">
        <v>39</v>
      </c>
      <c r="H153">
        <v>3</v>
      </c>
      <c r="I153" t="s">
        <v>424</v>
      </c>
      <c r="J153" t="s">
        <v>425</v>
      </c>
      <c r="K153" t="s">
        <v>426</v>
      </c>
      <c r="L153">
        <v>1348</v>
      </c>
      <c r="N153">
        <v>1009</v>
      </c>
      <c r="O153" t="s">
        <v>68</v>
      </c>
      <c r="P153" t="s">
        <v>68</v>
      </c>
      <c r="Q153">
        <v>1000</v>
      </c>
      <c r="X153">
        <v>6.9999999999999994E-5</v>
      </c>
      <c r="Y153">
        <v>239140.75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6.9999999999999994E-5</v>
      </c>
      <c r="AH153">
        <v>2</v>
      </c>
      <c r="AI153">
        <v>75701958</v>
      </c>
      <c r="AJ153">
        <v>164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ROW(Source!A440)</f>
        <v>440</v>
      </c>
      <c r="B154">
        <v>75702448</v>
      </c>
      <c r="C154">
        <v>75701955</v>
      </c>
      <c r="D154">
        <v>75389824</v>
      </c>
      <c r="E154">
        <v>1</v>
      </c>
      <c r="F154">
        <v>1</v>
      </c>
      <c r="G154">
        <v>39</v>
      </c>
      <c r="H154">
        <v>3</v>
      </c>
      <c r="I154" t="s">
        <v>427</v>
      </c>
      <c r="J154" t="s">
        <v>428</v>
      </c>
      <c r="K154" t="s">
        <v>429</v>
      </c>
      <c r="L154">
        <v>1354</v>
      </c>
      <c r="N154">
        <v>1010</v>
      </c>
      <c r="O154" t="s">
        <v>171</v>
      </c>
      <c r="P154" t="s">
        <v>171</v>
      </c>
      <c r="Q154">
        <v>1</v>
      </c>
      <c r="X154">
        <v>0.04</v>
      </c>
      <c r="Y154">
        <v>2.31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0.04</v>
      </c>
      <c r="AH154">
        <v>2</v>
      </c>
      <c r="AI154">
        <v>75701959</v>
      </c>
      <c r="AJ154">
        <v>165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ROW(Source!A440)</f>
        <v>440</v>
      </c>
      <c r="B155">
        <v>75702449</v>
      </c>
      <c r="C155">
        <v>75701955</v>
      </c>
      <c r="D155">
        <v>75389710</v>
      </c>
      <c r="E155">
        <v>1</v>
      </c>
      <c r="F155">
        <v>1</v>
      </c>
      <c r="G155">
        <v>39</v>
      </c>
      <c r="H155">
        <v>3</v>
      </c>
      <c r="I155" t="s">
        <v>418</v>
      </c>
      <c r="J155" t="s">
        <v>419</v>
      </c>
      <c r="K155" t="s">
        <v>420</v>
      </c>
      <c r="L155">
        <v>1348</v>
      </c>
      <c r="N155">
        <v>1009</v>
      </c>
      <c r="O155" t="s">
        <v>68</v>
      </c>
      <c r="P155" t="s">
        <v>68</v>
      </c>
      <c r="Q155">
        <v>1000</v>
      </c>
      <c r="X155">
        <v>3.6000000000000002E-4</v>
      </c>
      <c r="Y155">
        <v>87313.75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3.6000000000000002E-4</v>
      </c>
      <c r="AH155">
        <v>2</v>
      </c>
      <c r="AI155">
        <v>75701960</v>
      </c>
      <c r="AJ155">
        <v>166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ROW(Source!A440)</f>
        <v>440</v>
      </c>
      <c r="B156">
        <v>75702450</v>
      </c>
      <c r="C156">
        <v>75701955</v>
      </c>
      <c r="D156">
        <v>75390591</v>
      </c>
      <c r="E156">
        <v>1</v>
      </c>
      <c r="F156">
        <v>1</v>
      </c>
      <c r="G156">
        <v>39</v>
      </c>
      <c r="H156">
        <v>3</v>
      </c>
      <c r="I156" t="s">
        <v>430</v>
      </c>
      <c r="J156" t="s">
        <v>431</v>
      </c>
      <c r="K156" t="s">
        <v>432</v>
      </c>
      <c r="L156">
        <v>1346</v>
      </c>
      <c r="N156">
        <v>1009</v>
      </c>
      <c r="O156" t="s">
        <v>63</v>
      </c>
      <c r="P156" t="s">
        <v>63</v>
      </c>
      <c r="Q156">
        <v>1</v>
      </c>
      <c r="X156">
        <v>0.03</v>
      </c>
      <c r="Y156">
        <v>656.56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0.03</v>
      </c>
      <c r="AH156">
        <v>2</v>
      </c>
      <c r="AI156">
        <v>75701961</v>
      </c>
      <c r="AJ156">
        <v>167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ROW(Source!A440)</f>
        <v>440</v>
      </c>
      <c r="B157">
        <v>75702451</v>
      </c>
      <c r="C157">
        <v>75701955</v>
      </c>
      <c r="D157">
        <v>75390621</v>
      </c>
      <c r="E157">
        <v>1</v>
      </c>
      <c r="F157">
        <v>1</v>
      </c>
      <c r="G157">
        <v>39</v>
      </c>
      <c r="H157">
        <v>3</v>
      </c>
      <c r="I157" t="s">
        <v>433</v>
      </c>
      <c r="J157" t="s">
        <v>434</v>
      </c>
      <c r="K157" t="s">
        <v>435</v>
      </c>
      <c r="L157">
        <v>1348</v>
      </c>
      <c r="N157">
        <v>1009</v>
      </c>
      <c r="O157" t="s">
        <v>68</v>
      </c>
      <c r="P157" t="s">
        <v>68</v>
      </c>
      <c r="Q157">
        <v>1000</v>
      </c>
      <c r="X157">
        <v>2.0000000000000001E-4</v>
      </c>
      <c r="Y157">
        <v>58866.75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2.0000000000000001E-4</v>
      </c>
      <c r="AH157">
        <v>2</v>
      </c>
      <c r="AI157">
        <v>75701962</v>
      </c>
      <c r="AJ157">
        <v>168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ROW(Source!A440)</f>
        <v>440</v>
      </c>
      <c r="B158">
        <v>75702452</v>
      </c>
      <c r="C158">
        <v>75701955</v>
      </c>
      <c r="D158">
        <v>75389029</v>
      </c>
      <c r="E158">
        <v>1</v>
      </c>
      <c r="F158">
        <v>1</v>
      </c>
      <c r="G158">
        <v>39</v>
      </c>
      <c r="H158">
        <v>3</v>
      </c>
      <c r="I158" t="s">
        <v>436</v>
      </c>
      <c r="J158" t="s">
        <v>437</v>
      </c>
      <c r="K158" t="s">
        <v>438</v>
      </c>
      <c r="L158">
        <v>1348</v>
      </c>
      <c r="N158">
        <v>1009</v>
      </c>
      <c r="O158" t="s">
        <v>68</v>
      </c>
      <c r="P158" t="s">
        <v>68</v>
      </c>
      <c r="Q158">
        <v>1000</v>
      </c>
      <c r="X158">
        <v>3.8000000000000002E-4</v>
      </c>
      <c r="Y158">
        <v>91558.65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3.8000000000000002E-4</v>
      </c>
      <c r="AH158">
        <v>2</v>
      </c>
      <c r="AI158">
        <v>75701963</v>
      </c>
      <c r="AJ158">
        <v>169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ROW(Source!A440)</f>
        <v>440</v>
      </c>
      <c r="B159">
        <v>75702453</v>
      </c>
      <c r="C159">
        <v>75701955</v>
      </c>
      <c r="D159">
        <v>75389070</v>
      </c>
      <c r="E159">
        <v>1</v>
      </c>
      <c r="F159">
        <v>1</v>
      </c>
      <c r="G159">
        <v>39</v>
      </c>
      <c r="H159">
        <v>3</v>
      </c>
      <c r="I159" t="s">
        <v>439</v>
      </c>
      <c r="J159" t="s">
        <v>440</v>
      </c>
      <c r="K159" t="s">
        <v>441</v>
      </c>
      <c r="L159">
        <v>1346</v>
      </c>
      <c r="N159">
        <v>1009</v>
      </c>
      <c r="O159" t="s">
        <v>63</v>
      </c>
      <c r="P159" t="s">
        <v>63</v>
      </c>
      <c r="Q159">
        <v>1</v>
      </c>
      <c r="X159">
        <v>0.04</v>
      </c>
      <c r="Y159">
        <v>99.65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0.04</v>
      </c>
      <c r="AH159">
        <v>2</v>
      </c>
      <c r="AI159">
        <v>75701964</v>
      </c>
      <c r="AJ159">
        <v>170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ROW(Source!A440)</f>
        <v>440</v>
      </c>
      <c r="B160">
        <v>75702454</v>
      </c>
      <c r="C160">
        <v>75701955</v>
      </c>
      <c r="D160">
        <v>75396250</v>
      </c>
      <c r="E160">
        <v>1</v>
      </c>
      <c r="F160">
        <v>1</v>
      </c>
      <c r="G160">
        <v>39</v>
      </c>
      <c r="H160">
        <v>3</v>
      </c>
      <c r="I160" t="s">
        <v>179</v>
      </c>
      <c r="J160" t="s">
        <v>181</v>
      </c>
      <c r="K160" t="s">
        <v>180</v>
      </c>
      <c r="L160">
        <v>1354</v>
      </c>
      <c r="N160">
        <v>1010</v>
      </c>
      <c r="O160" t="s">
        <v>171</v>
      </c>
      <c r="P160" t="s">
        <v>171</v>
      </c>
      <c r="Q160">
        <v>1</v>
      </c>
      <c r="X160">
        <v>1</v>
      </c>
      <c r="Y160">
        <v>1624.55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1</v>
      </c>
      <c r="AH160">
        <v>2</v>
      </c>
      <c r="AI160">
        <v>75701987</v>
      </c>
      <c r="AJ160">
        <v>171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ROW(Source!A440)</f>
        <v>440</v>
      </c>
      <c r="B161">
        <v>75702455</v>
      </c>
      <c r="C161">
        <v>75701955</v>
      </c>
      <c r="D161">
        <v>75396306</v>
      </c>
      <c r="E161">
        <v>1</v>
      </c>
      <c r="F161">
        <v>1</v>
      </c>
      <c r="G161">
        <v>39</v>
      </c>
      <c r="H161">
        <v>3</v>
      </c>
      <c r="I161" t="s">
        <v>442</v>
      </c>
      <c r="J161" t="s">
        <v>443</v>
      </c>
      <c r="K161" t="s">
        <v>444</v>
      </c>
      <c r="L161">
        <v>1354</v>
      </c>
      <c r="N161">
        <v>1010</v>
      </c>
      <c r="O161" t="s">
        <v>171</v>
      </c>
      <c r="P161" t="s">
        <v>171</v>
      </c>
      <c r="Q161">
        <v>1</v>
      </c>
      <c r="X161">
        <v>2</v>
      </c>
      <c r="Y161">
        <v>271.39999999999998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2</v>
      </c>
      <c r="AH161">
        <v>2</v>
      </c>
      <c r="AI161">
        <v>75701965</v>
      </c>
      <c r="AJ161">
        <v>172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ROW(Source!A440)</f>
        <v>440</v>
      </c>
      <c r="B162">
        <v>75702456</v>
      </c>
      <c r="C162">
        <v>75701955</v>
      </c>
      <c r="D162">
        <v>75396309</v>
      </c>
      <c r="E162">
        <v>1</v>
      </c>
      <c r="F162">
        <v>1</v>
      </c>
      <c r="G162">
        <v>39</v>
      </c>
      <c r="H162">
        <v>3</v>
      </c>
      <c r="I162" t="s">
        <v>445</v>
      </c>
      <c r="J162" t="s">
        <v>446</v>
      </c>
      <c r="K162" t="s">
        <v>447</v>
      </c>
      <c r="L162">
        <v>1354</v>
      </c>
      <c r="N162">
        <v>1010</v>
      </c>
      <c r="O162" t="s">
        <v>171</v>
      </c>
      <c r="P162" t="s">
        <v>171</v>
      </c>
      <c r="Q162">
        <v>1</v>
      </c>
      <c r="X162">
        <v>1</v>
      </c>
      <c r="Y162">
        <v>603.87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</v>
      </c>
      <c r="AH162">
        <v>2</v>
      </c>
      <c r="AI162">
        <v>75701966</v>
      </c>
      <c r="AJ162">
        <v>173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ROW(Source!A440)</f>
        <v>440</v>
      </c>
      <c r="B163">
        <v>75702457</v>
      </c>
      <c r="C163">
        <v>75701955</v>
      </c>
      <c r="D163">
        <v>75396313</v>
      </c>
      <c r="E163">
        <v>1</v>
      </c>
      <c r="F163">
        <v>1</v>
      </c>
      <c r="G163">
        <v>39</v>
      </c>
      <c r="H163">
        <v>3</v>
      </c>
      <c r="I163" t="s">
        <v>169</v>
      </c>
      <c r="J163" t="s">
        <v>172</v>
      </c>
      <c r="K163" t="s">
        <v>170</v>
      </c>
      <c r="L163">
        <v>1354</v>
      </c>
      <c r="N163">
        <v>1010</v>
      </c>
      <c r="O163" t="s">
        <v>171</v>
      </c>
      <c r="P163" t="s">
        <v>171</v>
      </c>
      <c r="Q163">
        <v>1</v>
      </c>
      <c r="X163">
        <v>1</v>
      </c>
      <c r="Y163">
        <v>5025.26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1</v>
      </c>
      <c r="AH163">
        <v>2</v>
      </c>
      <c r="AI163">
        <v>75701981</v>
      </c>
      <c r="AJ163">
        <v>174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ROW(Source!A445)</f>
        <v>445</v>
      </c>
      <c r="B164">
        <v>75702458</v>
      </c>
      <c r="C164">
        <v>75701988</v>
      </c>
      <c r="D164">
        <v>75386788</v>
      </c>
      <c r="E164">
        <v>39</v>
      </c>
      <c r="F164">
        <v>1</v>
      </c>
      <c r="G164">
        <v>39</v>
      </c>
      <c r="H164">
        <v>1</v>
      </c>
      <c r="I164" t="s">
        <v>332</v>
      </c>
      <c r="J164" t="s">
        <v>3</v>
      </c>
      <c r="K164" t="s">
        <v>333</v>
      </c>
      <c r="L164">
        <v>1191</v>
      </c>
      <c r="N164">
        <v>1013</v>
      </c>
      <c r="O164" t="s">
        <v>334</v>
      </c>
      <c r="P164" t="s">
        <v>334</v>
      </c>
      <c r="Q164">
        <v>1</v>
      </c>
      <c r="X164">
        <v>77.86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77.86</v>
      </c>
      <c r="AH164">
        <v>2</v>
      </c>
      <c r="AI164">
        <v>75701989</v>
      </c>
      <c r="AJ164">
        <v>177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ROW(Source!A445)</f>
        <v>445</v>
      </c>
      <c r="B165">
        <v>75702459</v>
      </c>
      <c r="C165">
        <v>75701988</v>
      </c>
      <c r="D165">
        <v>75389672</v>
      </c>
      <c r="E165">
        <v>1</v>
      </c>
      <c r="F165">
        <v>1</v>
      </c>
      <c r="G165">
        <v>39</v>
      </c>
      <c r="H165">
        <v>3</v>
      </c>
      <c r="I165" t="s">
        <v>381</v>
      </c>
      <c r="J165" t="s">
        <v>382</v>
      </c>
      <c r="K165" t="s">
        <v>383</v>
      </c>
      <c r="L165">
        <v>1348</v>
      </c>
      <c r="N165">
        <v>1009</v>
      </c>
      <c r="O165" t="s">
        <v>68</v>
      </c>
      <c r="P165" t="s">
        <v>68</v>
      </c>
      <c r="Q165">
        <v>1000</v>
      </c>
      <c r="X165">
        <v>1.2E-2</v>
      </c>
      <c r="Y165">
        <v>95976.83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1.2E-2</v>
      </c>
      <c r="AH165">
        <v>2</v>
      </c>
      <c r="AI165">
        <v>75701990</v>
      </c>
      <c r="AJ165">
        <v>178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ROW(Source!A445)</f>
        <v>445</v>
      </c>
      <c r="B166">
        <v>75702460</v>
      </c>
      <c r="C166">
        <v>75701988</v>
      </c>
      <c r="D166">
        <v>75389710</v>
      </c>
      <c r="E166">
        <v>1</v>
      </c>
      <c r="F166">
        <v>1</v>
      </c>
      <c r="G166">
        <v>39</v>
      </c>
      <c r="H166">
        <v>3</v>
      </c>
      <c r="I166" t="s">
        <v>418</v>
      </c>
      <c r="J166" t="s">
        <v>419</v>
      </c>
      <c r="K166" t="s">
        <v>420</v>
      </c>
      <c r="L166">
        <v>1348</v>
      </c>
      <c r="N166">
        <v>1009</v>
      </c>
      <c r="O166" t="s">
        <v>68</v>
      </c>
      <c r="P166" t="s">
        <v>68</v>
      </c>
      <c r="Q166">
        <v>1000</v>
      </c>
      <c r="X166">
        <v>3.5000000000000003E-2</v>
      </c>
      <c r="Y166">
        <v>87313.75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3.5000000000000003E-2</v>
      </c>
      <c r="AH166">
        <v>2</v>
      </c>
      <c r="AI166">
        <v>75701991</v>
      </c>
      <c r="AJ166">
        <v>179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ROW(Source!A445)</f>
        <v>445</v>
      </c>
      <c r="B167">
        <v>75702461</v>
      </c>
      <c r="C167">
        <v>75701988</v>
      </c>
      <c r="D167">
        <v>75393920</v>
      </c>
      <c r="E167">
        <v>1</v>
      </c>
      <c r="F167">
        <v>1</v>
      </c>
      <c r="G167">
        <v>39</v>
      </c>
      <c r="H167">
        <v>3</v>
      </c>
      <c r="I167" t="s">
        <v>421</v>
      </c>
      <c r="J167" t="s">
        <v>422</v>
      </c>
      <c r="K167" t="s">
        <v>423</v>
      </c>
      <c r="L167">
        <v>1301</v>
      </c>
      <c r="N167">
        <v>1003</v>
      </c>
      <c r="O167" t="s">
        <v>49</v>
      </c>
      <c r="P167" t="s">
        <v>49</v>
      </c>
      <c r="Q167">
        <v>1</v>
      </c>
      <c r="X167">
        <v>400</v>
      </c>
      <c r="Y167">
        <v>27.14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400</v>
      </c>
      <c r="AH167">
        <v>2</v>
      </c>
      <c r="AI167">
        <v>75701992</v>
      </c>
      <c r="AJ167">
        <v>180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ROW(Source!A447)</f>
        <v>447</v>
      </c>
      <c r="B168">
        <v>75702462</v>
      </c>
      <c r="C168">
        <v>75701999</v>
      </c>
      <c r="D168">
        <v>75386788</v>
      </c>
      <c r="E168">
        <v>39</v>
      </c>
      <c r="F168">
        <v>1</v>
      </c>
      <c r="G168">
        <v>39</v>
      </c>
      <c r="H168">
        <v>1</v>
      </c>
      <c r="I168" t="s">
        <v>332</v>
      </c>
      <c r="J168" t="s">
        <v>3</v>
      </c>
      <c r="K168" t="s">
        <v>333</v>
      </c>
      <c r="L168">
        <v>1191</v>
      </c>
      <c r="N168">
        <v>1013</v>
      </c>
      <c r="O168" t="s">
        <v>334</v>
      </c>
      <c r="P168" t="s">
        <v>334</v>
      </c>
      <c r="Q168">
        <v>1</v>
      </c>
      <c r="X168">
        <v>38.76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38.76</v>
      </c>
      <c r="AH168">
        <v>2</v>
      </c>
      <c r="AI168">
        <v>75702000</v>
      </c>
      <c r="AJ168">
        <v>182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ROW(Source!A447)</f>
        <v>447</v>
      </c>
      <c r="B169">
        <v>75702463</v>
      </c>
      <c r="C169">
        <v>75701999</v>
      </c>
      <c r="D169">
        <v>75394576</v>
      </c>
      <c r="E169">
        <v>1</v>
      </c>
      <c r="F169">
        <v>1</v>
      </c>
      <c r="G169">
        <v>39</v>
      </c>
      <c r="H169">
        <v>3</v>
      </c>
      <c r="I169" t="s">
        <v>448</v>
      </c>
      <c r="J169" t="s">
        <v>449</v>
      </c>
      <c r="K169" t="s">
        <v>450</v>
      </c>
      <c r="L169">
        <v>1035</v>
      </c>
      <c r="N169">
        <v>1013</v>
      </c>
      <c r="O169" t="s">
        <v>166</v>
      </c>
      <c r="P169" t="s">
        <v>166</v>
      </c>
      <c r="Q169">
        <v>1</v>
      </c>
      <c r="X169">
        <v>200</v>
      </c>
      <c r="Y169">
        <v>132.30000000000001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200</v>
      </c>
      <c r="AH169">
        <v>2</v>
      </c>
      <c r="AI169">
        <v>75702001</v>
      </c>
      <c r="AJ169">
        <v>183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ROW(Source!A448)</f>
        <v>448</v>
      </c>
      <c r="B170">
        <v>75702464</v>
      </c>
      <c r="C170">
        <v>75702004</v>
      </c>
      <c r="D170">
        <v>75386788</v>
      </c>
      <c r="E170">
        <v>39</v>
      </c>
      <c r="F170">
        <v>1</v>
      </c>
      <c r="G170">
        <v>39</v>
      </c>
      <c r="H170">
        <v>1</v>
      </c>
      <c r="I170" t="s">
        <v>332</v>
      </c>
      <c r="J170" t="s">
        <v>3</v>
      </c>
      <c r="K170" t="s">
        <v>333</v>
      </c>
      <c r="L170">
        <v>1191</v>
      </c>
      <c r="N170">
        <v>1013</v>
      </c>
      <c r="O170" t="s">
        <v>334</v>
      </c>
      <c r="P170" t="s">
        <v>334</v>
      </c>
      <c r="Q170">
        <v>1</v>
      </c>
      <c r="X170">
        <v>1.21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1.21</v>
      </c>
      <c r="AH170">
        <v>2</v>
      </c>
      <c r="AI170">
        <v>75702005</v>
      </c>
      <c r="AJ170">
        <v>184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ROW(Source!A449)</f>
        <v>449</v>
      </c>
      <c r="B171">
        <v>75702465</v>
      </c>
      <c r="C171">
        <v>75702007</v>
      </c>
      <c r="D171">
        <v>75386788</v>
      </c>
      <c r="E171">
        <v>39</v>
      </c>
      <c r="F171">
        <v>1</v>
      </c>
      <c r="G171">
        <v>39</v>
      </c>
      <c r="H171">
        <v>1</v>
      </c>
      <c r="I171" t="s">
        <v>332</v>
      </c>
      <c r="J171" t="s">
        <v>3</v>
      </c>
      <c r="K171" t="s">
        <v>333</v>
      </c>
      <c r="L171">
        <v>1191</v>
      </c>
      <c r="N171">
        <v>1013</v>
      </c>
      <c r="O171" t="s">
        <v>334</v>
      </c>
      <c r="P171" t="s">
        <v>334</v>
      </c>
      <c r="Q171">
        <v>1</v>
      </c>
      <c r="X171">
        <v>1.72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3</v>
      </c>
      <c r="AG171">
        <v>1.72</v>
      </c>
      <c r="AH171">
        <v>2</v>
      </c>
      <c r="AI171">
        <v>75702008</v>
      </c>
      <c r="AJ171">
        <v>185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ROW(Source!A449)</f>
        <v>449</v>
      </c>
      <c r="B172">
        <v>75702466</v>
      </c>
      <c r="C172">
        <v>75702007</v>
      </c>
      <c r="D172">
        <v>75390591</v>
      </c>
      <c r="E172">
        <v>1</v>
      </c>
      <c r="F172">
        <v>1</v>
      </c>
      <c r="G172">
        <v>39</v>
      </c>
      <c r="H172">
        <v>3</v>
      </c>
      <c r="I172" t="s">
        <v>430</v>
      </c>
      <c r="J172" t="s">
        <v>431</v>
      </c>
      <c r="K172" t="s">
        <v>432</v>
      </c>
      <c r="L172">
        <v>1346</v>
      </c>
      <c r="N172">
        <v>1009</v>
      </c>
      <c r="O172" t="s">
        <v>63</v>
      </c>
      <c r="P172" t="s">
        <v>63</v>
      </c>
      <c r="Q172">
        <v>1</v>
      </c>
      <c r="X172">
        <v>6.3E-2</v>
      </c>
      <c r="Y172">
        <v>656.56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6.3E-2</v>
      </c>
      <c r="AH172">
        <v>2</v>
      </c>
      <c r="AI172">
        <v>75702009</v>
      </c>
      <c r="AJ172">
        <v>186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ROW(Source!A449)</f>
        <v>449</v>
      </c>
      <c r="B173">
        <v>75702467</v>
      </c>
      <c r="C173">
        <v>75702007</v>
      </c>
      <c r="D173">
        <v>75389029</v>
      </c>
      <c r="E173">
        <v>1</v>
      </c>
      <c r="F173">
        <v>1</v>
      </c>
      <c r="G173">
        <v>39</v>
      </c>
      <c r="H173">
        <v>3</v>
      </c>
      <c r="I173" t="s">
        <v>436</v>
      </c>
      <c r="J173" t="s">
        <v>437</v>
      </c>
      <c r="K173" t="s">
        <v>438</v>
      </c>
      <c r="L173">
        <v>1348</v>
      </c>
      <c r="N173">
        <v>1009</v>
      </c>
      <c r="O173" t="s">
        <v>68</v>
      </c>
      <c r="P173" t="s">
        <v>68</v>
      </c>
      <c r="Q173">
        <v>1000</v>
      </c>
      <c r="X173">
        <v>1.2999999999999999E-4</v>
      </c>
      <c r="Y173">
        <v>91558.65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1.2999999999999999E-4</v>
      </c>
      <c r="AH173">
        <v>2</v>
      </c>
      <c r="AI173">
        <v>75702010</v>
      </c>
      <c r="AJ173">
        <v>188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ROW(Source!A449)</f>
        <v>449</v>
      </c>
      <c r="B174">
        <v>75702468</v>
      </c>
      <c r="C174">
        <v>75702007</v>
      </c>
      <c r="D174">
        <v>75389070</v>
      </c>
      <c r="E174">
        <v>1</v>
      </c>
      <c r="F174">
        <v>1</v>
      </c>
      <c r="G174">
        <v>39</v>
      </c>
      <c r="H174">
        <v>3</v>
      </c>
      <c r="I174" t="s">
        <v>439</v>
      </c>
      <c r="J174" t="s">
        <v>440</v>
      </c>
      <c r="K174" t="s">
        <v>441</v>
      </c>
      <c r="L174">
        <v>1346</v>
      </c>
      <c r="N174">
        <v>1009</v>
      </c>
      <c r="O174" t="s">
        <v>63</v>
      </c>
      <c r="P174" t="s">
        <v>63</v>
      </c>
      <c r="Q174">
        <v>1</v>
      </c>
      <c r="X174">
        <v>6.3E-2</v>
      </c>
      <c r="Y174">
        <v>99.65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6.3E-2</v>
      </c>
      <c r="AH174">
        <v>2</v>
      </c>
      <c r="AI174">
        <v>75702011</v>
      </c>
      <c r="AJ174">
        <v>189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ROW(Source!A486)</f>
        <v>486</v>
      </c>
      <c r="B175">
        <v>75702469</v>
      </c>
      <c r="C175">
        <v>75702074</v>
      </c>
      <c r="D175">
        <v>75386788</v>
      </c>
      <c r="E175">
        <v>39</v>
      </c>
      <c r="F175">
        <v>1</v>
      </c>
      <c r="G175">
        <v>39</v>
      </c>
      <c r="H175">
        <v>1</v>
      </c>
      <c r="I175" t="s">
        <v>332</v>
      </c>
      <c r="J175" t="s">
        <v>3</v>
      </c>
      <c r="K175" t="s">
        <v>333</v>
      </c>
      <c r="L175">
        <v>1191</v>
      </c>
      <c r="N175">
        <v>1013</v>
      </c>
      <c r="O175" t="s">
        <v>334</v>
      </c>
      <c r="P175" t="s">
        <v>334</v>
      </c>
      <c r="Q175">
        <v>1</v>
      </c>
      <c r="X175">
        <v>29.74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29.74</v>
      </c>
      <c r="AH175">
        <v>2</v>
      </c>
      <c r="AI175">
        <v>75702075</v>
      </c>
      <c r="AJ175">
        <v>190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ROW(Source!A524)</f>
        <v>524</v>
      </c>
      <c r="B176">
        <v>75702470</v>
      </c>
      <c r="C176">
        <v>75702137</v>
      </c>
      <c r="D176">
        <v>75386788</v>
      </c>
      <c r="E176">
        <v>39</v>
      </c>
      <c r="F176">
        <v>1</v>
      </c>
      <c r="G176">
        <v>39</v>
      </c>
      <c r="H176">
        <v>1</v>
      </c>
      <c r="I176" t="s">
        <v>332</v>
      </c>
      <c r="J176" t="s">
        <v>3</v>
      </c>
      <c r="K176" t="s">
        <v>333</v>
      </c>
      <c r="L176">
        <v>1191</v>
      </c>
      <c r="N176">
        <v>1013</v>
      </c>
      <c r="O176" t="s">
        <v>334</v>
      </c>
      <c r="P176" t="s">
        <v>334</v>
      </c>
      <c r="Q176">
        <v>1</v>
      </c>
      <c r="X176">
        <v>46.19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</v>
      </c>
      <c r="AG176">
        <v>46.19</v>
      </c>
      <c r="AH176">
        <v>2</v>
      </c>
      <c r="AI176">
        <v>75702138</v>
      </c>
      <c r="AJ176">
        <v>193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ROW(Source!A524)</f>
        <v>524</v>
      </c>
      <c r="B177">
        <v>75702471</v>
      </c>
      <c r="C177">
        <v>75702137</v>
      </c>
      <c r="D177">
        <v>75388752</v>
      </c>
      <c r="E177">
        <v>1</v>
      </c>
      <c r="F177">
        <v>1</v>
      </c>
      <c r="G177">
        <v>39</v>
      </c>
      <c r="H177">
        <v>3</v>
      </c>
      <c r="I177" t="s">
        <v>451</v>
      </c>
      <c r="J177" t="s">
        <v>452</v>
      </c>
      <c r="K177" t="s">
        <v>453</v>
      </c>
      <c r="L177">
        <v>1348</v>
      </c>
      <c r="N177">
        <v>1009</v>
      </c>
      <c r="O177" t="s">
        <v>68</v>
      </c>
      <c r="P177" t="s">
        <v>68</v>
      </c>
      <c r="Q177">
        <v>1000</v>
      </c>
      <c r="X177">
        <v>0.05</v>
      </c>
      <c r="Y177">
        <v>8017.57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0.05</v>
      </c>
      <c r="AH177">
        <v>2</v>
      </c>
      <c r="AI177">
        <v>75702139</v>
      </c>
      <c r="AJ177">
        <v>194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ROW(Source!A524)</f>
        <v>524</v>
      </c>
      <c r="B178">
        <v>75702472</v>
      </c>
      <c r="C178">
        <v>75702137</v>
      </c>
      <c r="D178">
        <v>75397345</v>
      </c>
      <c r="E178">
        <v>1</v>
      </c>
      <c r="F178">
        <v>1</v>
      </c>
      <c r="G178">
        <v>39</v>
      </c>
      <c r="H178">
        <v>3</v>
      </c>
      <c r="I178" t="s">
        <v>226</v>
      </c>
      <c r="J178" t="s">
        <v>228</v>
      </c>
      <c r="K178" t="s">
        <v>227</v>
      </c>
      <c r="L178">
        <v>1354</v>
      </c>
      <c r="N178">
        <v>1010</v>
      </c>
      <c r="O178" t="s">
        <v>171</v>
      </c>
      <c r="P178" t="s">
        <v>171</v>
      </c>
      <c r="Q178">
        <v>1</v>
      </c>
      <c r="X178">
        <v>100</v>
      </c>
      <c r="Y178">
        <v>287.24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100</v>
      </c>
      <c r="AH178">
        <v>2</v>
      </c>
      <c r="AI178">
        <v>75702146</v>
      </c>
      <c r="AJ178">
        <v>195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ROW(Source!A592)</f>
        <v>592</v>
      </c>
      <c r="B179">
        <v>75702473</v>
      </c>
      <c r="C179">
        <v>75702203</v>
      </c>
      <c r="D179">
        <v>75386788</v>
      </c>
      <c r="E179">
        <v>39</v>
      </c>
      <c r="F179">
        <v>1</v>
      </c>
      <c r="G179">
        <v>39</v>
      </c>
      <c r="H179">
        <v>1</v>
      </c>
      <c r="I179" t="s">
        <v>332</v>
      </c>
      <c r="J179" t="s">
        <v>3</v>
      </c>
      <c r="K179" t="s">
        <v>333</v>
      </c>
      <c r="L179">
        <v>1191</v>
      </c>
      <c r="N179">
        <v>1013</v>
      </c>
      <c r="O179" t="s">
        <v>334</v>
      </c>
      <c r="P179" t="s">
        <v>334</v>
      </c>
      <c r="Q179">
        <v>1</v>
      </c>
      <c r="X179">
        <v>37.950000000000003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3</v>
      </c>
      <c r="AG179">
        <v>37.950000000000003</v>
      </c>
      <c r="AH179">
        <v>2</v>
      </c>
      <c r="AI179">
        <v>75702204</v>
      </c>
      <c r="AJ179">
        <v>197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ROW(Source!A592)</f>
        <v>592</v>
      </c>
      <c r="B180">
        <v>75702474</v>
      </c>
      <c r="C180">
        <v>75702203</v>
      </c>
      <c r="D180">
        <v>75388071</v>
      </c>
      <c r="E180">
        <v>1</v>
      </c>
      <c r="F180">
        <v>1</v>
      </c>
      <c r="G180">
        <v>39</v>
      </c>
      <c r="H180">
        <v>2</v>
      </c>
      <c r="I180" t="s">
        <v>463</v>
      </c>
      <c r="J180" t="s">
        <v>464</v>
      </c>
      <c r="K180" t="s">
        <v>465</v>
      </c>
      <c r="L180">
        <v>1368</v>
      </c>
      <c r="N180">
        <v>1011</v>
      </c>
      <c r="O180" t="s">
        <v>338</v>
      </c>
      <c r="P180" t="s">
        <v>338</v>
      </c>
      <c r="Q180">
        <v>1</v>
      </c>
      <c r="X180">
        <v>4.5199999999999996</v>
      </c>
      <c r="Y180">
        <v>0</v>
      </c>
      <c r="Z180">
        <v>1465.49</v>
      </c>
      <c r="AA180">
        <v>827.04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4.5199999999999996</v>
      </c>
      <c r="AH180">
        <v>2</v>
      </c>
      <c r="AI180">
        <v>75702205</v>
      </c>
      <c r="AJ180">
        <v>198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ROW(Source!A592)</f>
        <v>592</v>
      </c>
      <c r="B181">
        <v>75702475</v>
      </c>
      <c r="C181">
        <v>75702203</v>
      </c>
      <c r="D181">
        <v>75388182</v>
      </c>
      <c r="E181">
        <v>1</v>
      </c>
      <c r="F181">
        <v>1</v>
      </c>
      <c r="G181">
        <v>39</v>
      </c>
      <c r="H181">
        <v>2</v>
      </c>
      <c r="I181" t="s">
        <v>341</v>
      </c>
      <c r="J181" t="s">
        <v>342</v>
      </c>
      <c r="K181" t="s">
        <v>343</v>
      </c>
      <c r="L181">
        <v>1368</v>
      </c>
      <c r="N181">
        <v>1011</v>
      </c>
      <c r="O181" t="s">
        <v>338</v>
      </c>
      <c r="P181" t="s">
        <v>338</v>
      </c>
      <c r="Q181">
        <v>1</v>
      </c>
      <c r="X181">
        <v>4.5199999999999996</v>
      </c>
      <c r="Y181">
        <v>0</v>
      </c>
      <c r="Z181">
        <v>56.19</v>
      </c>
      <c r="AA181">
        <v>0.31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4.5199999999999996</v>
      </c>
      <c r="AH181">
        <v>2</v>
      </c>
      <c r="AI181">
        <v>75702206</v>
      </c>
      <c r="AJ181">
        <v>199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ROW(Source!A592)</f>
        <v>592</v>
      </c>
      <c r="B182">
        <v>75702476</v>
      </c>
      <c r="C182">
        <v>75702203</v>
      </c>
      <c r="D182">
        <v>75388258</v>
      </c>
      <c r="E182">
        <v>1</v>
      </c>
      <c r="F182">
        <v>1</v>
      </c>
      <c r="G182">
        <v>39</v>
      </c>
      <c r="H182">
        <v>2</v>
      </c>
      <c r="I182" t="s">
        <v>466</v>
      </c>
      <c r="J182" t="s">
        <v>467</v>
      </c>
      <c r="K182" t="s">
        <v>468</v>
      </c>
      <c r="L182">
        <v>1368</v>
      </c>
      <c r="N182">
        <v>1011</v>
      </c>
      <c r="O182" t="s">
        <v>338</v>
      </c>
      <c r="P182" t="s">
        <v>338</v>
      </c>
      <c r="Q182">
        <v>1</v>
      </c>
      <c r="X182">
        <v>3.62</v>
      </c>
      <c r="Y182">
        <v>0</v>
      </c>
      <c r="Z182">
        <v>76.53</v>
      </c>
      <c r="AA182">
        <v>0.12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3.62</v>
      </c>
      <c r="AH182">
        <v>2</v>
      </c>
      <c r="AI182">
        <v>75702207</v>
      </c>
      <c r="AJ182">
        <v>200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ROW(Source!A592)</f>
        <v>592</v>
      </c>
      <c r="B183">
        <v>75702477</v>
      </c>
      <c r="C183">
        <v>75702203</v>
      </c>
      <c r="D183">
        <v>75388259</v>
      </c>
      <c r="E183">
        <v>1</v>
      </c>
      <c r="F183">
        <v>1</v>
      </c>
      <c r="G183">
        <v>39</v>
      </c>
      <c r="H183">
        <v>2</v>
      </c>
      <c r="I183" t="s">
        <v>469</v>
      </c>
      <c r="J183" t="s">
        <v>470</v>
      </c>
      <c r="K183" t="s">
        <v>471</v>
      </c>
      <c r="L183">
        <v>1368</v>
      </c>
      <c r="N183">
        <v>1011</v>
      </c>
      <c r="O183" t="s">
        <v>338</v>
      </c>
      <c r="P183" t="s">
        <v>338</v>
      </c>
      <c r="Q183">
        <v>1</v>
      </c>
      <c r="X183">
        <v>7.9</v>
      </c>
      <c r="Y183">
        <v>0</v>
      </c>
      <c r="Z183">
        <v>9.56</v>
      </c>
      <c r="AA183">
        <v>5.82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7.9</v>
      </c>
      <c r="AH183">
        <v>2</v>
      </c>
      <c r="AI183">
        <v>75702208</v>
      </c>
      <c r="AJ183">
        <v>201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ROW(Source!A592)</f>
        <v>592</v>
      </c>
      <c r="B184">
        <v>75702478</v>
      </c>
      <c r="C184">
        <v>75702203</v>
      </c>
      <c r="D184">
        <v>75388665</v>
      </c>
      <c r="E184">
        <v>1</v>
      </c>
      <c r="F184">
        <v>1</v>
      </c>
      <c r="G184">
        <v>39</v>
      </c>
      <c r="H184">
        <v>3</v>
      </c>
      <c r="I184" t="s">
        <v>472</v>
      </c>
      <c r="J184" t="s">
        <v>473</v>
      </c>
      <c r="K184" t="s">
        <v>474</v>
      </c>
      <c r="L184">
        <v>1348</v>
      </c>
      <c r="N184">
        <v>1009</v>
      </c>
      <c r="O184" t="s">
        <v>68</v>
      </c>
      <c r="P184" t="s">
        <v>68</v>
      </c>
      <c r="Q184">
        <v>1000</v>
      </c>
      <c r="X184">
        <v>3.5000000000000003E-2</v>
      </c>
      <c r="Y184">
        <v>129600.01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3.5000000000000003E-2</v>
      </c>
      <c r="AH184">
        <v>2</v>
      </c>
      <c r="AI184">
        <v>75702209</v>
      </c>
      <c r="AJ184">
        <v>202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ROW(Source!A592)</f>
        <v>592</v>
      </c>
      <c r="B185">
        <v>75702479</v>
      </c>
      <c r="C185">
        <v>75702203</v>
      </c>
      <c r="D185">
        <v>75388814</v>
      </c>
      <c r="E185">
        <v>1</v>
      </c>
      <c r="F185">
        <v>1</v>
      </c>
      <c r="G185">
        <v>39</v>
      </c>
      <c r="H185">
        <v>3</v>
      </c>
      <c r="I185" t="s">
        <v>307</v>
      </c>
      <c r="J185" t="s">
        <v>309</v>
      </c>
      <c r="K185" t="s">
        <v>308</v>
      </c>
      <c r="L185">
        <v>1327</v>
      </c>
      <c r="N185">
        <v>1005</v>
      </c>
      <c r="O185" t="s">
        <v>132</v>
      </c>
      <c r="P185" t="s">
        <v>132</v>
      </c>
      <c r="Q185">
        <v>1</v>
      </c>
      <c r="X185">
        <v>135</v>
      </c>
      <c r="Y185">
        <v>346.44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135</v>
      </c>
      <c r="AH185">
        <v>2</v>
      </c>
      <c r="AI185">
        <v>75702222</v>
      </c>
      <c r="AJ185">
        <v>204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ROW(Source!A592)</f>
        <v>592</v>
      </c>
      <c r="B186">
        <v>75702480</v>
      </c>
      <c r="C186">
        <v>75702203</v>
      </c>
      <c r="D186">
        <v>75388872</v>
      </c>
      <c r="E186">
        <v>1</v>
      </c>
      <c r="F186">
        <v>1</v>
      </c>
      <c r="G186">
        <v>39</v>
      </c>
      <c r="H186">
        <v>3</v>
      </c>
      <c r="I186" t="s">
        <v>475</v>
      </c>
      <c r="J186" t="s">
        <v>476</v>
      </c>
      <c r="K186" t="s">
        <v>477</v>
      </c>
      <c r="L186">
        <v>1346</v>
      </c>
      <c r="N186">
        <v>1009</v>
      </c>
      <c r="O186" t="s">
        <v>63</v>
      </c>
      <c r="P186" t="s">
        <v>63</v>
      </c>
      <c r="Q186">
        <v>1</v>
      </c>
      <c r="X186">
        <v>3.4</v>
      </c>
      <c r="Y186">
        <v>68.540000000000006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3.4</v>
      </c>
      <c r="AH186">
        <v>2</v>
      </c>
      <c r="AI186">
        <v>75702210</v>
      </c>
      <c r="AJ186">
        <v>205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ROW(Source!A630)</f>
        <v>630</v>
      </c>
      <c r="B187">
        <v>75705809</v>
      </c>
      <c r="C187">
        <v>75702279</v>
      </c>
      <c r="D187">
        <v>75387788</v>
      </c>
      <c r="E187">
        <v>1</v>
      </c>
      <c r="F187">
        <v>1</v>
      </c>
      <c r="G187">
        <v>39</v>
      </c>
      <c r="H187">
        <v>2</v>
      </c>
      <c r="I187" t="s">
        <v>478</v>
      </c>
      <c r="J187" t="s">
        <v>479</v>
      </c>
      <c r="K187" t="s">
        <v>480</v>
      </c>
      <c r="L187">
        <v>1368</v>
      </c>
      <c r="N187">
        <v>1011</v>
      </c>
      <c r="O187" t="s">
        <v>338</v>
      </c>
      <c r="P187" t="s">
        <v>338</v>
      </c>
      <c r="Q187">
        <v>1</v>
      </c>
      <c r="X187">
        <v>5.3699999999999998E-2</v>
      </c>
      <c r="Y187">
        <v>0</v>
      </c>
      <c r="Z187">
        <v>2195.02</v>
      </c>
      <c r="AA187">
        <v>940.44</v>
      </c>
      <c r="AB187">
        <v>0</v>
      </c>
      <c r="AC187">
        <v>0</v>
      </c>
      <c r="AD187">
        <v>1</v>
      </c>
      <c r="AE187">
        <v>0</v>
      </c>
      <c r="AF187" t="s">
        <v>3</v>
      </c>
      <c r="AG187">
        <v>5.3699999999999998E-2</v>
      </c>
      <c r="AH187">
        <v>2</v>
      </c>
      <c r="AI187">
        <v>75705809</v>
      </c>
      <c r="AJ187">
        <v>206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ROW(Source!A631)</f>
        <v>631</v>
      </c>
      <c r="B188">
        <v>75702482</v>
      </c>
      <c r="C188">
        <v>75702282</v>
      </c>
      <c r="D188">
        <v>75388479</v>
      </c>
      <c r="E188">
        <v>1</v>
      </c>
      <c r="F188">
        <v>1</v>
      </c>
      <c r="G188">
        <v>39</v>
      </c>
      <c r="H188">
        <v>2</v>
      </c>
      <c r="I188" t="s">
        <v>481</v>
      </c>
      <c r="J188" t="s">
        <v>482</v>
      </c>
      <c r="K188" t="s">
        <v>483</v>
      </c>
      <c r="L188">
        <v>1368</v>
      </c>
      <c r="N188">
        <v>1011</v>
      </c>
      <c r="O188" t="s">
        <v>338</v>
      </c>
      <c r="P188" t="s">
        <v>338</v>
      </c>
      <c r="Q188">
        <v>1</v>
      </c>
      <c r="X188">
        <v>0.02</v>
      </c>
      <c r="Y188">
        <v>0</v>
      </c>
      <c r="Z188">
        <v>1552.57</v>
      </c>
      <c r="AA188">
        <v>619.16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0.02</v>
      </c>
      <c r="AH188">
        <v>2</v>
      </c>
      <c r="AI188">
        <v>75702283</v>
      </c>
      <c r="AJ188">
        <v>207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ROW(Source!A631)</f>
        <v>631</v>
      </c>
      <c r="B189">
        <v>75702483</v>
      </c>
      <c r="C189">
        <v>75702282</v>
      </c>
      <c r="D189">
        <v>75388480</v>
      </c>
      <c r="E189">
        <v>1</v>
      </c>
      <c r="F189">
        <v>1</v>
      </c>
      <c r="G189">
        <v>39</v>
      </c>
      <c r="H189">
        <v>2</v>
      </c>
      <c r="I189" t="s">
        <v>484</v>
      </c>
      <c r="J189" t="s">
        <v>485</v>
      </c>
      <c r="K189" t="s">
        <v>486</v>
      </c>
      <c r="L189">
        <v>1368</v>
      </c>
      <c r="N189">
        <v>1011</v>
      </c>
      <c r="O189" t="s">
        <v>338</v>
      </c>
      <c r="P189" t="s">
        <v>338</v>
      </c>
      <c r="Q189">
        <v>1</v>
      </c>
      <c r="X189">
        <v>1.7999999999999999E-2</v>
      </c>
      <c r="Y189">
        <v>0</v>
      </c>
      <c r="Z189">
        <v>1566.41</v>
      </c>
      <c r="AA189">
        <v>619.79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1.7999999999999999E-2</v>
      </c>
      <c r="AH189">
        <v>2</v>
      </c>
      <c r="AI189">
        <v>75702284</v>
      </c>
      <c r="AJ189">
        <v>208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ROW(Source!A632)</f>
        <v>632</v>
      </c>
      <c r="B190">
        <v>75702484</v>
      </c>
      <c r="C190">
        <v>75702287</v>
      </c>
      <c r="D190">
        <v>75388479</v>
      </c>
      <c r="E190">
        <v>1</v>
      </c>
      <c r="F190">
        <v>1</v>
      </c>
      <c r="G190">
        <v>39</v>
      </c>
      <c r="H190">
        <v>2</v>
      </c>
      <c r="I190" t="s">
        <v>481</v>
      </c>
      <c r="J190" t="s">
        <v>482</v>
      </c>
      <c r="K190" t="s">
        <v>483</v>
      </c>
      <c r="L190">
        <v>1368</v>
      </c>
      <c r="N190">
        <v>1011</v>
      </c>
      <c r="O190" t="s">
        <v>338</v>
      </c>
      <c r="P190" t="s">
        <v>338</v>
      </c>
      <c r="Q190">
        <v>1</v>
      </c>
      <c r="X190">
        <v>0.01</v>
      </c>
      <c r="Y190">
        <v>0</v>
      </c>
      <c r="Z190">
        <v>1552.57</v>
      </c>
      <c r="AA190">
        <v>619.16</v>
      </c>
      <c r="AB190">
        <v>0</v>
      </c>
      <c r="AC190">
        <v>0</v>
      </c>
      <c r="AD190">
        <v>1</v>
      </c>
      <c r="AE190">
        <v>0</v>
      </c>
      <c r="AF190" t="s">
        <v>324</v>
      </c>
      <c r="AG190">
        <v>0.48</v>
      </c>
      <c r="AH190">
        <v>2</v>
      </c>
      <c r="AI190">
        <v>75702288</v>
      </c>
      <c r="AJ190">
        <v>209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ROW(Source!A632)</f>
        <v>632</v>
      </c>
      <c r="B191">
        <v>75702485</v>
      </c>
      <c r="C191">
        <v>75702287</v>
      </c>
      <c r="D191">
        <v>75388480</v>
      </c>
      <c r="E191">
        <v>1</v>
      </c>
      <c r="F191">
        <v>1</v>
      </c>
      <c r="G191">
        <v>39</v>
      </c>
      <c r="H191">
        <v>2</v>
      </c>
      <c r="I191" t="s">
        <v>484</v>
      </c>
      <c r="J191" t="s">
        <v>485</v>
      </c>
      <c r="K191" t="s">
        <v>486</v>
      </c>
      <c r="L191">
        <v>1368</v>
      </c>
      <c r="N191">
        <v>1011</v>
      </c>
      <c r="O191" t="s">
        <v>338</v>
      </c>
      <c r="P191" t="s">
        <v>338</v>
      </c>
      <c r="Q191">
        <v>1</v>
      </c>
      <c r="X191">
        <v>8.0000000000000002E-3</v>
      </c>
      <c r="Y191">
        <v>0</v>
      </c>
      <c r="Z191">
        <v>1566.41</v>
      </c>
      <c r="AA191">
        <v>619.79</v>
      </c>
      <c r="AB191">
        <v>0</v>
      </c>
      <c r="AC191">
        <v>0</v>
      </c>
      <c r="AD191">
        <v>1</v>
      </c>
      <c r="AE191">
        <v>0</v>
      </c>
      <c r="AF191" t="s">
        <v>324</v>
      </c>
      <c r="AG191">
        <v>0.38400000000000001</v>
      </c>
      <c r="AH191">
        <v>2</v>
      </c>
      <c r="AI191">
        <v>75702289</v>
      </c>
      <c r="AJ191">
        <v>210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397</v>
      </c>
      <c r="B1">
        <v>1</v>
      </c>
      <c r="C1" t="s">
        <v>3</v>
      </c>
      <c r="D1" t="s">
        <v>260</v>
      </c>
      <c r="E1" t="s">
        <v>261</v>
      </c>
      <c r="F1" t="s">
        <v>261</v>
      </c>
      <c r="G1" t="s">
        <v>261</v>
      </c>
      <c r="H1" t="s">
        <v>3</v>
      </c>
      <c r="I1" t="s">
        <v>261</v>
      </c>
      <c r="J1" t="s">
        <v>261</v>
      </c>
      <c r="K1" t="s">
        <v>3</v>
      </c>
      <c r="L1" t="s">
        <v>3</v>
      </c>
      <c r="M1" t="s">
        <v>3</v>
      </c>
      <c r="N1" t="s">
        <v>260</v>
      </c>
      <c r="O1" t="s">
        <v>261</v>
      </c>
      <c r="P1" t="s">
        <v>3</v>
      </c>
      <c r="Q1" t="s">
        <v>3</v>
      </c>
      <c r="R1" t="s">
        <v>3</v>
      </c>
      <c r="S1" t="s">
        <v>489</v>
      </c>
      <c r="T1" t="s">
        <v>492</v>
      </c>
      <c r="U1" t="s">
        <v>490</v>
      </c>
    </row>
    <row r="2" spans="1:21" x14ac:dyDescent="0.2">
      <c r="A2">
        <v>398</v>
      </c>
      <c r="B2">
        <v>1</v>
      </c>
      <c r="C2" t="s">
        <v>3</v>
      </c>
      <c r="D2" t="s">
        <v>260</v>
      </c>
      <c r="E2" t="s">
        <v>261</v>
      </c>
      <c r="F2" t="s">
        <v>261</v>
      </c>
      <c r="G2" t="s">
        <v>261</v>
      </c>
      <c r="H2" t="s">
        <v>3</v>
      </c>
      <c r="I2" t="s">
        <v>261</v>
      </c>
      <c r="J2" t="s">
        <v>261</v>
      </c>
      <c r="K2" t="s">
        <v>3</v>
      </c>
      <c r="L2" t="s">
        <v>3</v>
      </c>
      <c r="M2" t="s">
        <v>3</v>
      </c>
      <c r="N2" t="s">
        <v>260</v>
      </c>
      <c r="O2" t="s">
        <v>261</v>
      </c>
      <c r="P2" t="s">
        <v>3</v>
      </c>
      <c r="Q2" t="s">
        <v>3</v>
      </c>
      <c r="R2" t="s">
        <v>3</v>
      </c>
      <c r="S2" t="s">
        <v>489</v>
      </c>
      <c r="T2" t="s">
        <v>492</v>
      </c>
      <c r="U2" t="s">
        <v>490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2025-04-09T09:17:34Z</cp:lastPrinted>
  <dcterms:created xsi:type="dcterms:W3CDTF">2025-04-08T10:05:59Z</dcterms:created>
  <dcterms:modified xsi:type="dcterms:W3CDTF">2025-04-09T09:17:37Z</dcterms:modified>
</cp:coreProperties>
</file>