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ute\свалко\3. 1440\5. Закупки 2025\1. ЛОТЫ 2025\РЕМОНТ\Локальные сметы\"/>
    </mc:Choice>
  </mc:AlternateContent>
  <bookViews>
    <workbookView xWindow="0" yWindow="0" windowWidth="24870" windowHeight="10695" activeTab="1"/>
  </bookViews>
  <sheets>
    <sheet name="Смета СН-2012 по гл. 1-5" sheetId="7" r:id="rId1"/>
    <sheet name="Дефектная ведомость" sheetId="8" r:id="rId2"/>
    <sheet name="RV_DATA" sheetId="10" state="hidden" r:id="rId3"/>
    <sheet name="Расчет стоимости ресурсов" sheetId="9" r:id="rId4"/>
    <sheet name="Source" sheetId="1" r:id="rId5"/>
    <sheet name="SourceObSm" sheetId="2" r:id="rId6"/>
    <sheet name="SmtRes" sheetId="3" r:id="rId7"/>
    <sheet name="EtalonRes" sheetId="4" r:id="rId8"/>
    <sheet name="SrcPoprs" sheetId="5" r:id="rId9"/>
    <sheet name="SrcKA" sheetId="6" r:id="rId10"/>
  </sheets>
  <definedNames>
    <definedName name="_xlnm.Print_Titles" localSheetId="1">'Дефектная ведомость'!$18:$18</definedName>
    <definedName name="_xlnm.Print_Titles" localSheetId="3">'Расчет стоимости ресурсов'!$4:$7</definedName>
    <definedName name="_xlnm.Print_Titles" localSheetId="0">'Смета СН-2012 по гл. 1-5'!$30:$30</definedName>
    <definedName name="_xlnm.Print_Area" localSheetId="1">'Дефектная ведомость'!$A$1:$E$54</definedName>
    <definedName name="_xlnm.Print_Area" localSheetId="3">'Расчет стоимости ресурсов'!$A$1:$F$58</definedName>
    <definedName name="_xlnm.Print_Area" localSheetId="0">'Смета СН-2012 по гл. 1-5'!$A$1:$K$210</definedName>
  </definedNames>
  <calcPr calcId="152511"/>
</workbook>
</file>

<file path=xl/calcChain.xml><?xml version="1.0" encoding="utf-8"?>
<calcChain xmlns="http://schemas.openxmlformats.org/spreadsheetml/2006/main">
  <c r="D56" i="9" l="1"/>
  <c r="A52" i="9"/>
  <c r="D37" i="9"/>
  <c r="E49" i="9"/>
  <c r="D49" i="9"/>
  <c r="E47" i="9"/>
  <c r="D46" i="9"/>
  <c r="D50" i="9"/>
  <c r="E42" i="9"/>
  <c r="D42" i="9"/>
  <c r="E41" i="9"/>
  <c r="E35" i="9"/>
  <c r="D43" i="9"/>
  <c r="E45" i="9"/>
  <c r="D45" i="9"/>
  <c r="A25" i="9"/>
  <c r="D16" i="9"/>
  <c r="D17" i="9"/>
  <c r="E14" i="9"/>
  <c r="E15" i="9"/>
  <c r="E19" i="9"/>
  <c r="D22" i="9"/>
  <c r="D23" i="9"/>
  <c r="A9" i="9"/>
  <c r="A8" i="9"/>
  <c r="A3" i="9"/>
  <c r="Z54" i="10"/>
  <c r="T54" i="10"/>
  <c r="Q54" i="10"/>
  <c r="R54" i="10" s="1"/>
  <c r="S54" i="10"/>
  <c r="P54" i="10"/>
  <c r="L54" i="10"/>
  <c r="O54" i="10" s="1"/>
  <c r="N54" i="10"/>
  <c r="K54" i="10"/>
  <c r="J54" i="10"/>
  <c r="I54" i="10"/>
  <c r="H54" i="10"/>
  <c r="G54" i="10"/>
  <c r="F54" i="10"/>
  <c r="E54" i="10"/>
  <c r="Z53" i="10"/>
  <c r="Q53" i="10"/>
  <c r="T53" i="10" s="1"/>
  <c r="S53" i="10"/>
  <c r="P53" i="10"/>
  <c r="M53" i="10"/>
  <c r="L53" i="10"/>
  <c r="O53" i="10" s="1"/>
  <c r="N53" i="10"/>
  <c r="K53" i="10"/>
  <c r="J53" i="10"/>
  <c r="I53" i="10"/>
  <c r="H53" i="10"/>
  <c r="G53" i="10"/>
  <c r="F53" i="10"/>
  <c r="E53" i="10"/>
  <c r="Z52" i="10"/>
  <c r="Q52" i="10"/>
  <c r="T52" i="10" s="1"/>
  <c r="S52" i="10"/>
  <c r="P52" i="10"/>
  <c r="O52" i="10"/>
  <c r="M52" i="10"/>
  <c r="L52" i="10"/>
  <c r="N52" i="10"/>
  <c r="K52" i="10"/>
  <c r="E55" i="9" s="1"/>
  <c r="J52" i="10"/>
  <c r="I52" i="10"/>
  <c r="D55" i="9" s="1"/>
  <c r="H52" i="10"/>
  <c r="G52" i="10"/>
  <c r="F52" i="10"/>
  <c r="E52" i="10"/>
  <c r="Z51" i="10"/>
  <c r="Q51" i="10"/>
  <c r="T51" i="10" s="1"/>
  <c r="S51" i="10"/>
  <c r="P51" i="10"/>
  <c r="O51" i="10"/>
  <c r="L51" i="10"/>
  <c r="M51" i="10" s="1"/>
  <c r="F56" i="9" s="1"/>
  <c r="N51" i="10"/>
  <c r="K51" i="10"/>
  <c r="E56" i="9" s="1"/>
  <c r="J51" i="10"/>
  <c r="I51" i="10"/>
  <c r="H51" i="10"/>
  <c r="G51" i="10"/>
  <c r="F51" i="10"/>
  <c r="E51" i="10"/>
  <c r="Z50" i="10"/>
  <c r="T50" i="10"/>
  <c r="R50" i="10"/>
  <c r="Q50" i="10"/>
  <c r="S50" i="10"/>
  <c r="P50" i="10"/>
  <c r="L50" i="10"/>
  <c r="O50" i="10" s="1"/>
  <c r="N50" i="10"/>
  <c r="K50" i="10"/>
  <c r="E54" i="9" s="1"/>
  <c r="J50" i="10"/>
  <c r="I50" i="10"/>
  <c r="D54" i="9" s="1"/>
  <c r="H50" i="10"/>
  <c r="G50" i="10"/>
  <c r="F50" i="10"/>
  <c r="E50" i="10"/>
  <c r="G49" i="10"/>
  <c r="A49" i="10"/>
  <c r="Z48" i="10"/>
  <c r="T48" i="10"/>
  <c r="R48" i="10"/>
  <c r="Q48" i="10"/>
  <c r="S48" i="10"/>
  <c r="P48" i="10"/>
  <c r="O48" i="10"/>
  <c r="M48" i="10"/>
  <c r="F37" i="9" s="1"/>
  <c r="L48" i="10"/>
  <c r="N48" i="10"/>
  <c r="K48" i="10"/>
  <c r="E37" i="9" s="1"/>
  <c r="J48" i="10"/>
  <c r="I48" i="10"/>
  <c r="H48" i="10"/>
  <c r="G48" i="10"/>
  <c r="F48" i="10"/>
  <c r="E48" i="10"/>
  <c r="Z47" i="10"/>
  <c r="T47" i="10"/>
  <c r="Q47" i="10"/>
  <c r="R47" i="10" s="1"/>
  <c r="S47" i="10"/>
  <c r="P47" i="10"/>
  <c r="L47" i="10"/>
  <c r="O47" i="10" s="1"/>
  <c r="N47" i="10"/>
  <c r="K47" i="10"/>
  <c r="E38" i="9" s="1"/>
  <c r="J47" i="10"/>
  <c r="I47" i="10"/>
  <c r="D38" i="9" s="1"/>
  <c r="H47" i="10"/>
  <c r="G47" i="10"/>
  <c r="F47" i="10"/>
  <c r="E47" i="10"/>
  <c r="Z46" i="10"/>
  <c r="S46" i="10"/>
  <c r="T46" i="10" s="1"/>
  <c r="P46" i="10"/>
  <c r="R46" i="10" s="1"/>
  <c r="O46" i="10"/>
  <c r="N46" i="10"/>
  <c r="M46" i="10"/>
  <c r="K46" i="10"/>
  <c r="I46" i="10"/>
  <c r="H46" i="10"/>
  <c r="G46" i="10"/>
  <c r="F46" i="10"/>
  <c r="E46" i="10"/>
  <c r="D46" i="10"/>
  <c r="A46" i="10"/>
  <c r="Z45" i="10"/>
  <c r="S45" i="10"/>
  <c r="T45" i="10" s="1"/>
  <c r="P45" i="10"/>
  <c r="R45" i="10" s="1"/>
  <c r="O45" i="10"/>
  <c r="N45" i="10"/>
  <c r="M45" i="10"/>
  <c r="F49" i="9" s="1"/>
  <c r="K45" i="10"/>
  <c r="I45" i="10"/>
  <c r="H45" i="10"/>
  <c r="G45" i="10"/>
  <c r="F45" i="10"/>
  <c r="E45" i="10"/>
  <c r="D45" i="10"/>
  <c r="A45" i="10"/>
  <c r="Z44" i="10"/>
  <c r="S44" i="10"/>
  <c r="T44" i="10" s="1"/>
  <c r="P44" i="10"/>
  <c r="R44" i="10" s="1"/>
  <c r="O44" i="10"/>
  <c r="N44" i="10"/>
  <c r="M44" i="10"/>
  <c r="F47" i="9" s="1"/>
  <c r="K44" i="10"/>
  <c r="I44" i="10"/>
  <c r="D47" i="9" s="1"/>
  <c r="H44" i="10"/>
  <c r="G44" i="10"/>
  <c r="F44" i="10"/>
  <c r="E44" i="10"/>
  <c r="D44" i="10"/>
  <c r="A44" i="10"/>
  <c r="Z43" i="10"/>
  <c r="Q43" i="10"/>
  <c r="T43" i="10" s="1"/>
  <c r="S43" i="10"/>
  <c r="P43" i="10"/>
  <c r="M43" i="10"/>
  <c r="F27" i="9" s="1"/>
  <c r="L43" i="10"/>
  <c r="O43" i="10" s="1"/>
  <c r="N43" i="10"/>
  <c r="K43" i="10"/>
  <c r="E27" i="9" s="1"/>
  <c r="J43" i="10"/>
  <c r="I43" i="10"/>
  <c r="D27" i="9" s="1"/>
  <c r="H43" i="10"/>
  <c r="G43" i="10"/>
  <c r="F43" i="10"/>
  <c r="E43" i="10"/>
  <c r="Z42" i="10"/>
  <c r="Q42" i="10"/>
  <c r="T42" i="10" s="1"/>
  <c r="S42" i="10"/>
  <c r="P42" i="10"/>
  <c r="O42" i="10"/>
  <c r="M42" i="10"/>
  <c r="L42" i="10"/>
  <c r="N42" i="10"/>
  <c r="K42" i="10"/>
  <c r="J42" i="10"/>
  <c r="I42" i="10"/>
  <c r="D28" i="9" s="1"/>
  <c r="H42" i="10"/>
  <c r="G42" i="10"/>
  <c r="F42" i="10"/>
  <c r="E42" i="10"/>
  <c r="Z41" i="10"/>
  <c r="Q41" i="10"/>
  <c r="T41" i="10" s="1"/>
  <c r="S41" i="10"/>
  <c r="P41" i="10"/>
  <c r="O41" i="10"/>
  <c r="L41" i="10"/>
  <c r="M41" i="10" s="1"/>
  <c r="F32" i="9" s="1"/>
  <c r="N41" i="10"/>
  <c r="K41" i="10"/>
  <c r="E32" i="9" s="1"/>
  <c r="J41" i="10"/>
  <c r="I41" i="10"/>
  <c r="D32" i="9" s="1"/>
  <c r="H41" i="10"/>
  <c r="G41" i="10"/>
  <c r="F41" i="10"/>
  <c r="E41" i="10"/>
  <c r="Z40" i="10"/>
  <c r="T40" i="10"/>
  <c r="R40" i="10"/>
  <c r="Q40" i="10"/>
  <c r="S40" i="10"/>
  <c r="P40" i="10"/>
  <c r="L40" i="10"/>
  <c r="O40" i="10" s="1"/>
  <c r="N40" i="10"/>
  <c r="K40" i="10"/>
  <c r="E33" i="9" s="1"/>
  <c r="J40" i="10"/>
  <c r="I40" i="10"/>
  <c r="D33" i="9" s="1"/>
  <c r="H40" i="10"/>
  <c r="G40" i="10"/>
  <c r="F40" i="10"/>
  <c r="E40" i="10"/>
  <c r="Z39" i="10"/>
  <c r="Q39" i="10"/>
  <c r="T39" i="10" s="1"/>
  <c r="S39" i="10"/>
  <c r="P39" i="10"/>
  <c r="L39" i="10"/>
  <c r="O39" i="10" s="1"/>
  <c r="N39" i="10"/>
  <c r="K39" i="10"/>
  <c r="E36" i="9" s="1"/>
  <c r="J39" i="10"/>
  <c r="I39" i="10"/>
  <c r="D36" i="9" s="1"/>
  <c r="H39" i="10"/>
  <c r="G39" i="10"/>
  <c r="F39" i="10"/>
  <c r="E39" i="10"/>
  <c r="Z38" i="10"/>
  <c r="R38" i="10"/>
  <c r="Q38" i="10"/>
  <c r="T38" i="10" s="1"/>
  <c r="S38" i="10"/>
  <c r="P38" i="10"/>
  <c r="L38" i="10"/>
  <c r="M38" i="10" s="1"/>
  <c r="F46" i="9" s="1"/>
  <c r="N38" i="10"/>
  <c r="K38" i="10"/>
  <c r="E46" i="9" s="1"/>
  <c r="J38" i="10"/>
  <c r="I38" i="10"/>
  <c r="H38" i="10"/>
  <c r="G38" i="10"/>
  <c r="F38" i="10"/>
  <c r="E38" i="10"/>
  <c r="Z37" i="10"/>
  <c r="T37" i="10"/>
  <c r="R37" i="10"/>
  <c r="Q37" i="10"/>
  <c r="S37" i="10"/>
  <c r="P37" i="10"/>
  <c r="O37" i="10"/>
  <c r="M37" i="10"/>
  <c r="F50" i="9" s="1"/>
  <c r="L37" i="10"/>
  <c r="N37" i="10"/>
  <c r="K37" i="10"/>
  <c r="E50" i="9" s="1"/>
  <c r="J37" i="10"/>
  <c r="I37" i="10"/>
  <c r="H37" i="10"/>
  <c r="G37" i="10"/>
  <c r="F37" i="10"/>
  <c r="E37" i="10"/>
  <c r="Z36" i="10"/>
  <c r="T36" i="10"/>
  <c r="Q36" i="10"/>
  <c r="R36" i="10" s="1"/>
  <c r="S36" i="10"/>
  <c r="P36" i="10"/>
  <c r="L36" i="10"/>
  <c r="O36" i="10" s="1"/>
  <c r="N36" i="10"/>
  <c r="K36" i="10"/>
  <c r="E28" i="9" s="1"/>
  <c r="J36" i="10"/>
  <c r="I36" i="10"/>
  <c r="H36" i="10"/>
  <c r="G36" i="10"/>
  <c r="F36" i="10"/>
  <c r="E36" i="10"/>
  <c r="Z35" i="10"/>
  <c r="S35" i="10"/>
  <c r="T35" i="10" s="1"/>
  <c r="P35" i="10"/>
  <c r="R35" i="10" s="1"/>
  <c r="O35" i="10"/>
  <c r="N35" i="10"/>
  <c r="M35" i="10"/>
  <c r="F48" i="9" s="1"/>
  <c r="K35" i="10"/>
  <c r="E48" i="9" s="1"/>
  <c r="I35" i="10"/>
  <c r="D48" i="9" s="1"/>
  <c r="H35" i="10"/>
  <c r="G35" i="10"/>
  <c r="F35" i="10"/>
  <c r="E35" i="10"/>
  <c r="D35" i="10"/>
  <c r="A35" i="10"/>
  <c r="Z34" i="10"/>
  <c r="Q34" i="10"/>
  <c r="T34" i="10" s="1"/>
  <c r="S34" i="10"/>
  <c r="P34" i="10"/>
  <c r="M34" i="10"/>
  <c r="L34" i="10"/>
  <c r="O34" i="10" s="1"/>
  <c r="N34" i="10"/>
  <c r="K34" i="10"/>
  <c r="J34" i="10"/>
  <c r="I34" i="10"/>
  <c r="H34" i="10"/>
  <c r="G34" i="10"/>
  <c r="F34" i="10"/>
  <c r="E34" i="10"/>
  <c r="Z33" i="10"/>
  <c r="Q33" i="10"/>
  <c r="T33" i="10" s="1"/>
  <c r="S33" i="10"/>
  <c r="P33" i="10"/>
  <c r="O33" i="10"/>
  <c r="M33" i="10"/>
  <c r="L33" i="10"/>
  <c r="N33" i="10"/>
  <c r="K33" i="10"/>
  <c r="J33" i="10"/>
  <c r="I33" i="10"/>
  <c r="H33" i="10"/>
  <c r="G33" i="10"/>
  <c r="F33" i="10"/>
  <c r="E33" i="10"/>
  <c r="Z32" i="10"/>
  <c r="Q32" i="10"/>
  <c r="T32" i="10" s="1"/>
  <c r="S32" i="10"/>
  <c r="P32" i="10"/>
  <c r="O32" i="10"/>
  <c r="L32" i="10"/>
  <c r="M32" i="10" s="1"/>
  <c r="N32" i="10"/>
  <c r="K32" i="10"/>
  <c r="J32" i="10"/>
  <c r="I32" i="10"/>
  <c r="H32" i="10"/>
  <c r="G32" i="10"/>
  <c r="F32" i="10"/>
  <c r="E32" i="10"/>
  <c r="Z31" i="10"/>
  <c r="T31" i="10"/>
  <c r="R31" i="10"/>
  <c r="Q31" i="10"/>
  <c r="S31" i="10"/>
  <c r="P31" i="10"/>
  <c r="M31" i="10"/>
  <c r="L31" i="10"/>
  <c r="O31" i="10" s="1"/>
  <c r="N31" i="10"/>
  <c r="K31" i="10"/>
  <c r="J31" i="10"/>
  <c r="I31" i="10"/>
  <c r="H31" i="10"/>
  <c r="G31" i="10"/>
  <c r="F31" i="10"/>
  <c r="E31" i="10"/>
  <c r="Z30" i="10"/>
  <c r="Q30" i="10"/>
  <c r="R30" i="10" s="1"/>
  <c r="S30" i="10"/>
  <c r="P30" i="10"/>
  <c r="L30" i="10"/>
  <c r="O30" i="10" s="1"/>
  <c r="N30" i="10"/>
  <c r="K30" i="10"/>
  <c r="J30" i="10"/>
  <c r="I30" i="10"/>
  <c r="H30" i="10"/>
  <c r="G30" i="10"/>
  <c r="F30" i="10"/>
  <c r="E30" i="10"/>
  <c r="Z29" i="10"/>
  <c r="R29" i="10"/>
  <c r="Q29" i="10"/>
  <c r="T29" i="10" s="1"/>
  <c r="S29" i="10"/>
  <c r="P29" i="10"/>
  <c r="L29" i="10"/>
  <c r="O29" i="10" s="1"/>
  <c r="N29" i="10"/>
  <c r="K29" i="10"/>
  <c r="J29" i="10"/>
  <c r="I29" i="10"/>
  <c r="H29" i="10"/>
  <c r="G29" i="10"/>
  <c r="F29" i="10"/>
  <c r="E29" i="10"/>
  <c r="Z28" i="10"/>
  <c r="S28" i="10"/>
  <c r="P28" i="10"/>
  <c r="R28" i="10" s="1"/>
  <c r="N28" i="10"/>
  <c r="O28" i="10" s="1"/>
  <c r="K28" i="10"/>
  <c r="I28" i="10"/>
  <c r="M28" i="10" s="1"/>
  <c r="F41" i="9" s="1"/>
  <c r="H28" i="10"/>
  <c r="G28" i="10"/>
  <c r="F28" i="10"/>
  <c r="E28" i="10"/>
  <c r="D28" i="10"/>
  <c r="A28" i="10"/>
  <c r="Z27" i="10"/>
  <c r="T27" i="10"/>
  <c r="R27" i="10"/>
  <c r="Q27" i="10"/>
  <c r="S27" i="10"/>
  <c r="P27" i="10"/>
  <c r="O27" i="10"/>
  <c r="M27" i="10"/>
  <c r="F34" i="9" s="1"/>
  <c r="L27" i="10"/>
  <c r="N27" i="10"/>
  <c r="K27" i="10"/>
  <c r="E34" i="9" s="1"/>
  <c r="J27" i="10"/>
  <c r="I27" i="10"/>
  <c r="D34" i="9" s="1"/>
  <c r="H27" i="10"/>
  <c r="G27" i="10"/>
  <c r="F27" i="10"/>
  <c r="E27" i="10"/>
  <c r="Z26" i="10"/>
  <c r="T26" i="10"/>
  <c r="Q26" i="10"/>
  <c r="R26" i="10" s="1"/>
  <c r="S26" i="10"/>
  <c r="P26" i="10"/>
  <c r="L26" i="10"/>
  <c r="O26" i="10" s="1"/>
  <c r="N26" i="10"/>
  <c r="K26" i="10"/>
  <c r="J26" i="10"/>
  <c r="I26" i="10"/>
  <c r="D35" i="9" s="1"/>
  <c r="H26" i="10"/>
  <c r="G26" i="10"/>
  <c r="F26" i="10"/>
  <c r="E26" i="10"/>
  <c r="Z25" i="10"/>
  <c r="R25" i="10"/>
  <c r="Q25" i="10"/>
  <c r="T25" i="10" s="1"/>
  <c r="S25" i="10"/>
  <c r="P25" i="10"/>
  <c r="M25" i="10"/>
  <c r="F39" i="9" s="1"/>
  <c r="L25" i="10"/>
  <c r="O25" i="10" s="1"/>
  <c r="N25" i="10"/>
  <c r="K25" i="10"/>
  <c r="E39" i="9" s="1"/>
  <c r="J25" i="10"/>
  <c r="I25" i="10"/>
  <c r="D39" i="9" s="1"/>
  <c r="H25" i="10"/>
  <c r="G25" i="10"/>
  <c r="F25" i="10"/>
  <c r="E25" i="10"/>
  <c r="Z24" i="10"/>
  <c r="Q24" i="10"/>
  <c r="T24" i="10" s="1"/>
  <c r="S24" i="10"/>
  <c r="P24" i="10"/>
  <c r="O24" i="10"/>
  <c r="M24" i="10"/>
  <c r="F40" i="9" s="1"/>
  <c r="L24" i="10"/>
  <c r="N24" i="10"/>
  <c r="K24" i="10"/>
  <c r="E40" i="9" s="1"/>
  <c r="J24" i="10"/>
  <c r="I24" i="10"/>
  <c r="D40" i="9" s="1"/>
  <c r="H24" i="10"/>
  <c r="G24" i="10"/>
  <c r="F24" i="10"/>
  <c r="E24" i="10"/>
  <c r="Z23" i="10"/>
  <c r="Q23" i="10"/>
  <c r="R23" i="10" s="1"/>
  <c r="S23" i="10"/>
  <c r="P23" i="10"/>
  <c r="O23" i="10"/>
  <c r="L23" i="10"/>
  <c r="M23" i="10" s="1"/>
  <c r="F43" i="9" s="1"/>
  <c r="N23" i="10"/>
  <c r="K23" i="10"/>
  <c r="E43" i="9" s="1"/>
  <c r="J23" i="10"/>
  <c r="I23" i="10"/>
  <c r="H23" i="10"/>
  <c r="G23" i="10"/>
  <c r="F23" i="10"/>
  <c r="E23" i="10"/>
  <c r="Z22" i="10"/>
  <c r="T22" i="10"/>
  <c r="R22" i="10"/>
  <c r="Q22" i="10"/>
  <c r="S22" i="10"/>
  <c r="P22" i="10"/>
  <c r="M22" i="10"/>
  <c r="L22" i="10"/>
  <c r="O22" i="10" s="1"/>
  <c r="N22" i="10"/>
  <c r="K22" i="10"/>
  <c r="E44" i="9" s="1"/>
  <c r="J22" i="10"/>
  <c r="I22" i="10"/>
  <c r="D44" i="9" s="1"/>
  <c r="H22" i="10"/>
  <c r="G22" i="10"/>
  <c r="F22" i="10"/>
  <c r="E22" i="10"/>
  <c r="Z21" i="10"/>
  <c r="S21" i="10"/>
  <c r="R21" i="10"/>
  <c r="P21" i="10"/>
  <c r="N21" i="10"/>
  <c r="O21" i="10" s="1"/>
  <c r="K21" i="10"/>
  <c r="M21" i="10" s="1"/>
  <c r="F29" i="9" s="1"/>
  <c r="I21" i="10"/>
  <c r="T21" i="10" s="1"/>
  <c r="H21" i="10"/>
  <c r="G21" i="10"/>
  <c r="F21" i="10"/>
  <c r="E21" i="10"/>
  <c r="D21" i="10"/>
  <c r="A21" i="10"/>
  <c r="Z20" i="10"/>
  <c r="Q20" i="10"/>
  <c r="T20" i="10" s="1"/>
  <c r="S20" i="10"/>
  <c r="P20" i="10"/>
  <c r="L20" i="10"/>
  <c r="O20" i="10" s="1"/>
  <c r="N20" i="10"/>
  <c r="K20" i="10"/>
  <c r="J20" i="10"/>
  <c r="I20" i="10"/>
  <c r="H20" i="10"/>
  <c r="G20" i="10"/>
  <c r="F20" i="10"/>
  <c r="E20" i="10"/>
  <c r="G19" i="10"/>
  <c r="A19" i="10"/>
  <c r="Z18" i="10"/>
  <c r="T18" i="10"/>
  <c r="Q18" i="10"/>
  <c r="R18" i="10" s="1"/>
  <c r="S18" i="10"/>
  <c r="P18" i="10"/>
  <c r="L18" i="10"/>
  <c r="O18" i="10" s="1"/>
  <c r="N18" i="10"/>
  <c r="K18" i="10"/>
  <c r="E16" i="9" s="1"/>
  <c r="J18" i="10"/>
  <c r="I18" i="10"/>
  <c r="H18" i="10"/>
  <c r="G18" i="10"/>
  <c r="F18" i="10"/>
  <c r="E18" i="10"/>
  <c r="Z17" i="10"/>
  <c r="R17" i="10"/>
  <c r="Q17" i="10"/>
  <c r="T17" i="10" s="1"/>
  <c r="S17" i="10"/>
  <c r="P17" i="10"/>
  <c r="M17" i="10"/>
  <c r="F17" i="9" s="1"/>
  <c r="L17" i="10"/>
  <c r="O17" i="10" s="1"/>
  <c r="N17" i="10"/>
  <c r="K17" i="10"/>
  <c r="E17" i="9" s="1"/>
  <c r="J17" i="10"/>
  <c r="I17" i="10"/>
  <c r="H17" i="10"/>
  <c r="G17" i="10"/>
  <c r="F17" i="10"/>
  <c r="E17" i="10"/>
  <c r="Z16" i="10"/>
  <c r="S16" i="10"/>
  <c r="P16" i="10"/>
  <c r="R16" i="10" s="1"/>
  <c r="N16" i="10"/>
  <c r="O16" i="10" s="1"/>
  <c r="M16" i="10"/>
  <c r="F20" i="9" s="1"/>
  <c r="K16" i="10"/>
  <c r="E20" i="9" s="1"/>
  <c r="I16" i="10"/>
  <c r="D20" i="9" s="1"/>
  <c r="H16" i="10"/>
  <c r="G16" i="10"/>
  <c r="F16" i="10"/>
  <c r="E16" i="10"/>
  <c r="D16" i="10"/>
  <c r="A16" i="10"/>
  <c r="Z15" i="10"/>
  <c r="Q15" i="10"/>
  <c r="T15" i="10" s="1"/>
  <c r="S15" i="10"/>
  <c r="P15" i="10"/>
  <c r="O15" i="10"/>
  <c r="M15" i="10"/>
  <c r="F14" i="9" s="1"/>
  <c r="L15" i="10"/>
  <c r="N15" i="10"/>
  <c r="K15" i="10"/>
  <c r="J15" i="10"/>
  <c r="I15" i="10"/>
  <c r="D14" i="9" s="1"/>
  <c r="H15" i="10"/>
  <c r="G15" i="10"/>
  <c r="F15" i="10"/>
  <c r="E15" i="10"/>
  <c r="Z14" i="10"/>
  <c r="Q14" i="10"/>
  <c r="R14" i="10" s="1"/>
  <c r="S14" i="10"/>
  <c r="P14" i="10"/>
  <c r="O14" i="10"/>
  <c r="L14" i="10"/>
  <c r="M14" i="10" s="1"/>
  <c r="F15" i="9" s="1"/>
  <c r="N14" i="10"/>
  <c r="K14" i="10"/>
  <c r="J14" i="10"/>
  <c r="I14" i="10"/>
  <c r="D15" i="9" s="1"/>
  <c r="H14" i="10"/>
  <c r="G14" i="10"/>
  <c r="F14" i="10"/>
  <c r="E14" i="10"/>
  <c r="Z13" i="10"/>
  <c r="T13" i="10"/>
  <c r="R13" i="10"/>
  <c r="Q13" i="10"/>
  <c r="S13" i="10"/>
  <c r="P13" i="10"/>
  <c r="M13" i="10"/>
  <c r="F18" i="9" s="1"/>
  <c r="L13" i="10"/>
  <c r="O13" i="10" s="1"/>
  <c r="N13" i="10"/>
  <c r="K13" i="10"/>
  <c r="E18" i="9" s="1"/>
  <c r="J13" i="10"/>
  <c r="I13" i="10"/>
  <c r="D18" i="9" s="1"/>
  <c r="H13" i="10"/>
  <c r="G13" i="10"/>
  <c r="F13" i="10"/>
  <c r="E13" i="10"/>
  <c r="Z12" i="10"/>
  <c r="Q12" i="10"/>
  <c r="T12" i="10" s="1"/>
  <c r="S12" i="10"/>
  <c r="P12" i="10"/>
  <c r="L12" i="10"/>
  <c r="O12" i="10" s="1"/>
  <c r="N12" i="10"/>
  <c r="K12" i="10"/>
  <c r="J12" i="10"/>
  <c r="I12" i="10"/>
  <c r="D19" i="9" s="1"/>
  <c r="H12" i="10"/>
  <c r="G12" i="10"/>
  <c r="F12" i="10"/>
  <c r="E12" i="10"/>
  <c r="Z11" i="10"/>
  <c r="R11" i="10"/>
  <c r="Q11" i="10"/>
  <c r="T11" i="10" s="1"/>
  <c r="S11" i="10"/>
  <c r="P11" i="10"/>
  <c r="L11" i="10"/>
  <c r="O11" i="10" s="1"/>
  <c r="N11" i="10"/>
  <c r="K11" i="10"/>
  <c r="E21" i="9" s="1"/>
  <c r="J11" i="10"/>
  <c r="I11" i="10"/>
  <c r="D21" i="9" s="1"/>
  <c r="H11" i="10"/>
  <c r="G11" i="10"/>
  <c r="F11" i="10"/>
  <c r="E11" i="10"/>
  <c r="Z10" i="10"/>
  <c r="T10" i="10"/>
  <c r="R10" i="10"/>
  <c r="Q10" i="10"/>
  <c r="S10" i="10"/>
  <c r="P10" i="10"/>
  <c r="O10" i="10"/>
  <c r="M10" i="10"/>
  <c r="F22" i="9" s="1"/>
  <c r="L10" i="10"/>
  <c r="N10" i="10"/>
  <c r="K10" i="10"/>
  <c r="E22" i="9" s="1"/>
  <c r="J10" i="10"/>
  <c r="I10" i="10"/>
  <c r="H10" i="10"/>
  <c r="G10" i="10"/>
  <c r="F10" i="10"/>
  <c r="E10" i="10"/>
  <c r="Z9" i="10"/>
  <c r="S9" i="10"/>
  <c r="P9" i="10"/>
  <c r="N9" i="10"/>
  <c r="O9" i="10" s="1"/>
  <c r="K9" i="10"/>
  <c r="E11" i="9" s="1"/>
  <c r="I9" i="10"/>
  <c r="R9" i="10" s="1"/>
  <c r="H9" i="10"/>
  <c r="G9" i="10"/>
  <c r="F9" i="10"/>
  <c r="E9" i="10"/>
  <c r="D9" i="10"/>
  <c r="A9" i="10"/>
  <c r="Z8" i="10"/>
  <c r="T8" i="10"/>
  <c r="Q8" i="10"/>
  <c r="R8" i="10" s="1"/>
  <c r="S8" i="10"/>
  <c r="P8" i="10"/>
  <c r="L8" i="10"/>
  <c r="M8" i="10" s="1"/>
  <c r="F23" i="9" s="1"/>
  <c r="N8" i="10"/>
  <c r="K8" i="10"/>
  <c r="E23" i="9" s="1"/>
  <c r="J8" i="10"/>
  <c r="I8" i="10"/>
  <c r="H8" i="10"/>
  <c r="G8" i="10"/>
  <c r="F8" i="10"/>
  <c r="E8" i="10"/>
  <c r="G7" i="10"/>
  <c r="A7" i="10"/>
  <c r="G6" i="10"/>
  <c r="A6" i="10"/>
  <c r="D49" i="8"/>
  <c r="C49" i="8"/>
  <c r="B49" i="8"/>
  <c r="D48" i="8"/>
  <c r="C48" i="8"/>
  <c r="B48" i="8"/>
  <c r="D47" i="8"/>
  <c r="C47" i="8"/>
  <c r="B47" i="8"/>
  <c r="A46" i="8"/>
  <c r="D45" i="8"/>
  <c r="C45" i="8"/>
  <c r="B45" i="8"/>
  <c r="D44" i="8"/>
  <c r="C44" i="8"/>
  <c r="B44" i="8"/>
  <c r="D43" i="8"/>
  <c r="C43" i="8"/>
  <c r="B43" i="8"/>
  <c r="D42" i="8"/>
  <c r="C42" i="8"/>
  <c r="B42" i="8"/>
  <c r="D41" i="8"/>
  <c r="C41" i="8"/>
  <c r="B41" i="8"/>
  <c r="D40" i="8"/>
  <c r="C40" i="8"/>
  <c r="B40" i="8"/>
  <c r="D39" i="8"/>
  <c r="C39" i="8"/>
  <c r="B39" i="8"/>
  <c r="D38" i="8"/>
  <c r="C38" i="8"/>
  <c r="B38" i="8"/>
  <c r="D37" i="8"/>
  <c r="C37" i="8"/>
  <c r="B37" i="8"/>
  <c r="D36" i="8"/>
  <c r="C36" i="8"/>
  <c r="B36" i="8"/>
  <c r="D35" i="8"/>
  <c r="C35" i="8"/>
  <c r="B35" i="8"/>
  <c r="D34" i="8"/>
  <c r="C34" i="8"/>
  <c r="B34" i="8"/>
  <c r="D33" i="8"/>
  <c r="C33" i="8"/>
  <c r="B33" i="8"/>
  <c r="D32" i="8"/>
  <c r="C32" i="8"/>
  <c r="B32" i="8"/>
  <c r="D31" i="8"/>
  <c r="C31" i="8"/>
  <c r="B31" i="8"/>
  <c r="D30" i="8"/>
  <c r="C30" i="8"/>
  <c r="B30" i="8"/>
  <c r="D29" i="8"/>
  <c r="C29" i="8"/>
  <c r="B29" i="8"/>
  <c r="D28" i="8"/>
  <c r="C28" i="8"/>
  <c r="B28" i="8"/>
  <c r="A27" i="8"/>
  <c r="D26" i="8"/>
  <c r="C26" i="8"/>
  <c r="B26" i="8"/>
  <c r="D25" i="8"/>
  <c r="C25" i="8"/>
  <c r="B25" i="8"/>
  <c r="D24" i="8"/>
  <c r="C24" i="8"/>
  <c r="B24" i="8"/>
  <c r="D23" i="8"/>
  <c r="C23" i="8"/>
  <c r="B23" i="8"/>
  <c r="D22" i="8"/>
  <c r="C22" i="8"/>
  <c r="B22" i="8"/>
  <c r="D21" i="8"/>
  <c r="C21" i="8"/>
  <c r="B21" i="8"/>
  <c r="A20" i="8"/>
  <c r="A19" i="8"/>
  <c r="AD12" i="8"/>
  <c r="A12" i="8"/>
  <c r="A11" i="8"/>
  <c r="A1" i="8"/>
  <c r="H208" i="7"/>
  <c r="H205" i="7"/>
  <c r="C208" i="7"/>
  <c r="C205" i="7"/>
  <c r="I202" i="7"/>
  <c r="C202" i="7"/>
  <c r="I201" i="7"/>
  <c r="C201" i="7"/>
  <c r="I200" i="7"/>
  <c r="C200" i="7"/>
  <c r="I25" i="7"/>
  <c r="I24" i="7"/>
  <c r="I23" i="7"/>
  <c r="I22" i="7"/>
  <c r="I21" i="7"/>
  <c r="I20" i="7" s="1"/>
  <c r="AF199" i="7"/>
  <c r="A199" i="7"/>
  <c r="A196" i="7"/>
  <c r="A193" i="7"/>
  <c r="J190" i="7"/>
  <c r="I190" i="7"/>
  <c r="H190" i="7"/>
  <c r="G190" i="7"/>
  <c r="F190" i="7"/>
  <c r="J189" i="7"/>
  <c r="I191" i="7" s="1"/>
  <c r="I189" i="7"/>
  <c r="H189" i="7"/>
  <c r="G189" i="7"/>
  <c r="F189" i="7"/>
  <c r="V188" i="7"/>
  <c r="T188" i="7"/>
  <c r="R188" i="7"/>
  <c r="U188" i="7"/>
  <c r="S188" i="7"/>
  <c r="Q188" i="7"/>
  <c r="E188" i="7"/>
  <c r="D188" i="7"/>
  <c r="C188" i="7"/>
  <c r="B188" i="7"/>
  <c r="J186" i="7"/>
  <c r="I186" i="7"/>
  <c r="H186" i="7"/>
  <c r="G186" i="7"/>
  <c r="F186" i="7"/>
  <c r="J185" i="7"/>
  <c r="I187" i="7" s="1"/>
  <c r="I185" i="7"/>
  <c r="H185" i="7"/>
  <c r="G185" i="7"/>
  <c r="F185" i="7"/>
  <c r="V184" i="7"/>
  <c r="T184" i="7"/>
  <c r="R184" i="7"/>
  <c r="U184" i="7"/>
  <c r="S184" i="7"/>
  <c r="Q184" i="7"/>
  <c r="E184" i="7"/>
  <c r="D184" i="7"/>
  <c r="C184" i="7"/>
  <c r="B184" i="7"/>
  <c r="E182" i="7"/>
  <c r="J181" i="7"/>
  <c r="I181" i="7"/>
  <c r="H181" i="7"/>
  <c r="G181" i="7"/>
  <c r="F181" i="7"/>
  <c r="J180" i="7"/>
  <c r="I183" i="7" s="1"/>
  <c r="I180" i="7"/>
  <c r="H180" i="7"/>
  <c r="G180" i="7"/>
  <c r="F180" i="7"/>
  <c r="V179" i="7"/>
  <c r="J182" i="7" s="1"/>
  <c r="T179" i="7"/>
  <c r="R179" i="7"/>
  <c r="U179" i="7"/>
  <c r="S179" i="7"/>
  <c r="Q179" i="7"/>
  <c r="E179" i="7"/>
  <c r="D179" i="7"/>
  <c r="C179" i="7"/>
  <c r="B179" i="7"/>
  <c r="A178" i="7"/>
  <c r="A175" i="7"/>
  <c r="K172" i="7"/>
  <c r="H172" i="7"/>
  <c r="G172" i="7"/>
  <c r="E172" i="7"/>
  <c r="J171" i="7"/>
  <c r="E171" i="7"/>
  <c r="E170" i="7"/>
  <c r="J169" i="7"/>
  <c r="I169" i="7"/>
  <c r="H169" i="7"/>
  <c r="G169" i="7"/>
  <c r="F169" i="7"/>
  <c r="C168" i="7"/>
  <c r="V167" i="7"/>
  <c r="T167" i="7"/>
  <c r="R167" i="7"/>
  <c r="J170" i="7" s="1"/>
  <c r="U167" i="7"/>
  <c r="S167" i="7"/>
  <c r="Q167" i="7"/>
  <c r="E167" i="7"/>
  <c r="D167" i="7"/>
  <c r="C167" i="7"/>
  <c r="B167" i="7"/>
  <c r="K165" i="7"/>
  <c r="H165" i="7"/>
  <c r="G165" i="7"/>
  <c r="E165" i="7"/>
  <c r="E164" i="7"/>
  <c r="E163" i="7"/>
  <c r="J162" i="7"/>
  <c r="I162" i="7"/>
  <c r="H162" i="7"/>
  <c r="G162" i="7"/>
  <c r="F162" i="7"/>
  <c r="J161" i="7"/>
  <c r="I161" i="7"/>
  <c r="H161" i="7"/>
  <c r="G161" i="7"/>
  <c r="F161" i="7"/>
  <c r="C160" i="7"/>
  <c r="V159" i="7"/>
  <c r="T159" i="7"/>
  <c r="J164" i="7" s="1"/>
  <c r="R159" i="7"/>
  <c r="J163" i="7" s="1"/>
  <c r="U159" i="7"/>
  <c r="S159" i="7"/>
  <c r="Q159" i="7"/>
  <c r="E159" i="7"/>
  <c r="D159" i="7"/>
  <c r="C159" i="7"/>
  <c r="B159" i="7"/>
  <c r="K157" i="7"/>
  <c r="H157" i="7"/>
  <c r="G157" i="7"/>
  <c r="E157" i="7"/>
  <c r="E156" i="7"/>
  <c r="E155" i="7"/>
  <c r="J154" i="7"/>
  <c r="I154" i="7"/>
  <c r="H154" i="7"/>
  <c r="F154" i="7"/>
  <c r="V154" i="7"/>
  <c r="T154" i="7"/>
  <c r="R154" i="7"/>
  <c r="U154" i="7"/>
  <c r="S154" i="7"/>
  <c r="Q154" i="7"/>
  <c r="E154" i="7"/>
  <c r="D154" i="7"/>
  <c r="C154" i="7"/>
  <c r="B154" i="7"/>
  <c r="J153" i="7"/>
  <c r="I153" i="7"/>
  <c r="H153" i="7"/>
  <c r="G153" i="7"/>
  <c r="F153" i="7"/>
  <c r="C152" i="7"/>
  <c r="V151" i="7"/>
  <c r="T151" i="7"/>
  <c r="J156" i="7" s="1"/>
  <c r="R151" i="7"/>
  <c r="J155" i="7" s="1"/>
  <c r="U151" i="7"/>
  <c r="S151" i="7"/>
  <c r="Q151" i="7"/>
  <c r="E151" i="7"/>
  <c r="D151" i="7"/>
  <c r="C151" i="7"/>
  <c r="B151" i="7"/>
  <c r="K149" i="7"/>
  <c r="H149" i="7"/>
  <c r="G149" i="7"/>
  <c r="E149" i="7"/>
  <c r="E148" i="7"/>
  <c r="E147" i="7"/>
  <c r="J146" i="7"/>
  <c r="I146" i="7"/>
  <c r="H146" i="7"/>
  <c r="F146" i="7"/>
  <c r="V146" i="7"/>
  <c r="T146" i="7"/>
  <c r="R146" i="7"/>
  <c r="U146" i="7"/>
  <c r="S146" i="7"/>
  <c r="Q146" i="7"/>
  <c r="E146" i="7"/>
  <c r="D146" i="7"/>
  <c r="C146" i="7"/>
  <c r="B146" i="7"/>
  <c r="J145" i="7"/>
  <c r="I145" i="7"/>
  <c r="H145" i="7"/>
  <c r="G145" i="7"/>
  <c r="F145" i="7"/>
  <c r="C144" i="7"/>
  <c r="V143" i="7"/>
  <c r="T143" i="7"/>
  <c r="J148" i="7" s="1"/>
  <c r="R143" i="7"/>
  <c r="J147" i="7" s="1"/>
  <c r="U143" i="7"/>
  <c r="S143" i="7"/>
  <c r="Q143" i="7"/>
  <c r="E143" i="7"/>
  <c r="D143" i="7"/>
  <c r="C143" i="7"/>
  <c r="B143" i="7"/>
  <c r="K141" i="7"/>
  <c r="H141" i="7"/>
  <c r="G141" i="7"/>
  <c r="E141" i="7"/>
  <c r="J140" i="7"/>
  <c r="E140" i="7"/>
  <c r="E139" i="7"/>
  <c r="E138" i="7"/>
  <c r="J137" i="7"/>
  <c r="I137" i="7"/>
  <c r="H137" i="7"/>
  <c r="F137" i="7"/>
  <c r="V137" i="7"/>
  <c r="T137" i="7"/>
  <c r="R137" i="7"/>
  <c r="U137" i="7"/>
  <c r="S137" i="7"/>
  <c r="Q137" i="7"/>
  <c r="E137" i="7"/>
  <c r="D137" i="7"/>
  <c r="B137" i="7"/>
  <c r="J136" i="7"/>
  <c r="I136" i="7"/>
  <c r="H136" i="7"/>
  <c r="F136" i="7"/>
  <c r="V136" i="7"/>
  <c r="T136" i="7"/>
  <c r="R136" i="7"/>
  <c r="U136" i="7"/>
  <c r="S136" i="7"/>
  <c r="Q136" i="7"/>
  <c r="E136" i="7"/>
  <c r="D136" i="7"/>
  <c r="C136" i="7"/>
  <c r="B136" i="7"/>
  <c r="J135" i="7"/>
  <c r="I135" i="7"/>
  <c r="H135" i="7"/>
  <c r="G135" i="7"/>
  <c r="F135" i="7"/>
  <c r="J134" i="7"/>
  <c r="I134" i="7"/>
  <c r="H134" i="7"/>
  <c r="G134" i="7"/>
  <c r="F134" i="7"/>
  <c r="J133" i="7"/>
  <c r="I133" i="7"/>
  <c r="H133" i="7"/>
  <c r="G133" i="7"/>
  <c r="F133" i="7"/>
  <c r="J132" i="7"/>
  <c r="I132" i="7"/>
  <c r="H132" i="7"/>
  <c r="G132" i="7"/>
  <c r="F132" i="7"/>
  <c r="C131" i="7"/>
  <c r="V130" i="7"/>
  <c r="T130" i="7"/>
  <c r="J139" i="7" s="1"/>
  <c r="R130" i="7"/>
  <c r="J138" i="7" s="1"/>
  <c r="U130" i="7"/>
  <c r="S130" i="7"/>
  <c r="Q130" i="7"/>
  <c r="E130" i="7"/>
  <c r="D130" i="7"/>
  <c r="C130" i="7"/>
  <c r="B130" i="7"/>
  <c r="K128" i="7"/>
  <c r="H128" i="7"/>
  <c r="G128" i="7"/>
  <c r="E128" i="7"/>
  <c r="J127" i="7"/>
  <c r="E127" i="7"/>
  <c r="J126" i="7"/>
  <c r="E126" i="7"/>
  <c r="J125" i="7"/>
  <c r="I129" i="7" s="1"/>
  <c r="I125" i="7"/>
  <c r="H125" i="7"/>
  <c r="G125" i="7"/>
  <c r="F125" i="7"/>
  <c r="C124" i="7"/>
  <c r="V123" i="7"/>
  <c r="T123" i="7"/>
  <c r="R123" i="7"/>
  <c r="U123" i="7"/>
  <c r="S123" i="7"/>
  <c r="Q123" i="7"/>
  <c r="E123" i="7"/>
  <c r="D123" i="7"/>
  <c r="C123" i="7"/>
  <c r="B123" i="7"/>
  <c r="K121" i="7"/>
  <c r="H121" i="7"/>
  <c r="G121" i="7"/>
  <c r="E121" i="7"/>
  <c r="E120" i="7"/>
  <c r="E119" i="7"/>
  <c r="J118" i="7"/>
  <c r="I118" i="7"/>
  <c r="H118" i="7"/>
  <c r="G118" i="7"/>
  <c r="F118" i="7"/>
  <c r="J117" i="7"/>
  <c r="I117" i="7"/>
  <c r="H117" i="7"/>
  <c r="G117" i="7"/>
  <c r="F117" i="7"/>
  <c r="C116" i="7"/>
  <c r="V115" i="7"/>
  <c r="T115" i="7"/>
  <c r="J120" i="7" s="1"/>
  <c r="R115" i="7"/>
  <c r="J119" i="7" s="1"/>
  <c r="I122" i="7" s="1"/>
  <c r="U115" i="7"/>
  <c r="S115" i="7"/>
  <c r="Q115" i="7"/>
  <c r="E115" i="7"/>
  <c r="D115" i="7"/>
  <c r="C115" i="7"/>
  <c r="B115" i="7"/>
  <c r="K113" i="7"/>
  <c r="H113" i="7"/>
  <c r="G113" i="7"/>
  <c r="E113" i="7"/>
  <c r="E112" i="7"/>
  <c r="E111" i="7"/>
  <c r="J110" i="7"/>
  <c r="I110" i="7"/>
  <c r="H110" i="7"/>
  <c r="F110" i="7"/>
  <c r="V110" i="7"/>
  <c r="T110" i="7"/>
  <c r="R110" i="7"/>
  <c r="U110" i="7"/>
  <c r="S110" i="7"/>
  <c r="Q110" i="7"/>
  <c r="E110" i="7"/>
  <c r="D110" i="7"/>
  <c r="C110" i="7"/>
  <c r="B110" i="7"/>
  <c r="J109" i="7"/>
  <c r="I109" i="7"/>
  <c r="H109" i="7"/>
  <c r="G109" i="7"/>
  <c r="F109" i="7"/>
  <c r="C108" i="7"/>
  <c r="V107" i="7"/>
  <c r="T107" i="7"/>
  <c r="J112" i="7" s="1"/>
  <c r="R107" i="7"/>
  <c r="J111" i="7" s="1"/>
  <c r="I114" i="7" s="1"/>
  <c r="U107" i="7"/>
  <c r="S107" i="7"/>
  <c r="Q107" i="7"/>
  <c r="E107" i="7"/>
  <c r="D107" i="7"/>
  <c r="C107" i="7"/>
  <c r="B107" i="7"/>
  <c r="K105" i="7"/>
  <c r="H105" i="7"/>
  <c r="G105" i="7"/>
  <c r="E105" i="7"/>
  <c r="E104" i="7"/>
  <c r="J103" i="7"/>
  <c r="E103" i="7"/>
  <c r="J102" i="7"/>
  <c r="I102" i="7"/>
  <c r="H102" i="7"/>
  <c r="G102" i="7"/>
  <c r="F102" i="7"/>
  <c r="J101" i="7"/>
  <c r="I101" i="7"/>
  <c r="H101" i="7"/>
  <c r="G101" i="7"/>
  <c r="F101" i="7"/>
  <c r="C100" i="7"/>
  <c r="V99" i="7"/>
  <c r="T99" i="7"/>
  <c r="J104" i="7" s="1"/>
  <c r="R99" i="7"/>
  <c r="U99" i="7"/>
  <c r="S99" i="7"/>
  <c r="Q99" i="7"/>
  <c r="E99" i="7"/>
  <c r="D99" i="7"/>
  <c r="C99" i="7"/>
  <c r="B99" i="7"/>
  <c r="K97" i="7"/>
  <c r="H97" i="7"/>
  <c r="G97" i="7"/>
  <c r="E97" i="7"/>
  <c r="E96" i="7"/>
  <c r="E95" i="7"/>
  <c r="J94" i="7"/>
  <c r="I94" i="7"/>
  <c r="H94" i="7"/>
  <c r="F94" i="7"/>
  <c r="V94" i="7"/>
  <c r="T94" i="7"/>
  <c r="R94" i="7"/>
  <c r="U94" i="7"/>
  <c r="S94" i="7"/>
  <c r="Q94" i="7"/>
  <c r="E94" i="7"/>
  <c r="D94" i="7"/>
  <c r="C94" i="7"/>
  <c r="B94" i="7"/>
  <c r="J93" i="7"/>
  <c r="I93" i="7"/>
  <c r="H93" i="7"/>
  <c r="G93" i="7"/>
  <c r="F93" i="7"/>
  <c r="J92" i="7"/>
  <c r="I92" i="7"/>
  <c r="H92" i="7"/>
  <c r="G92" i="7"/>
  <c r="F92" i="7"/>
  <c r="C91" i="7"/>
  <c r="V90" i="7"/>
  <c r="T90" i="7"/>
  <c r="J96" i="7" s="1"/>
  <c r="R90" i="7"/>
  <c r="J95" i="7" s="1"/>
  <c r="U90" i="7"/>
  <c r="S90" i="7"/>
  <c r="Q90" i="7"/>
  <c r="E90" i="7"/>
  <c r="D90" i="7"/>
  <c r="C90" i="7"/>
  <c r="B90" i="7"/>
  <c r="E88" i="7"/>
  <c r="J87" i="7"/>
  <c r="I87" i="7"/>
  <c r="H87" i="7"/>
  <c r="G87" i="7"/>
  <c r="F87" i="7"/>
  <c r="J86" i="7"/>
  <c r="I89" i="7" s="1"/>
  <c r="I86" i="7"/>
  <c r="H86" i="7"/>
  <c r="G86" i="7"/>
  <c r="F86" i="7"/>
  <c r="V85" i="7"/>
  <c r="J88" i="7" s="1"/>
  <c r="T85" i="7"/>
  <c r="R85" i="7"/>
  <c r="U85" i="7"/>
  <c r="S85" i="7"/>
  <c r="Q85" i="7"/>
  <c r="E85" i="7"/>
  <c r="D85" i="7"/>
  <c r="C85" i="7"/>
  <c r="B85" i="7"/>
  <c r="K83" i="7"/>
  <c r="H83" i="7"/>
  <c r="G83" i="7"/>
  <c r="E83" i="7"/>
  <c r="E82" i="7"/>
  <c r="E81" i="7"/>
  <c r="J80" i="7"/>
  <c r="I80" i="7"/>
  <c r="H80" i="7"/>
  <c r="G80" i="7"/>
  <c r="F80" i="7"/>
  <c r="J79" i="7"/>
  <c r="I79" i="7"/>
  <c r="H79" i="7"/>
  <c r="G79" i="7"/>
  <c r="F79" i="7"/>
  <c r="C78" i="7"/>
  <c r="V77" i="7"/>
  <c r="T77" i="7"/>
  <c r="J82" i="7" s="1"/>
  <c r="R77" i="7"/>
  <c r="J81" i="7" s="1"/>
  <c r="U77" i="7"/>
  <c r="S77" i="7"/>
  <c r="Q77" i="7"/>
  <c r="E77" i="7"/>
  <c r="D77" i="7"/>
  <c r="C77" i="7"/>
  <c r="B77" i="7"/>
  <c r="A76" i="7"/>
  <c r="A73" i="7"/>
  <c r="K70" i="7"/>
  <c r="H70" i="7"/>
  <c r="G70" i="7"/>
  <c r="E70" i="7"/>
  <c r="E69" i="7"/>
  <c r="J68" i="7"/>
  <c r="E68" i="7"/>
  <c r="J67" i="7"/>
  <c r="I67" i="7"/>
  <c r="H67" i="7"/>
  <c r="G67" i="7"/>
  <c r="F67" i="7"/>
  <c r="C66" i="7"/>
  <c r="V65" i="7"/>
  <c r="T65" i="7"/>
  <c r="J69" i="7" s="1"/>
  <c r="I71" i="7" s="1"/>
  <c r="R65" i="7"/>
  <c r="U65" i="7"/>
  <c r="S65" i="7"/>
  <c r="Q65" i="7"/>
  <c r="E65" i="7"/>
  <c r="D65" i="7"/>
  <c r="C65" i="7"/>
  <c r="B65" i="7"/>
  <c r="K63" i="7"/>
  <c r="H63" i="7"/>
  <c r="G63" i="7"/>
  <c r="E63" i="7"/>
  <c r="E62" i="7"/>
  <c r="E61" i="7"/>
  <c r="J60" i="7"/>
  <c r="I60" i="7"/>
  <c r="H60" i="7"/>
  <c r="G60" i="7"/>
  <c r="F60" i="7"/>
  <c r="J59" i="7"/>
  <c r="I59" i="7"/>
  <c r="H59" i="7"/>
  <c r="G59" i="7"/>
  <c r="F59" i="7"/>
  <c r="C58" i="7"/>
  <c r="V57" i="7"/>
  <c r="T57" i="7"/>
  <c r="J62" i="7" s="1"/>
  <c r="R57" i="7"/>
  <c r="J61" i="7" s="1"/>
  <c r="U57" i="7"/>
  <c r="S57" i="7"/>
  <c r="Q57" i="7"/>
  <c r="E57" i="7"/>
  <c r="D57" i="7"/>
  <c r="C57" i="7"/>
  <c r="B57" i="7"/>
  <c r="K55" i="7"/>
  <c r="H55" i="7"/>
  <c r="G55" i="7"/>
  <c r="E55" i="7"/>
  <c r="J54" i="7"/>
  <c r="E54" i="7"/>
  <c r="E53" i="7"/>
  <c r="J52" i="7"/>
  <c r="I52" i="7"/>
  <c r="H52" i="7"/>
  <c r="F52" i="7"/>
  <c r="V52" i="7"/>
  <c r="T52" i="7"/>
  <c r="R52" i="7"/>
  <c r="U52" i="7"/>
  <c r="S52" i="7"/>
  <c r="Q52" i="7"/>
  <c r="E52" i="7"/>
  <c r="D52" i="7"/>
  <c r="C52" i="7"/>
  <c r="B52" i="7"/>
  <c r="J51" i="7"/>
  <c r="I51" i="7"/>
  <c r="H51" i="7"/>
  <c r="G51" i="7"/>
  <c r="F51" i="7"/>
  <c r="J50" i="7"/>
  <c r="I50" i="7"/>
  <c r="H50" i="7"/>
  <c r="G50" i="7"/>
  <c r="F50" i="7"/>
  <c r="C49" i="7"/>
  <c r="V48" i="7"/>
  <c r="T48" i="7"/>
  <c r="R48" i="7"/>
  <c r="J53" i="7" s="1"/>
  <c r="U48" i="7"/>
  <c r="S48" i="7"/>
  <c r="Q48" i="7"/>
  <c r="E48" i="7"/>
  <c r="D48" i="7"/>
  <c r="C48" i="7"/>
  <c r="B48" i="7"/>
  <c r="E46" i="7"/>
  <c r="J45" i="7"/>
  <c r="I45" i="7"/>
  <c r="H45" i="7"/>
  <c r="G45" i="7"/>
  <c r="F45" i="7"/>
  <c r="J44" i="7"/>
  <c r="I47" i="7" s="1"/>
  <c r="I44" i="7"/>
  <c r="H44" i="7"/>
  <c r="G44" i="7"/>
  <c r="F44" i="7"/>
  <c r="V43" i="7"/>
  <c r="J46" i="7" s="1"/>
  <c r="T43" i="7"/>
  <c r="R43" i="7"/>
  <c r="U43" i="7"/>
  <c r="S43" i="7"/>
  <c r="Q43" i="7"/>
  <c r="E43" i="7"/>
  <c r="D43" i="7"/>
  <c r="C43" i="7"/>
  <c r="B43" i="7"/>
  <c r="K41" i="7"/>
  <c r="H41" i="7"/>
  <c r="G41" i="7"/>
  <c r="E41" i="7"/>
  <c r="E40" i="7"/>
  <c r="E39" i="7"/>
  <c r="J38" i="7"/>
  <c r="I38" i="7"/>
  <c r="H38" i="7"/>
  <c r="G38" i="7"/>
  <c r="F38" i="7"/>
  <c r="J37" i="7"/>
  <c r="I37" i="7"/>
  <c r="H37" i="7"/>
  <c r="G37" i="7"/>
  <c r="F37" i="7"/>
  <c r="C36" i="7"/>
  <c r="V35" i="7"/>
  <c r="T35" i="7"/>
  <c r="J40" i="7" s="1"/>
  <c r="R35" i="7"/>
  <c r="J39" i="7" s="1"/>
  <c r="U35" i="7"/>
  <c r="S35" i="7"/>
  <c r="Q35" i="7"/>
  <c r="E35" i="7"/>
  <c r="D35" i="7"/>
  <c r="C35" i="7"/>
  <c r="B35" i="7"/>
  <c r="A34" i="7"/>
  <c r="A32" i="7"/>
  <c r="A18" i="7"/>
  <c r="A15" i="7"/>
  <c r="A10" i="7"/>
  <c r="B6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1" i="3"/>
  <c r="Y1" i="3"/>
  <c r="CV1" i="3" s="1"/>
  <c r="CX1" i="3"/>
  <c r="DF1" i="3" s="1"/>
  <c r="CY1" i="3"/>
  <c r="CZ1" i="3"/>
  <c r="DA1" i="3"/>
  <c r="DB1" i="3"/>
  <c r="DC1" i="3"/>
  <c r="DH1" i="3"/>
  <c r="A2" i="3"/>
  <c r="Y2" i="3"/>
  <c r="CY2" i="3"/>
  <c r="CZ2" i="3"/>
  <c r="DB2" i="3" s="1"/>
  <c r="DA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B5" i="3" s="1"/>
  <c r="DA5" i="3"/>
  <c r="DC5" i="3"/>
  <c r="A6" i="3"/>
  <c r="Y6" i="3"/>
  <c r="CY6" i="3"/>
  <c r="CZ6" i="3"/>
  <c r="DB6" i="3" s="1"/>
  <c r="DA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B9" i="3" s="1"/>
  <c r="DA9" i="3"/>
  <c r="DC9" i="3"/>
  <c r="A10" i="3"/>
  <c r="Y10" i="3"/>
  <c r="CY10" i="3"/>
  <c r="CZ10" i="3"/>
  <c r="DB10" i="3" s="1"/>
  <c r="DA10" i="3"/>
  <c r="DC10" i="3"/>
  <c r="A11" i="3"/>
  <c r="Y11" i="3"/>
  <c r="CY11" i="3"/>
  <c r="CZ11" i="3"/>
  <c r="DB11" i="3" s="1"/>
  <c r="DA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B16" i="3" s="1"/>
  <c r="DA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B21" i="3" s="1"/>
  <c r="DA21" i="3"/>
  <c r="DC21" i="3"/>
  <c r="A22" i="3"/>
  <c r="Y22" i="3"/>
  <c r="CY22" i="3"/>
  <c r="CZ22" i="3"/>
  <c r="DB22" i="3" s="1"/>
  <c r="DA22" i="3"/>
  <c r="DC22" i="3"/>
  <c r="A23" i="3"/>
  <c r="Y23" i="3"/>
  <c r="CY23" i="3"/>
  <c r="CZ23" i="3"/>
  <c r="DA23" i="3"/>
  <c r="DB23" i="3"/>
  <c r="DC23" i="3"/>
  <c r="A24" i="3"/>
  <c r="Y24" i="3"/>
  <c r="CY24" i="3"/>
  <c r="CZ24" i="3"/>
  <c r="DA24" i="3"/>
  <c r="DB24" i="3"/>
  <c r="DC24" i="3"/>
  <c r="A25" i="3"/>
  <c r="Y25" i="3"/>
  <c r="CY25" i="3"/>
  <c r="CZ25" i="3"/>
  <c r="DB25" i="3" s="1"/>
  <c r="DA25" i="3"/>
  <c r="DC25" i="3"/>
  <c r="A26" i="3"/>
  <c r="Y26" i="3"/>
  <c r="CY26" i="3"/>
  <c r="CZ26" i="3"/>
  <c r="DA26" i="3"/>
  <c r="DB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B28" i="3" s="1"/>
  <c r="DA28" i="3"/>
  <c r="DC28" i="3"/>
  <c r="A29" i="3"/>
  <c r="Y29" i="3"/>
  <c r="CY29" i="3"/>
  <c r="CZ29" i="3"/>
  <c r="DA29" i="3"/>
  <c r="DB29" i="3"/>
  <c r="DC29" i="3"/>
  <c r="A30" i="3"/>
  <c r="Y30" i="3"/>
  <c r="CY30" i="3"/>
  <c r="CZ30" i="3"/>
  <c r="DA30" i="3"/>
  <c r="DB30" i="3"/>
  <c r="DC30" i="3"/>
  <c r="A31" i="3"/>
  <c r="Y31" i="3"/>
  <c r="CY31" i="3"/>
  <c r="CZ31" i="3"/>
  <c r="DB31" i="3" s="1"/>
  <c r="DA31" i="3"/>
  <c r="DC31" i="3"/>
  <c r="A32" i="3"/>
  <c r="Y32" i="3"/>
  <c r="CY32" i="3"/>
  <c r="CZ32" i="3"/>
  <c r="DB32" i="3" s="1"/>
  <c r="DA32" i="3"/>
  <c r="DC32" i="3"/>
  <c r="A33" i="3"/>
  <c r="Y33" i="3"/>
  <c r="CY33" i="3"/>
  <c r="CZ33" i="3"/>
  <c r="DB33" i="3" s="1"/>
  <c r="DA33" i="3"/>
  <c r="DC33" i="3"/>
  <c r="A34" i="3"/>
  <c r="Y34" i="3"/>
  <c r="CY34" i="3"/>
  <c r="CZ34" i="3"/>
  <c r="DB34" i="3" s="1"/>
  <c r="DA34" i="3"/>
  <c r="DC34" i="3"/>
  <c r="A35" i="3"/>
  <c r="Y35" i="3"/>
  <c r="CY35" i="3"/>
  <c r="CZ35" i="3"/>
  <c r="DB35" i="3" s="1"/>
  <c r="DA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B37" i="3" s="1"/>
  <c r="DA37" i="3"/>
  <c r="DC37" i="3"/>
  <c r="A38" i="3"/>
  <c r="Y38" i="3"/>
  <c r="CY38" i="3"/>
  <c r="CZ38" i="3"/>
  <c r="DA38" i="3"/>
  <c r="DB38" i="3"/>
  <c r="DC38" i="3"/>
  <c r="A39" i="3"/>
  <c r="Y39" i="3"/>
  <c r="CY39" i="3"/>
  <c r="CZ39" i="3"/>
  <c r="DB39" i="3" s="1"/>
  <c r="DA39" i="3"/>
  <c r="DC39" i="3"/>
  <c r="A40" i="3"/>
  <c r="Y40" i="3"/>
  <c r="CY40" i="3"/>
  <c r="CZ40" i="3"/>
  <c r="DA40" i="3"/>
  <c r="DB40" i="3"/>
  <c r="DC40" i="3"/>
  <c r="A41" i="3"/>
  <c r="Y41" i="3"/>
  <c r="CY41" i="3"/>
  <c r="CZ41" i="3"/>
  <c r="DB41" i="3" s="1"/>
  <c r="DA41" i="3"/>
  <c r="DC41" i="3"/>
  <c r="A42" i="3"/>
  <c r="Y42" i="3"/>
  <c r="CY42" i="3"/>
  <c r="CZ42" i="3"/>
  <c r="DA42" i="3"/>
  <c r="DB42" i="3"/>
  <c r="DC42" i="3"/>
  <c r="A43" i="3"/>
  <c r="Y43" i="3"/>
  <c r="CY43" i="3"/>
  <c r="CZ43" i="3"/>
  <c r="DA43" i="3"/>
  <c r="DB43" i="3"/>
  <c r="DC43" i="3"/>
  <c r="A44" i="3"/>
  <c r="Y44" i="3"/>
  <c r="CY44" i="3"/>
  <c r="CZ44" i="3"/>
  <c r="DB44" i="3" s="1"/>
  <c r="DA44" i="3"/>
  <c r="DC44" i="3"/>
  <c r="A45" i="3"/>
  <c r="Y45" i="3"/>
  <c r="CY45" i="3"/>
  <c r="CZ45" i="3"/>
  <c r="DB45" i="3" s="1"/>
  <c r="DA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B48" i="3" s="1"/>
  <c r="DA48" i="3"/>
  <c r="DC48" i="3"/>
  <c r="A49" i="3"/>
  <c r="Y49" i="3"/>
  <c r="CY49" i="3"/>
  <c r="CZ49" i="3"/>
  <c r="DA49" i="3"/>
  <c r="DB49" i="3"/>
  <c r="DC49" i="3"/>
  <c r="A50" i="3"/>
  <c r="Y50" i="3"/>
  <c r="CY50" i="3"/>
  <c r="CZ50" i="3"/>
  <c r="DB50" i="3" s="1"/>
  <c r="DA50" i="3"/>
  <c r="DC50" i="3"/>
  <c r="A51" i="3"/>
  <c r="Y51" i="3"/>
  <c r="CY51" i="3"/>
  <c r="CZ51" i="3"/>
  <c r="DA51" i="3"/>
  <c r="DB51" i="3"/>
  <c r="DC51" i="3"/>
  <c r="A52" i="3"/>
  <c r="Y52" i="3"/>
  <c r="CY52" i="3"/>
  <c r="CZ52" i="3"/>
  <c r="DB52" i="3" s="1"/>
  <c r="DA52" i="3"/>
  <c r="DC52" i="3"/>
  <c r="A53" i="3"/>
  <c r="Y53" i="3"/>
  <c r="CY53" i="3"/>
  <c r="CZ53" i="3"/>
  <c r="DA53" i="3"/>
  <c r="DB53" i="3"/>
  <c r="DC53" i="3"/>
  <c r="A54" i="3"/>
  <c r="Y54" i="3"/>
  <c r="CY54" i="3"/>
  <c r="CZ54" i="3"/>
  <c r="DB54" i="3" s="1"/>
  <c r="DA54" i="3"/>
  <c r="DC54" i="3"/>
  <c r="A55" i="3"/>
  <c r="Y55" i="3"/>
  <c r="CY55" i="3"/>
  <c r="CZ55" i="3"/>
  <c r="DB55" i="3" s="1"/>
  <c r="DA55" i="3"/>
  <c r="DC55" i="3"/>
  <c r="A56" i="3"/>
  <c r="Y56" i="3"/>
  <c r="CY56" i="3"/>
  <c r="CZ56" i="3"/>
  <c r="DB56" i="3" s="1"/>
  <c r="DA56" i="3"/>
  <c r="DC56" i="3"/>
  <c r="A57" i="3"/>
  <c r="Y57" i="3"/>
  <c r="CY57" i="3"/>
  <c r="CZ57" i="3"/>
  <c r="DB57" i="3" s="1"/>
  <c r="DA57" i="3"/>
  <c r="DC57" i="3"/>
  <c r="A58" i="3"/>
  <c r="Y58" i="3"/>
  <c r="CW58" i="3"/>
  <c r="CX58" i="3"/>
  <c r="CY58" i="3"/>
  <c r="CZ58" i="3"/>
  <c r="DA58" i="3"/>
  <c r="DB58" i="3"/>
  <c r="DC58" i="3"/>
  <c r="A59" i="3"/>
  <c r="Y59" i="3"/>
  <c r="CY59" i="3"/>
  <c r="CZ59" i="3"/>
  <c r="DB59" i="3" s="1"/>
  <c r="DA59" i="3"/>
  <c r="DC59" i="3"/>
  <c r="A60" i="3"/>
  <c r="Y60" i="3"/>
  <c r="CY60" i="3"/>
  <c r="CZ60" i="3"/>
  <c r="DA60" i="3"/>
  <c r="DB60" i="3"/>
  <c r="DC60" i="3"/>
  <c r="A61" i="3"/>
  <c r="Y61" i="3"/>
  <c r="CY61" i="3"/>
  <c r="CZ61" i="3"/>
  <c r="DB61" i="3" s="1"/>
  <c r="DA61" i="3"/>
  <c r="DC61" i="3"/>
  <c r="A62" i="3"/>
  <c r="Y62" i="3"/>
  <c r="CY62" i="3"/>
  <c r="CZ62" i="3"/>
  <c r="DA62" i="3"/>
  <c r="DB62" i="3"/>
  <c r="DC62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CX2" i="3" s="1"/>
  <c r="K28" i="1"/>
  <c r="Q28" i="1"/>
  <c r="W28" i="1"/>
  <c r="AC28" i="1"/>
  <c r="AB28" i="1" s="1"/>
  <c r="AD28" i="1"/>
  <c r="AE28" i="1"/>
  <c r="AF28" i="1"/>
  <c r="CT28" i="1" s="1"/>
  <c r="S28" i="1" s="1"/>
  <c r="AG28" i="1"/>
  <c r="AH28" i="1"/>
  <c r="CV28" i="1" s="1"/>
  <c r="U28" i="1" s="1"/>
  <c r="AI28" i="1"/>
  <c r="AJ28" i="1"/>
  <c r="CQ28" i="1"/>
  <c r="P28" i="1" s="1"/>
  <c r="CR28" i="1"/>
  <c r="CS28" i="1"/>
  <c r="R28" i="1" s="1"/>
  <c r="CU28" i="1"/>
  <c r="T28" i="1" s="1"/>
  <c r="CW28" i="1"/>
  <c r="V28" i="1" s="1"/>
  <c r="CX28" i="1"/>
  <c r="FR28" i="1"/>
  <c r="GL28" i="1"/>
  <c r="GN28" i="1"/>
  <c r="GO28" i="1"/>
  <c r="GV28" i="1"/>
  <c r="HC28" i="1"/>
  <c r="GX28" i="1" s="1"/>
  <c r="CJ35" i="1" s="1"/>
  <c r="U29" i="1"/>
  <c r="AC29" i="1"/>
  <c r="CQ29" i="1" s="1"/>
  <c r="P29" i="1" s="1"/>
  <c r="AE29" i="1"/>
  <c r="AD29" i="1" s="1"/>
  <c r="AF29" i="1"/>
  <c r="AG29" i="1"/>
  <c r="AH29" i="1"/>
  <c r="AI29" i="1"/>
  <c r="AJ29" i="1"/>
  <c r="CR29" i="1"/>
  <c r="Q29" i="1" s="1"/>
  <c r="CS29" i="1"/>
  <c r="R29" i="1" s="1"/>
  <c r="GK29" i="1" s="1"/>
  <c r="CT29" i="1"/>
  <c r="S29" i="1" s="1"/>
  <c r="CU29" i="1"/>
  <c r="T29" i="1" s="1"/>
  <c r="CV29" i="1"/>
  <c r="CW29" i="1"/>
  <c r="V29" i="1" s="1"/>
  <c r="CX29" i="1"/>
  <c r="W29" i="1" s="1"/>
  <c r="FR29" i="1"/>
  <c r="GL29" i="1"/>
  <c r="GN29" i="1"/>
  <c r="GO29" i="1"/>
  <c r="GV29" i="1"/>
  <c r="GX29" i="1"/>
  <c r="HC29" i="1"/>
  <c r="C30" i="1"/>
  <c r="D30" i="1"/>
  <c r="I30" i="1"/>
  <c r="K30" i="1"/>
  <c r="Q30" i="1"/>
  <c r="AC30" i="1"/>
  <c r="AE30" i="1"/>
  <c r="AD30" i="1" s="1"/>
  <c r="AF30" i="1"/>
  <c r="CT30" i="1" s="1"/>
  <c r="S30" i="1" s="1"/>
  <c r="AG30" i="1"/>
  <c r="AH30" i="1"/>
  <c r="AI30" i="1"/>
  <c r="CW30" i="1" s="1"/>
  <c r="V30" i="1" s="1"/>
  <c r="AJ30" i="1"/>
  <c r="CR30" i="1"/>
  <c r="CS30" i="1"/>
  <c r="R30" i="1" s="1"/>
  <c r="GK30" i="1" s="1"/>
  <c r="CU30" i="1"/>
  <c r="T30" i="1" s="1"/>
  <c r="CV30" i="1"/>
  <c r="U30" i="1" s="1"/>
  <c r="CX30" i="1"/>
  <c r="W30" i="1" s="1"/>
  <c r="FR30" i="1"/>
  <c r="GL30" i="1"/>
  <c r="GN30" i="1"/>
  <c r="GO30" i="1"/>
  <c r="GV30" i="1"/>
  <c r="HC30" i="1" s="1"/>
  <c r="GX30" i="1" s="1"/>
  <c r="I31" i="1"/>
  <c r="Q31" i="1"/>
  <c r="W31" i="1"/>
  <c r="AC31" i="1"/>
  <c r="AB31" i="1" s="1"/>
  <c r="AD31" i="1"/>
  <c r="AE31" i="1"/>
  <c r="AF31" i="1"/>
  <c r="AG31" i="1"/>
  <c r="CU31" i="1" s="1"/>
  <c r="T31" i="1" s="1"/>
  <c r="AH31" i="1"/>
  <c r="AI31" i="1"/>
  <c r="CW31" i="1" s="1"/>
  <c r="V31" i="1" s="1"/>
  <c r="AJ31" i="1"/>
  <c r="CQ31" i="1"/>
  <c r="P31" i="1" s="1"/>
  <c r="CP31" i="1" s="1"/>
  <c r="O31" i="1" s="1"/>
  <c r="CR31" i="1"/>
  <c r="CS31" i="1"/>
  <c r="R31" i="1" s="1"/>
  <c r="GK31" i="1" s="1"/>
  <c r="CT31" i="1"/>
  <c r="S31" i="1" s="1"/>
  <c r="CV31" i="1"/>
  <c r="U31" i="1" s="1"/>
  <c r="CX31" i="1"/>
  <c r="FR31" i="1"/>
  <c r="GL31" i="1"/>
  <c r="GN31" i="1"/>
  <c r="GO31" i="1"/>
  <c r="GV31" i="1"/>
  <c r="HC31" i="1"/>
  <c r="GX31" i="1" s="1"/>
  <c r="C32" i="1"/>
  <c r="D32" i="1"/>
  <c r="I32" i="1"/>
  <c r="K32" i="1"/>
  <c r="Q32" i="1"/>
  <c r="AC32" i="1"/>
  <c r="AD32" i="1"/>
  <c r="AB32" i="1" s="1"/>
  <c r="AE32" i="1"/>
  <c r="AF32" i="1"/>
  <c r="AG32" i="1"/>
  <c r="CU32" i="1" s="1"/>
  <c r="T32" i="1" s="1"/>
  <c r="AH32" i="1"/>
  <c r="AI32" i="1"/>
  <c r="AJ32" i="1"/>
  <c r="CQ32" i="1"/>
  <c r="P32" i="1" s="1"/>
  <c r="CR32" i="1"/>
  <c r="CS32" i="1"/>
  <c r="R32" i="1" s="1"/>
  <c r="GK32" i="1" s="1"/>
  <c r="CT32" i="1"/>
  <c r="S32" i="1" s="1"/>
  <c r="CV32" i="1"/>
  <c r="U32" i="1" s="1"/>
  <c r="CW32" i="1"/>
  <c r="V32" i="1" s="1"/>
  <c r="CX32" i="1"/>
  <c r="W32" i="1" s="1"/>
  <c r="FR32" i="1"/>
  <c r="GL32" i="1"/>
  <c r="GN32" i="1"/>
  <c r="GO32" i="1"/>
  <c r="GV32" i="1"/>
  <c r="GX32" i="1"/>
  <c r="HC32" i="1"/>
  <c r="C33" i="1"/>
  <c r="D33" i="1"/>
  <c r="I33" i="1"/>
  <c r="K33" i="1"/>
  <c r="U33" i="1"/>
  <c r="W33" i="1"/>
  <c r="AC33" i="1"/>
  <c r="CQ33" i="1" s="1"/>
  <c r="P33" i="1" s="1"/>
  <c r="AE33" i="1"/>
  <c r="AD33" i="1" s="1"/>
  <c r="AF33" i="1"/>
  <c r="AG33" i="1"/>
  <c r="CU33" i="1" s="1"/>
  <c r="T33" i="1" s="1"/>
  <c r="AH33" i="1"/>
  <c r="AI33" i="1"/>
  <c r="CW33" i="1" s="1"/>
  <c r="V33" i="1" s="1"/>
  <c r="AJ33" i="1"/>
  <c r="CR33" i="1"/>
  <c r="Q33" i="1" s="1"/>
  <c r="CS33" i="1"/>
  <c r="R33" i="1" s="1"/>
  <c r="GK33" i="1" s="1"/>
  <c r="CT33" i="1"/>
  <c r="S33" i="1" s="1"/>
  <c r="CV33" i="1"/>
  <c r="CX33" i="1"/>
  <c r="FR33" i="1"/>
  <c r="GL33" i="1"/>
  <c r="GN33" i="1"/>
  <c r="GO33" i="1"/>
  <c r="GV33" i="1"/>
  <c r="HC33" i="1"/>
  <c r="GX33" i="1" s="1"/>
  <c r="B35" i="1"/>
  <c r="B26" i="1" s="1"/>
  <c r="C35" i="1"/>
  <c r="C26" i="1" s="1"/>
  <c r="D35" i="1"/>
  <c r="D26" i="1" s="1"/>
  <c r="F35" i="1"/>
  <c r="F26" i="1" s="1"/>
  <c r="G35" i="1"/>
  <c r="G26" i="1" s="1"/>
  <c r="BX35" i="1"/>
  <c r="BX26" i="1" s="1"/>
  <c r="BY35" i="1"/>
  <c r="BY26" i="1" s="1"/>
  <c r="BZ35" i="1"/>
  <c r="AQ35" i="1" s="1"/>
  <c r="CB35" i="1"/>
  <c r="CB26" i="1" s="1"/>
  <c r="CC35" i="1"/>
  <c r="CC26" i="1" s="1"/>
  <c r="CG35" i="1"/>
  <c r="CG26" i="1" s="1"/>
  <c r="CK35" i="1"/>
  <c r="CK26" i="1" s="1"/>
  <c r="CL35" i="1"/>
  <c r="CL26" i="1" s="1"/>
  <c r="CM35" i="1"/>
  <c r="CM26" i="1" s="1"/>
  <c r="D65" i="1"/>
  <c r="E67" i="1"/>
  <c r="Z67" i="1"/>
  <c r="AA67" i="1"/>
  <c r="AM67" i="1"/>
  <c r="AN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EC67" i="1"/>
  <c r="ED67" i="1"/>
  <c r="EE67" i="1"/>
  <c r="EF67" i="1"/>
  <c r="EG67" i="1"/>
  <c r="EH67" i="1"/>
  <c r="EI67" i="1"/>
  <c r="EJ67" i="1"/>
  <c r="EK67" i="1"/>
  <c r="EL67" i="1"/>
  <c r="EM67" i="1"/>
  <c r="EN67" i="1"/>
  <c r="EO67" i="1"/>
  <c r="EP67" i="1"/>
  <c r="EQ67" i="1"/>
  <c r="ER67" i="1"/>
  <c r="ES67" i="1"/>
  <c r="ET67" i="1"/>
  <c r="EU67" i="1"/>
  <c r="EV67" i="1"/>
  <c r="EW67" i="1"/>
  <c r="EX67" i="1"/>
  <c r="EY67" i="1"/>
  <c r="EZ67" i="1"/>
  <c r="FA67" i="1"/>
  <c r="FB67" i="1"/>
  <c r="FC67" i="1"/>
  <c r="FD67" i="1"/>
  <c r="FE67" i="1"/>
  <c r="FF67" i="1"/>
  <c r="FG67" i="1"/>
  <c r="FH67" i="1"/>
  <c r="FI67" i="1"/>
  <c r="FJ67" i="1"/>
  <c r="FK67" i="1"/>
  <c r="FL67" i="1"/>
  <c r="FM67" i="1"/>
  <c r="FN67" i="1"/>
  <c r="FO67" i="1"/>
  <c r="FP67" i="1"/>
  <c r="FQ67" i="1"/>
  <c r="FR67" i="1"/>
  <c r="FS67" i="1"/>
  <c r="FT67" i="1"/>
  <c r="FU67" i="1"/>
  <c r="FV67" i="1"/>
  <c r="FW67" i="1"/>
  <c r="FX67" i="1"/>
  <c r="FY67" i="1"/>
  <c r="FZ67" i="1"/>
  <c r="GA67" i="1"/>
  <c r="GB67" i="1"/>
  <c r="GC67" i="1"/>
  <c r="GD67" i="1"/>
  <c r="GE67" i="1"/>
  <c r="GF67" i="1"/>
  <c r="GG67" i="1"/>
  <c r="GH67" i="1"/>
  <c r="GI67" i="1"/>
  <c r="GJ67" i="1"/>
  <c r="GK67" i="1"/>
  <c r="GL67" i="1"/>
  <c r="GM67" i="1"/>
  <c r="GN67" i="1"/>
  <c r="GO67" i="1"/>
  <c r="GP67" i="1"/>
  <c r="GQ67" i="1"/>
  <c r="GR67" i="1"/>
  <c r="GS67" i="1"/>
  <c r="GT67" i="1"/>
  <c r="GU67" i="1"/>
  <c r="GV67" i="1"/>
  <c r="GW67" i="1"/>
  <c r="GX67" i="1"/>
  <c r="C69" i="1"/>
  <c r="D69" i="1"/>
  <c r="I69" i="1"/>
  <c r="CU16" i="3" s="1"/>
  <c r="K69" i="1"/>
  <c r="AB69" i="1"/>
  <c r="AC69" i="1"/>
  <c r="AD69" i="1"/>
  <c r="AE69" i="1"/>
  <c r="CS69" i="1" s="1"/>
  <c r="R69" i="1" s="1"/>
  <c r="AF69" i="1"/>
  <c r="CT69" i="1" s="1"/>
  <c r="S69" i="1" s="1"/>
  <c r="CZ69" i="1" s="1"/>
  <c r="Y69" i="1" s="1"/>
  <c r="AG69" i="1"/>
  <c r="AH69" i="1"/>
  <c r="CV69" i="1" s="1"/>
  <c r="U69" i="1" s="1"/>
  <c r="AI69" i="1"/>
  <c r="AJ69" i="1"/>
  <c r="CX69" i="1" s="1"/>
  <c r="W69" i="1" s="1"/>
  <c r="CQ69" i="1"/>
  <c r="P69" i="1" s="1"/>
  <c r="CR69" i="1"/>
  <c r="Q69" i="1" s="1"/>
  <c r="CU69" i="1"/>
  <c r="T69" i="1" s="1"/>
  <c r="CW69" i="1"/>
  <c r="V69" i="1" s="1"/>
  <c r="FR69" i="1"/>
  <c r="GL69" i="1"/>
  <c r="GN69" i="1"/>
  <c r="GO69" i="1"/>
  <c r="GV69" i="1"/>
  <c r="HC69" i="1" s="1"/>
  <c r="GX69" i="1" s="1"/>
  <c r="Q70" i="1"/>
  <c r="AC70" i="1"/>
  <c r="AD70" i="1"/>
  <c r="AE70" i="1"/>
  <c r="CS70" i="1" s="1"/>
  <c r="R70" i="1" s="1"/>
  <c r="GK70" i="1" s="1"/>
  <c r="AF70" i="1"/>
  <c r="AG70" i="1"/>
  <c r="CU70" i="1" s="1"/>
  <c r="T70" i="1" s="1"/>
  <c r="AH70" i="1"/>
  <c r="AI70" i="1"/>
  <c r="CW70" i="1" s="1"/>
  <c r="V70" i="1" s="1"/>
  <c r="AJ70" i="1"/>
  <c r="CR70" i="1"/>
  <c r="CT70" i="1"/>
  <c r="S70" i="1" s="1"/>
  <c r="CV70" i="1"/>
  <c r="U70" i="1" s="1"/>
  <c r="CX70" i="1"/>
  <c r="W70" i="1" s="1"/>
  <c r="FR70" i="1"/>
  <c r="GL70" i="1"/>
  <c r="GN70" i="1"/>
  <c r="GO70" i="1"/>
  <c r="GV70" i="1"/>
  <c r="HC70" i="1"/>
  <c r="GX70" i="1" s="1"/>
  <c r="C71" i="1"/>
  <c r="D71" i="1"/>
  <c r="I71" i="1"/>
  <c r="CX23" i="3" s="1"/>
  <c r="K71" i="1"/>
  <c r="T71" i="1"/>
  <c r="AC71" i="1"/>
  <c r="AD71" i="1"/>
  <c r="AB71" i="1" s="1"/>
  <c r="AE71" i="1"/>
  <c r="AF71" i="1"/>
  <c r="CT71" i="1" s="1"/>
  <c r="S71" i="1" s="1"/>
  <c r="CZ71" i="1" s="1"/>
  <c r="Y71" i="1" s="1"/>
  <c r="AG71" i="1"/>
  <c r="CU71" i="1" s="1"/>
  <c r="AH71" i="1"/>
  <c r="CV71" i="1" s="1"/>
  <c r="U71" i="1" s="1"/>
  <c r="AI71" i="1"/>
  <c r="AJ71" i="1"/>
  <c r="CX71" i="1" s="1"/>
  <c r="W71" i="1" s="1"/>
  <c r="CQ71" i="1"/>
  <c r="P71" i="1" s="1"/>
  <c r="CR71" i="1"/>
  <c r="Q71" i="1" s="1"/>
  <c r="CS71" i="1"/>
  <c r="R71" i="1" s="1"/>
  <c r="GK71" i="1" s="1"/>
  <c r="CW71" i="1"/>
  <c r="V71" i="1" s="1"/>
  <c r="FR71" i="1"/>
  <c r="GL71" i="1"/>
  <c r="GN71" i="1"/>
  <c r="GO71" i="1"/>
  <c r="GV71" i="1"/>
  <c r="GX71" i="1"/>
  <c r="HC71" i="1"/>
  <c r="AC72" i="1"/>
  <c r="AD72" i="1"/>
  <c r="AB72" i="1" s="1"/>
  <c r="AE72" i="1"/>
  <c r="CS72" i="1" s="1"/>
  <c r="AF72" i="1"/>
  <c r="CT72" i="1" s="1"/>
  <c r="AG72" i="1"/>
  <c r="AH72" i="1"/>
  <c r="CV72" i="1" s="1"/>
  <c r="AI72" i="1"/>
  <c r="AJ72" i="1"/>
  <c r="CX72" i="1" s="1"/>
  <c r="CQ72" i="1"/>
  <c r="CR72" i="1"/>
  <c r="CU72" i="1"/>
  <c r="CW72" i="1"/>
  <c r="FR72" i="1"/>
  <c r="GL72" i="1"/>
  <c r="GN72" i="1"/>
  <c r="GO72" i="1"/>
  <c r="GV72" i="1"/>
  <c r="HC72" i="1" s="1"/>
  <c r="C73" i="1"/>
  <c r="D73" i="1"/>
  <c r="I73" i="1"/>
  <c r="K73" i="1"/>
  <c r="W73" i="1"/>
  <c r="AC73" i="1"/>
  <c r="CQ73" i="1" s="1"/>
  <c r="P73" i="1" s="1"/>
  <c r="AE73" i="1"/>
  <c r="CS73" i="1" s="1"/>
  <c r="R73" i="1" s="1"/>
  <c r="GK73" i="1" s="1"/>
  <c r="AF73" i="1"/>
  <c r="AG73" i="1"/>
  <c r="AH73" i="1"/>
  <c r="CV73" i="1" s="1"/>
  <c r="U73" i="1" s="1"/>
  <c r="AI73" i="1"/>
  <c r="CW73" i="1" s="1"/>
  <c r="V73" i="1" s="1"/>
  <c r="AJ73" i="1"/>
  <c r="CR73" i="1"/>
  <c r="Q73" i="1" s="1"/>
  <c r="CT73" i="1"/>
  <c r="S73" i="1" s="1"/>
  <c r="CU73" i="1"/>
  <c r="T73" i="1" s="1"/>
  <c r="CX73" i="1"/>
  <c r="FR73" i="1"/>
  <c r="GL73" i="1"/>
  <c r="GN73" i="1"/>
  <c r="GO73" i="1"/>
  <c r="GV73" i="1"/>
  <c r="HC73" i="1" s="1"/>
  <c r="GX73" i="1" s="1"/>
  <c r="C74" i="1"/>
  <c r="D74" i="1"/>
  <c r="I74" i="1"/>
  <c r="CU33" i="3" s="1"/>
  <c r="K74" i="1"/>
  <c r="Q74" i="1"/>
  <c r="AB74" i="1"/>
  <c r="AC74" i="1"/>
  <c r="CQ74" i="1" s="1"/>
  <c r="P74" i="1" s="1"/>
  <c r="AD74" i="1"/>
  <c r="AE74" i="1"/>
  <c r="AF74" i="1"/>
  <c r="AG74" i="1"/>
  <c r="AH74" i="1"/>
  <c r="CV74" i="1" s="1"/>
  <c r="U74" i="1" s="1"/>
  <c r="AI74" i="1"/>
  <c r="AJ74" i="1"/>
  <c r="CX74" i="1" s="1"/>
  <c r="W74" i="1" s="1"/>
  <c r="CR74" i="1"/>
  <c r="CS74" i="1"/>
  <c r="R74" i="1" s="1"/>
  <c r="GK74" i="1" s="1"/>
  <c r="CT74" i="1"/>
  <c r="S74" i="1" s="1"/>
  <c r="CU74" i="1"/>
  <c r="T74" i="1" s="1"/>
  <c r="CW74" i="1"/>
  <c r="V74" i="1" s="1"/>
  <c r="FR74" i="1"/>
  <c r="GL74" i="1"/>
  <c r="GN74" i="1"/>
  <c r="GO74" i="1"/>
  <c r="GV74" i="1"/>
  <c r="GX74" i="1"/>
  <c r="HC74" i="1"/>
  <c r="I75" i="1"/>
  <c r="V75" i="1" s="1"/>
  <c r="AC75" i="1"/>
  <c r="AD75" i="1"/>
  <c r="AE75" i="1"/>
  <c r="AF75" i="1"/>
  <c r="AG75" i="1"/>
  <c r="AH75" i="1"/>
  <c r="AI75" i="1"/>
  <c r="CW75" i="1" s="1"/>
  <c r="AJ75" i="1"/>
  <c r="CX75" i="1" s="1"/>
  <c r="W75" i="1" s="1"/>
  <c r="CQ75" i="1"/>
  <c r="P75" i="1" s="1"/>
  <c r="CR75" i="1"/>
  <c r="Q75" i="1" s="1"/>
  <c r="CS75" i="1"/>
  <c r="CT75" i="1"/>
  <c r="CU75" i="1"/>
  <c r="T75" i="1" s="1"/>
  <c r="CV75" i="1"/>
  <c r="U75" i="1" s="1"/>
  <c r="FR75" i="1"/>
  <c r="GL75" i="1"/>
  <c r="GN75" i="1"/>
  <c r="GO75" i="1"/>
  <c r="GV75" i="1"/>
  <c r="HC75" i="1" s="1"/>
  <c r="GX75" i="1" s="1"/>
  <c r="C76" i="1"/>
  <c r="D76" i="1"/>
  <c r="I76" i="1"/>
  <c r="CU35" i="3" s="1"/>
  <c r="K76" i="1"/>
  <c r="P76" i="1"/>
  <c r="CP76" i="1" s="1"/>
  <c r="O76" i="1" s="1"/>
  <c r="Q76" i="1"/>
  <c r="R76" i="1"/>
  <c r="T76" i="1"/>
  <c r="AB76" i="1"/>
  <c r="AC76" i="1"/>
  <c r="AD76" i="1"/>
  <c r="AE76" i="1"/>
  <c r="CS76" i="1" s="1"/>
  <c r="AF76" i="1"/>
  <c r="AG76" i="1"/>
  <c r="AH76" i="1"/>
  <c r="AI76" i="1"/>
  <c r="AJ76" i="1"/>
  <c r="CQ76" i="1"/>
  <c r="CR76" i="1"/>
  <c r="CT76" i="1"/>
  <c r="S76" i="1" s="1"/>
  <c r="CU76" i="1"/>
  <c r="CV76" i="1"/>
  <c r="U76" i="1" s="1"/>
  <c r="CW76" i="1"/>
  <c r="V76" i="1" s="1"/>
  <c r="CX76" i="1"/>
  <c r="W76" i="1" s="1"/>
  <c r="FR76" i="1"/>
  <c r="GK76" i="1"/>
  <c r="GL76" i="1"/>
  <c r="GN76" i="1"/>
  <c r="GO76" i="1"/>
  <c r="GV76" i="1"/>
  <c r="HC76" i="1" s="1"/>
  <c r="GX76" i="1" s="1"/>
  <c r="C77" i="1"/>
  <c r="D77" i="1"/>
  <c r="I77" i="1"/>
  <c r="K77" i="1"/>
  <c r="AC77" i="1"/>
  <c r="AB77" i="1" s="1"/>
  <c r="AE77" i="1"/>
  <c r="AD77" i="1" s="1"/>
  <c r="AF77" i="1"/>
  <c r="AG77" i="1"/>
  <c r="CU77" i="1" s="1"/>
  <c r="T77" i="1" s="1"/>
  <c r="AH77" i="1"/>
  <c r="AI77" i="1"/>
  <c r="CW77" i="1" s="1"/>
  <c r="V77" i="1" s="1"/>
  <c r="AJ77" i="1"/>
  <c r="CR77" i="1"/>
  <c r="CT77" i="1"/>
  <c r="S77" i="1" s="1"/>
  <c r="CV77" i="1"/>
  <c r="U77" i="1" s="1"/>
  <c r="CX77" i="1"/>
  <c r="W77" i="1" s="1"/>
  <c r="FR77" i="1"/>
  <c r="GL77" i="1"/>
  <c r="GN77" i="1"/>
  <c r="GO77" i="1"/>
  <c r="GV77" i="1"/>
  <c r="HC77" i="1"/>
  <c r="GX77" i="1" s="1"/>
  <c r="C78" i="1"/>
  <c r="D78" i="1"/>
  <c r="I78" i="1"/>
  <c r="K78" i="1"/>
  <c r="R78" i="1"/>
  <c r="GK78" i="1" s="1"/>
  <c r="T78" i="1"/>
  <c r="AC78" i="1"/>
  <c r="AD78" i="1"/>
  <c r="AB78" i="1" s="1"/>
  <c r="AE78" i="1"/>
  <c r="AF78" i="1"/>
  <c r="CT78" i="1" s="1"/>
  <c r="S78" i="1" s="1"/>
  <c r="AG78" i="1"/>
  <c r="AH78" i="1"/>
  <c r="CV78" i="1" s="1"/>
  <c r="U78" i="1" s="1"/>
  <c r="AI78" i="1"/>
  <c r="AJ78" i="1"/>
  <c r="CX78" i="1" s="1"/>
  <c r="W78" i="1" s="1"/>
  <c r="CQ78" i="1"/>
  <c r="P78" i="1" s="1"/>
  <c r="CR78" i="1"/>
  <c r="Q78" i="1" s="1"/>
  <c r="CS78" i="1"/>
  <c r="CU78" i="1"/>
  <c r="CW78" i="1"/>
  <c r="V78" i="1" s="1"/>
  <c r="FR78" i="1"/>
  <c r="GL78" i="1"/>
  <c r="GN78" i="1"/>
  <c r="GO78" i="1"/>
  <c r="GV78" i="1"/>
  <c r="HC78" i="1" s="1"/>
  <c r="GX78" i="1" s="1"/>
  <c r="I79" i="1"/>
  <c r="P79" i="1"/>
  <c r="R79" i="1"/>
  <c r="GK79" i="1" s="1"/>
  <c r="AB79" i="1"/>
  <c r="AC79" i="1"/>
  <c r="AD79" i="1"/>
  <c r="AE79" i="1"/>
  <c r="AF79" i="1"/>
  <c r="CT79" i="1" s="1"/>
  <c r="S79" i="1" s="1"/>
  <c r="AG79" i="1"/>
  <c r="AH79" i="1"/>
  <c r="CV79" i="1" s="1"/>
  <c r="U79" i="1" s="1"/>
  <c r="AI79" i="1"/>
  <c r="AJ79" i="1"/>
  <c r="CX79" i="1" s="1"/>
  <c r="W79" i="1" s="1"/>
  <c r="CQ79" i="1"/>
  <c r="CR79" i="1"/>
  <c r="Q79" i="1" s="1"/>
  <c r="CS79" i="1"/>
  <c r="CU79" i="1"/>
  <c r="T79" i="1" s="1"/>
  <c r="CW79" i="1"/>
  <c r="V79" i="1" s="1"/>
  <c r="FR79" i="1"/>
  <c r="GL79" i="1"/>
  <c r="GN79" i="1"/>
  <c r="GO79" i="1"/>
  <c r="GV79" i="1"/>
  <c r="GX79" i="1"/>
  <c r="HC79" i="1"/>
  <c r="I80" i="1"/>
  <c r="P80" i="1"/>
  <c r="CP80" i="1" s="1"/>
  <c r="O80" i="1" s="1"/>
  <c r="V80" i="1"/>
  <c r="AC80" i="1"/>
  <c r="AD80" i="1"/>
  <c r="AB80" i="1" s="1"/>
  <c r="AE80" i="1"/>
  <c r="AF80" i="1"/>
  <c r="CT80" i="1" s="1"/>
  <c r="S80" i="1" s="1"/>
  <c r="AG80" i="1"/>
  <c r="AH80" i="1"/>
  <c r="CV80" i="1" s="1"/>
  <c r="U80" i="1" s="1"/>
  <c r="AI80" i="1"/>
  <c r="AJ80" i="1"/>
  <c r="CX80" i="1" s="1"/>
  <c r="W80" i="1" s="1"/>
  <c r="CQ80" i="1"/>
  <c r="CR80" i="1"/>
  <c r="Q80" i="1" s="1"/>
  <c r="CS80" i="1"/>
  <c r="R80" i="1" s="1"/>
  <c r="GK80" i="1" s="1"/>
  <c r="CU80" i="1"/>
  <c r="T80" i="1" s="1"/>
  <c r="CW80" i="1"/>
  <c r="FR80" i="1"/>
  <c r="GL80" i="1"/>
  <c r="GN80" i="1"/>
  <c r="GO80" i="1"/>
  <c r="GV80" i="1"/>
  <c r="HC80" i="1" s="1"/>
  <c r="GX80" i="1" s="1"/>
  <c r="C81" i="1"/>
  <c r="D81" i="1"/>
  <c r="I81" i="1"/>
  <c r="I82" i="1" s="1"/>
  <c r="K81" i="1"/>
  <c r="Q81" i="1"/>
  <c r="S81" i="1"/>
  <c r="CY81" i="1" s="1"/>
  <c r="X81" i="1" s="1"/>
  <c r="AC81" i="1"/>
  <c r="CQ81" i="1" s="1"/>
  <c r="P81" i="1" s="1"/>
  <c r="CP81" i="1" s="1"/>
  <c r="O81" i="1" s="1"/>
  <c r="AE81" i="1"/>
  <c r="AD81" i="1" s="1"/>
  <c r="AF81" i="1"/>
  <c r="AG81" i="1"/>
  <c r="CU81" i="1" s="1"/>
  <c r="T81" i="1" s="1"/>
  <c r="AH81" i="1"/>
  <c r="AI81" i="1"/>
  <c r="CW81" i="1" s="1"/>
  <c r="V81" i="1" s="1"/>
  <c r="AJ81" i="1"/>
  <c r="CR81" i="1"/>
  <c r="CT81" i="1"/>
  <c r="CV81" i="1"/>
  <c r="U81" i="1" s="1"/>
  <c r="CX81" i="1"/>
  <c r="W81" i="1" s="1"/>
  <c r="FR81" i="1"/>
  <c r="GL81" i="1"/>
  <c r="GN81" i="1"/>
  <c r="GO81" i="1"/>
  <c r="GV81" i="1"/>
  <c r="HC81" i="1" s="1"/>
  <c r="GX81" i="1" s="1"/>
  <c r="AC82" i="1"/>
  <c r="AE82" i="1"/>
  <c r="AD82" i="1" s="1"/>
  <c r="AF82" i="1"/>
  <c r="AG82" i="1"/>
  <c r="CU82" i="1" s="1"/>
  <c r="AH82" i="1"/>
  <c r="AI82" i="1"/>
  <c r="CW82" i="1" s="1"/>
  <c r="AJ82" i="1"/>
  <c r="CR82" i="1"/>
  <c r="CT82" i="1"/>
  <c r="CV82" i="1"/>
  <c r="CX82" i="1"/>
  <c r="FR82" i="1"/>
  <c r="GL82" i="1"/>
  <c r="GN82" i="1"/>
  <c r="GO82" i="1"/>
  <c r="GV82" i="1"/>
  <c r="HC82" i="1"/>
  <c r="C83" i="1"/>
  <c r="D83" i="1"/>
  <c r="I83" i="1"/>
  <c r="K83" i="1"/>
  <c r="R83" i="1"/>
  <c r="GK83" i="1" s="1"/>
  <c r="T83" i="1"/>
  <c r="AC83" i="1"/>
  <c r="AD83" i="1"/>
  <c r="AB83" i="1" s="1"/>
  <c r="AE83" i="1"/>
  <c r="AF83" i="1"/>
  <c r="CT83" i="1" s="1"/>
  <c r="S83" i="1" s="1"/>
  <c r="AG83" i="1"/>
  <c r="AH83" i="1"/>
  <c r="CV83" i="1" s="1"/>
  <c r="U83" i="1" s="1"/>
  <c r="AI83" i="1"/>
  <c r="AJ83" i="1"/>
  <c r="CX83" i="1" s="1"/>
  <c r="W83" i="1" s="1"/>
  <c r="CQ83" i="1"/>
  <c r="P83" i="1" s="1"/>
  <c r="CR83" i="1"/>
  <c r="Q83" i="1" s="1"/>
  <c r="CS83" i="1"/>
  <c r="CU83" i="1"/>
  <c r="CW83" i="1"/>
  <c r="V83" i="1" s="1"/>
  <c r="FR83" i="1"/>
  <c r="GL83" i="1"/>
  <c r="GN83" i="1"/>
  <c r="CB88" i="1" s="1"/>
  <c r="GO83" i="1"/>
  <c r="GV83" i="1"/>
  <c r="HC83" i="1" s="1"/>
  <c r="GX83" i="1" s="1"/>
  <c r="I84" i="1"/>
  <c r="P84" i="1"/>
  <c r="R84" i="1"/>
  <c r="GK84" i="1" s="1"/>
  <c r="AB84" i="1"/>
  <c r="AC84" i="1"/>
  <c r="AD84" i="1"/>
  <c r="AE84" i="1"/>
  <c r="AF84" i="1"/>
  <c r="CT84" i="1" s="1"/>
  <c r="S84" i="1" s="1"/>
  <c r="AG84" i="1"/>
  <c r="AH84" i="1"/>
  <c r="CV84" i="1" s="1"/>
  <c r="U84" i="1" s="1"/>
  <c r="AI84" i="1"/>
  <c r="AJ84" i="1"/>
  <c r="CX84" i="1" s="1"/>
  <c r="W84" i="1" s="1"/>
  <c r="CQ84" i="1"/>
  <c r="CR84" i="1"/>
  <c r="Q84" i="1" s="1"/>
  <c r="CS84" i="1"/>
  <c r="CU84" i="1"/>
  <c r="T84" i="1" s="1"/>
  <c r="CW84" i="1"/>
  <c r="V84" i="1" s="1"/>
  <c r="FR84" i="1"/>
  <c r="GL84" i="1"/>
  <c r="GN84" i="1"/>
  <c r="GO84" i="1"/>
  <c r="GV84" i="1"/>
  <c r="GX84" i="1"/>
  <c r="HC84" i="1"/>
  <c r="C85" i="1"/>
  <c r="D85" i="1"/>
  <c r="I85" i="1"/>
  <c r="K85" i="1"/>
  <c r="U85" i="1"/>
  <c r="AC85" i="1"/>
  <c r="AE85" i="1"/>
  <c r="CS85" i="1" s="1"/>
  <c r="R85" i="1" s="1"/>
  <c r="GK85" i="1" s="1"/>
  <c r="AF85" i="1"/>
  <c r="AG85" i="1"/>
  <c r="CU85" i="1" s="1"/>
  <c r="T85" i="1" s="1"/>
  <c r="AH85" i="1"/>
  <c r="AI85" i="1"/>
  <c r="CW85" i="1" s="1"/>
  <c r="V85" i="1" s="1"/>
  <c r="AJ85" i="1"/>
  <c r="CR85" i="1"/>
  <c r="Q85" i="1" s="1"/>
  <c r="CT85" i="1"/>
  <c r="CV85" i="1"/>
  <c r="CX85" i="1"/>
  <c r="W85" i="1" s="1"/>
  <c r="FR85" i="1"/>
  <c r="GL85" i="1"/>
  <c r="GN85" i="1"/>
  <c r="GO85" i="1"/>
  <c r="GV85" i="1"/>
  <c r="HC85" i="1" s="1"/>
  <c r="GX85" i="1" s="1"/>
  <c r="C86" i="1"/>
  <c r="D86" i="1"/>
  <c r="I86" i="1"/>
  <c r="K86" i="1"/>
  <c r="P86" i="1"/>
  <c r="V86" i="1"/>
  <c r="AC86" i="1"/>
  <c r="AD86" i="1"/>
  <c r="AE86" i="1"/>
  <c r="AF86" i="1"/>
  <c r="AB86" i="1" s="1"/>
  <c r="AG86" i="1"/>
  <c r="AH86" i="1"/>
  <c r="CV86" i="1" s="1"/>
  <c r="U86" i="1" s="1"/>
  <c r="AI86" i="1"/>
  <c r="AJ86" i="1"/>
  <c r="CX86" i="1" s="1"/>
  <c r="W86" i="1" s="1"/>
  <c r="CQ86" i="1"/>
  <c r="CR86" i="1"/>
  <c r="Q86" i="1" s="1"/>
  <c r="CS86" i="1"/>
  <c r="R86" i="1" s="1"/>
  <c r="GK86" i="1" s="1"/>
  <c r="CU86" i="1"/>
  <c r="T86" i="1" s="1"/>
  <c r="CW86" i="1"/>
  <c r="FR86" i="1"/>
  <c r="GL86" i="1"/>
  <c r="BZ88" i="1" s="1"/>
  <c r="GN86" i="1"/>
  <c r="GO86" i="1"/>
  <c r="GV86" i="1"/>
  <c r="HC86" i="1" s="1"/>
  <c r="GX86" i="1" s="1"/>
  <c r="B88" i="1"/>
  <c r="B67" i="1" s="1"/>
  <c r="C88" i="1"/>
  <c r="C67" i="1" s="1"/>
  <c r="D88" i="1"/>
  <c r="D67" i="1" s="1"/>
  <c r="F88" i="1"/>
  <c r="F67" i="1" s="1"/>
  <c r="G88" i="1"/>
  <c r="G67" i="1" s="1"/>
  <c r="AT88" i="1"/>
  <c r="BX88" i="1"/>
  <c r="BX67" i="1" s="1"/>
  <c r="BY88" i="1"/>
  <c r="BY67" i="1" s="1"/>
  <c r="CC88" i="1"/>
  <c r="CC67" i="1" s="1"/>
  <c r="CK88" i="1"/>
  <c r="CK67" i="1" s="1"/>
  <c r="CL88" i="1"/>
  <c r="CL67" i="1" s="1"/>
  <c r="CM88" i="1"/>
  <c r="CM67" i="1" s="1"/>
  <c r="D118" i="1"/>
  <c r="E120" i="1"/>
  <c r="Z120" i="1"/>
  <c r="AA120" i="1"/>
  <c r="AM120" i="1"/>
  <c r="AN120" i="1"/>
  <c r="BE120" i="1"/>
  <c r="BF120" i="1"/>
  <c r="BG120" i="1"/>
  <c r="BH120" i="1"/>
  <c r="BI120" i="1"/>
  <c r="BJ120" i="1"/>
  <c r="BK120" i="1"/>
  <c r="BL120" i="1"/>
  <c r="BM120" i="1"/>
  <c r="BN120" i="1"/>
  <c r="BO120" i="1"/>
  <c r="BP120" i="1"/>
  <c r="BQ120" i="1"/>
  <c r="BR120" i="1"/>
  <c r="BS120" i="1"/>
  <c r="BT120" i="1"/>
  <c r="BU120" i="1"/>
  <c r="BV120" i="1"/>
  <c r="BW120" i="1"/>
  <c r="CN120" i="1"/>
  <c r="CO120" i="1"/>
  <c r="CP120" i="1"/>
  <c r="CQ120" i="1"/>
  <c r="CR120" i="1"/>
  <c r="CS120" i="1"/>
  <c r="CT120" i="1"/>
  <c r="CU120" i="1"/>
  <c r="CV120" i="1"/>
  <c r="CW120" i="1"/>
  <c r="CX120" i="1"/>
  <c r="CY120" i="1"/>
  <c r="CZ120" i="1"/>
  <c r="DA120" i="1"/>
  <c r="DB120" i="1"/>
  <c r="DC120" i="1"/>
  <c r="DD120" i="1"/>
  <c r="DE120" i="1"/>
  <c r="DF120" i="1"/>
  <c r="DG120" i="1"/>
  <c r="DH120" i="1"/>
  <c r="DI120" i="1"/>
  <c r="DJ120" i="1"/>
  <c r="DK120" i="1"/>
  <c r="DL120" i="1"/>
  <c r="DM120" i="1"/>
  <c r="DN120" i="1"/>
  <c r="DO120" i="1"/>
  <c r="DP120" i="1"/>
  <c r="DQ120" i="1"/>
  <c r="DR120" i="1"/>
  <c r="DS120" i="1"/>
  <c r="DT120" i="1"/>
  <c r="DU120" i="1"/>
  <c r="DV120" i="1"/>
  <c r="DW120" i="1"/>
  <c r="DX120" i="1"/>
  <c r="DY120" i="1"/>
  <c r="DZ120" i="1"/>
  <c r="EA120" i="1"/>
  <c r="EB120" i="1"/>
  <c r="EC120" i="1"/>
  <c r="ED120" i="1"/>
  <c r="EE120" i="1"/>
  <c r="EF120" i="1"/>
  <c r="EG120" i="1"/>
  <c r="EH120" i="1"/>
  <c r="EI120" i="1"/>
  <c r="EJ120" i="1"/>
  <c r="EK120" i="1"/>
  <c r="EL120" i="1"/>
  <c r="EM120" i="1"/>
  <c r="EN120" i="1"/>
  <c r="EO120" i="1"/>
  <c r="EP120" i="1"/>
  <c r="EQ120" i="1"/>
  <c r="ER120" i="1"/>
  <c r="ES120" i="1"/>
  <c r="ET120" i="1"/>
  <c r="EU120" i="1"/>
  <c r="EV120" i="1"/>
  <c r="EW120" i="1"/>
  <c r="EX120" i="1"/>
  <c r="EY120" i="1"/>
  <c r="EZ120" i="1"/>
  <c r="FA120" i="1"/>
  <c r="FB120" i="1"/>
  <c r="FC120" i="1"/>
  <c r="FD120" i="1"/>
  <c r="FE120" i="1"/>
  <c r="FF120" i="1"/>
  <c r="FG120" i="1"/>
  <c r="FH120" i="1"/>
  <c r="FI120" i="1"/>
  <c r="FJ120" i="1"/>
  <c r="FK120" i="1"/>
  <c r="FL120" i="1"/>
  <c r="FM120" i="1"/>
  <c r="FN120" i="1"/>
  <c r="FO120" i="1"/>
  <c r="FP120" i="1"/>
  <c r="FQ120" i="1"/>
  <c r="FR120" i="1"/>
  <c r="FS120" i="1"/>
  <c r="FT120" i="1"/>
  <c r="FU120" i="1"/>
  <c r="FV120" i="1"/>
  <c r="FW120" i="1"/>
  <c r="FX120" i="1"/>
  <c r="FY120" i="1"/>
  <c r="FZ120" i="1"/>
  <c r="GA120" i="1"/>
  <c r="GB120" i="1"/>
  <c r="GC120" i="1"/>
  <c r="GD120" i="1"/>
  <c r="GE120" i="1"/>
  <c r="GF120" i="1"/>
  <c r="GG120" i="1"/>
  <c r="GH120" i="1"/>
  <c r="GI120" i="1"/>
  <c r="GJ120" i="1"/>
  <c r="GK120" i="1"/>
  <c r="GL120" i="1"/>
  <c r="GM120" i="1"/>
  <c r="GN120" i="1"/>
  <c r="GO120" i="1"/>
  <c r="GP120" i="1"/>
  <c r="GQ120" i="1"/>
  <c r="GR120" i="1"/>
  <c r="GS120" i="1"/>
  <c r="GT120" i="1"/>
  <c r="GU120" i="1"/>
  <c r="GV120" i="1"/>
  <c r="GW120" i="1"/>
  <c r="GX120" i="1"/>
  <c r="C122" i="1"/>
  <c r="D122" i="1"/>
  <c r="AC122" i="1"/>
  <c r="AD122" i="1"/>
  <c r="AE122" i="1"/>
  <c r="AF122" i="1"/>
  <c r="CT122" i="1" s="1"/>
  <c r="S122" i="1" s="1"/>
  <c r="CY122" i="1" s="1"/>
  <c r="X122" i="1" s="1"/>
  <c r="AG122" i="1"/>
  <c r="AH122" i="1"/>
  <c r="AI122" i="1"/>
  <c r="CW122" i="1" s="1"/>
  <c r="V122" i="1" s="1"/>
  <c r="AJ122" i="1"/>
  <c r="CX122" i="1" s="1"/>
  <c r="W122" i="1" s="1"/>
  <c r="CQ122" i="1"/>
  <c r="P122" i="1" s="1"/>
  <c r="CR122" i="1"/>
  <c r="Q122" i="1" s="1"/>
  <c r="AD126" i="1" s="1"/>
  <c r="CS122" i="1"/>
  <c r="R122" i="1" s="1"/>
  <c r="CU122" i="1"/>
  <c r="T122" i="1" s="1"/>
  <c r="AG126" i="1" s="1"/>
  <c r="CV122" i="1"/>
  <c r="U122" i="1" s="1"/>
  <c r="FR122" i="1"/>
  <c r="GL122" i="1"/>
  <c r="GN122" i="1"/>
  <c r="GO122" i="1"/>
  <c r="GV122" i="1"/>
  <c r="HC122" i="1" s="1"/>
  <c r="GX122" i="1" s="1"/>
  <c r="CJ126" i="1" s="1"/>
  <c r="C123" i="1"/>
  <c r="D123" i="1"/>
  <c r="I123" i="1"/>
  <c r="K123" i="1"/>
  <c r="W123" i="1"/>
  <c r="AC123" i="1"/>
  <c r="AD123" i="1"/>
  <c r="AE123" i="1"/>
  <c r="CS123" i="1" s="1"/>
  <c r="AF123" i="1"/>
  <c r="AG123" i="1"/>
  <c r="AH123" i="1"/>
  <c r="AI123" i="1"/>
  <c r="CW123" i="1" s="1"/>
  <c r="AJ123" i="1"/>
  <c r="CQ123" i="1"/>
  <c r="P123" i="1" s="1"/>
  <c r="CR123" i="1"/>
  <c r="Q123" i="1" s="1"/>
  <c r="CT123" i="1"/>
  <c r="S123" i="1" s="1"/>
  <c r="CU123" i="1"/>
  <c r="T123" i="1" s="1"/>
  <c r="CV123" i="1"/>
  <c r="U123" i="1" s="1"/>
  <c r="AH126" i="1" s="1"/>
  <c r="CX123" i="1"/>
  <c r="FR123" i="1"/>
  <c r="GL123" i="1"/>
  <c r="GN123" i="1"/>
  <c r="GO123" i="1"/>
  <c r="GV123" i="1"/>
  <c r="HC123" i="1" s="1"/>
  <c r="GX123" i="1" s="1"/>
  <c r="C124" i="1"/>
  <c r="D124" i="1"/>
  <c r="I124" i="1"/>
  <c r="K124" i="1"/>
  <c r="U124" i="1"/>
  <c r="AC124" i="1"/>
  <c r="AB124" i="1" s="1"/>
  <c r="AD124" i="1"/>
  <c r="AE124" i="1"/>
  <c r="CS124" i="1" s="1"/>
  <c r="R124" i="1" s="1"/>
  <c r="AF124" i="1"/>
  <c r="AG124" i="1"/>
  <c r="AH124" i="1"/>
  <c r="AI124" i="1"/>
  <c r="CW124" i="1" s="1"/>
  <c r="V124" i="1" s="1"/>
  <c r="AJ124" i="1"/>
  <c r="CR124" i="1"/>
  <c r="Q124" i="1" s="1"/>
  <c r="CT124" i="1"/>
  <c r="S124" i="1" s="1"/>
  <c r="CU124" i="1"/>
  <c r="T124" i="1" s="1"/>
  <c r="CV124" i="1"/>
  <c r="CX124" i="1"/>
  <c r="W124" i="1" s="1"/>
  <c r="AJ126" i="1" s="1"/>
  <c r="FR124" i="1"/>
  <c r="GL124" i="1"/>
  <c r="GN124" i="1"/>
  <c r="GO124" i="1"/>
  <c r="GV124" i="1"/>
  <c r="HC124" i="1" s="1"/>
  <c r="GX124" i="1" s="1"/>
  <c r="B126" i="1"/>
  <c r="B120" i="1" s="1"/>
  <c r="C126" i="1"/>
  <c r="C120" i="1" s="1"/>
  <c r="D126" i="1"/>
  <c r="D120" i="1" s="1"/>
  <c r="F126" i="1"/>
  <c r="F120" i="1" s="1"/>
  <c r="G126" i="1"/>
  <c r="G120" i="1" s="1"/>
  <c r="BX126" i="1"/>
  <c r="AO126" i="1" s="1"/>
  <c r="BY126" i="1"/>
  <c r="BY120" i="1" s="1"/>
  <c r="BZ126" i="1"/>
  <c r="AQ126" i="1" s="1"/>
  <c r="CB126" i="1"/>
  <c r="CB120" i="1" s="1"/>
  <c r="CC126" i="1"/>
  <c r="CC120" i="1" s="1"/>
  <c r="CI126" i="1"/>
  <c r="CI120" i="1" s="1"/>
  <c r="CK126" i="1"/>
  <c r="CK120" i="1" s="1"/>
  <c r="CL126" i="1"/>
  <c r="BC126" i="1" s="1"/>
  <c r="CM126" i="1"/>
  <c r="CM120" i="1" s="1"/>
  <c r="B156" i="1"/>
  <c r="B22" i="1" s="1"/>
  <c r="C156" i="1"/>
  <c r="C22" i="1" s="1"/>
  <c r="D156" i="1"/>
  <c r="D22" i="1" s="1"/>
  <c r="F156" i="1"/>
  <c r="F22" i="1" s="1"/>
  <c r="G156" i="1"/>
  <c r="G22" i="1" s="1"/>
  <c r="B186" i="1"/>
  <c r="B18" i="1" s="1"/>
  <c r="C186" i="1"/>
  <c r="C18" i="1" s="1"/>
  <c r="D186" i="1"/>
  <c r="D18" i="1" s="1"/>
  <c r="F186" i="1"/>
  <c r="F18" i="1" s="1"/>
  <c r="G186" i="1"/>
  <c r="G18" i="1" s="1"/>
  <c r="F217" i="1"/>
  <c r="F12" i="6"/>
  <c r="G12" i="6"/>
  <c r="CY12" i="6"/>
  <c r="F55" i="9" l="1"/>
  <c r="E30" i="9"/>
  <c r="O8" i="10"/>
  <c r="T30" i="10"/>
  <c r="T9" i="10"/>
  <c r="D41" i="9"/>
  <c r="T28" i="10"/>
  <c r="D29" i="9"/>
  <c r="M9" i="10"/>
  <c r="F11" i="9" s="1"/>
  <c r="E12" i="9" s="1"/>
  <c r="R12" i="10"/>
  <c r="M18" i="10"/>
  <c r="F16" i="9" s="1"/>
  <c r="E24" i="9" s="1"/>
  <c r="R20" i="10"/>
  <c r="M26" i="10"/>
  <c r="F35" i="9" s="1"/>
  <c r="M36" i="10"/>
  <c r="F28" i="9" s="1"/>
  <c r="R39" i="10"/>
  <c r="M47" i="10"/>
  <c r="F38" i="9" s="1"/>
  <c r="M54" i="10"/>
  <c r="E29" i="9"/>
  <c r="M11" i="10"/>
  <c r="F21" i="9" s="1"/>
  <c r="R32" i="10"/>
  <c r="R41" i="10"/>
  <c r="R51" i="10"/>
  <c r="M29" i="10"/>
  <c r="F44" i="9" s="1"/>
  <c r="M12" i="10"/>
  <c r="F19" i="9" s="1"/>
  <c r="T14" i="10"/>
  <c r="R15" i="10"/>
  <c r="M20" i="10"/>
  <c r="F45" i="9" s="1"/>
  <c r="T23" i="10"/>
  <c r="R24" i="10"/>
  <c r="M30" i="10"/>
  <c r="F42" i="9" s="1"/>
  <c r="R33" i="10"/>
  <c r="O38" i="10"/>
  <c r="M39" i="10"/>
  <c r="F36" i="9" s="1"/>
  <c r="R42" i="10"/>
  <c r="R52" i="10"/>
  <c r="D11" i="9"/>
  <c r="T16" i="10"/>
  <c r="R34" i="10"/>
  <c r="M40" i="10"/>
  <c r="F33" i="9" s="1"/>
  <c r="R43" i="10"/>
  <c r="M50" i="10"/>
  <c r="F54" i="9" s="1"/>
  <c r="R53" i="10"/>
  <c r="I42" i="7"/>
  <c r="I56" i="7"/>
  <c r="P89" i="7"/>
  <c r="K89" i="7"/>
  <c r="I158" i="7"/>
  <c r="K114" i="7"/>
  <c r="P114" i="7"/>
  <c r="I173" i="7"/>
  <c r="P191" i="7"/>
  <c r="K191" i="7"/>
  <c r="K47" i="7"/>
  <c r="P47" i="7"/>
  <c r="I64" i="7"/>
  <c r="K129" i="7"/>
  <c r="P129" i="7"/>
  <c r="I142" i="7"/>
  <c r="I106" i="7"/>
  <c r="I150" i="7"/>
  <c r="I166" i="7"/>
  <c r="K187" i="7"/>
  <c r="P187" i="7"/>
  <c r="K122" i="7"/>
  <c r="P122" i="7"/>
  <c r="K183" i="7"/>
  <c r="P183" i="7"/>
  <c r="K71" i="7"/>
  <c r="P71" i="7"/>
  <c r="I84" i="7"/>
  <c r="I98" i="7"/>
  <c r="U126" i="1"/>
  <c r="AH120" i="1"/>
  <c r="CZ123" i="1"/>
  <c r="Y123" i="1" s="1"/>
  <c r="AF126" i="1"/>
  <c r="CY123" i="1"/>
  <c r="X123" i="1" s="1"/>
  <c r="AK126" i="1" s="1"/>
  <c r="AO120" i="1"/>
  <c r="F130" i="1"/>
  <c r="AG120" i="1"/>
  <c r="T126" i="1"/>
  <c r="W126" i="1"/>
  <c r="AJ120" i="1"/>
  <c r="GK122" i="1"/>
  <c r="CJ120" i="1"/>
  <c r="BA126" i="1"/>
  <c r="AD120" i="1"/>
  <c r="Q126" i="1"/>
  <c r="AQ120" i="1"/>
  <c r="F136" i="1"/>
  <c r="CY124" i="1"/>
  <c r="X124" i="1" s="1"/>
  <c r="CZ124" i="1"/>
  <c r="Y124" i="1" s="1"/>
  <c r="CP122" i="1"/>
  <c r="O122" i="1" s="1"/>
  <c r="CP123" i="1"/>
  <c r="O123" i="1" s="1"/>
  <c r="BC120" i="1"/>
  <c r="F142" i="1"/>
  <c r="BB126" i="1"/>
  <c r="AT126" i="1"/>
  <c r="CQ124" i="1"/>
  <c r="P124" i="1" s="1"/>
  <c r="CP124" i="1" s="1"/>
  <c r="O124" i="1" s="1"/>
  <c r="GM124" i="1" s="1"/>
  <c r="GP124" i="1" s="1"/>
  <c r="BZ120" i="1"/>
  <c r="F106" i="1"/>
  <c r="AT67" i="1"/>
  <c r="W82" i="1"/>
  <c r="Q82" i="1"/>
  <c r="CY79" i="1"/>
  <c r="X79" i="1" s="1"/>
  <c r="CZ79" i="1"/>
  <c r="Y79" i="1" s="1"/>
  <c r="CY77" i="1"/>
  <c r="X77" i="1" s="1"/>
  <c r="CZ77" i="1"/>
  <c r="Y77" i="1" s="1"/>
  <c r="CY74" i="1"/>
  <c r="X74" i="1" s="1"/>
  <c r="CZ74" i="1"/>
  <c r="Y74" i="1" s="1"/>
  <c r="CY73" i="1"/>
  <c r="X73" i="1" s="1"/>
  <c r="CZ73" i="1"/>
  <c r="Y73" i="1" s="1"/>
  <c r="CP73" i="1"/>
  <c r="O73" i="1" s="1"/>
  <c r="GM73" i="1" s="1"/>
  <c r="GP73" i="1" s="1"/>
  <c r="GK69" i="1"/>
  <c r="AS126" i="1"/>
  <c r="V123" i="1"/>
  <c r="AI126" i="1" s="1"/>
  <c r="BX120" i="1"/>
  <c r="T82" i="1"/>
  <c r="CY80" i="1"/>
  <c r="X80" i="1" s="1"/>
  <c r="CZ80" i="1"/>
  <c r="Y80" i="1" s="1"/>
  <c r="CP78" i="1"/>
  <c r="O78" i="1" s="1"/>
  <c r="AZ126" i="1"/>
  <c r="CX60" i="3"/>
  <c r="CW59" i="3"/>
  <c r="CW60" i="3"/>
  <c r="CL120" i="1"/>
  <c r="CG88" i="1"/>
  <c r="AQ88" i="1"/>
  <c r="BZ67" i="1"/>
  <c r="CP84" i="1"/>
  <c r="O84" i="1" s="1"/>
  <c r="CZ83" i="1"/>
  <c r="Y83" i="1" s="1"/>
  <c r="CY83" i="1"/>
  <c r="X83" i="1" s="1"/>
  <c r="CP74" i="1"/>
  <c r="O74" i="1" s="1"/>
  <c r="GM74" i="1" s="1"/>
  <c r="GP74" i="1" s="1"/>
  <c r="CP69" i="1"/>
  <c r="O69" i="1" s="1"/>
  <c r="CI88" i="1"/>
  <c r="U82" i="1"/>
  <c r="CG126" i="1"/>
  <c r="AP126" i="1"/>
  <c r="CW62" i="3"/>
  <c r="CX62" i="3"/>
  <c r="CY84" i="1"/>
  <c r="X84" i="1" s="1"/>
  <c r="CZ84" i="1"/>
  <c r="Y84" i="1" s="1"/>
  <c r="GX82" i="1"/>
  <c r="S82" i="1"/>
  <c r="AB82" i="1"/>
  <c r="R123" i="1"/>
  <c r="AE126" i="1" s="1"/>
  <c r="CZ122" i="1"/>
  <c r="Y122" i="1" s="1"/>
  <c r="AL126" i="1" s="1"/>
  <c r="AB122" i="1"/>
  <c r="CP83" i="1"/>
  <c r="O83" i="1" s="1"/>
  <c r="GM83" i="1" s="1"/>
  <c r="GP83" i="1" s="1"/>
  <c r="BD126" i="1"/>
  <c r="CB67" i="1"/>
  <c r="AS88" i="1"/>
  <c r="GM80" i="1"/>
  <c r="GP80" i="1" s="1"/>
  <c r="CP79" i="1"/>
  <c r="O79" i="1" s="1"/>
  <c r="GM79" i="1" s="1"/>
  <c r="GP79" i="1" s="1"/>
  <c r="CZ78" i="1"/>
  <c r="Y78" i="1" s="1"/>
  <c r="CY78" i="1"/>
  <c r="X78" i="1" s="1"/>
  <c r="AB123" i="1"/>
  <c r="BB88" i="1"/>
  <c r="V82" i="1"/>
  <c r="CY76" i="1"/>
  <c r="X76" i="1" s="1"/>
  <c r="GM76" i="1" s="1"/>
  <c r="GP76" i="1" s="1"/>
  <c r="CZ76" i="1"/>
  <c r="Y76" i="1" s="1"/>
  <c r="CY70" i="1"/>
  <c r="X70" i="1" s="1"/>
  <c r="CZ70" i="1"/>
  <c r="Y70" i="1" s="1"/>
  <c r="CU53" i="3"/>
  <c r="CX53" i="3"/>
  <c r="CV53" i="3"/>
  <c r="CJ26" i="1"/>
  <c r="BA35" i="1"/>
  <c r="CZ28" i="1"/>
  <c r="Y28" i="1" s="1"/>
  <c r="AF35" i="1"/>
  <c r="CY28" i="1"/>
  <c r="X28" i="1" s="1"/>
  <c r="CT86" i="1"/>
  <c r="S86" i="1" s="1"/>
  <c r="CP86" i="1" s="1"/>
  <c r="O86" i="1" s="1"/>
  <c r="CQ85" i="1"/>
  <c r="P85" i="1" s="1"/>
  <c r="AD85" i="1"/>
  <c r="AB85" i="1" s="1"/>
  <c r="AB81" i="1"/>
  <c r="CY71" i="1"/>
  <c r="X71" i="1" s="1"/>
  <c r="CI35" i="1"/>
  <c r="AJ35" i="1"/>
  <c r="GK28" i="1"/>
  <c r="AE35" i="1"/>
  <c r="S85" i="1"/>
  <c r="CX38" i="3"/>
  <c r="CU37" i="3"/>
  <c r="AB70" i="1"/>
  <c r="CQ70" i="1"/>
  <c r="P70" i="1" s="1"/>
  <c r="CP70" i="1" s="1"/>
  <c r="O70" i="1" s="1"/>
  <c r="GM70" i="1" s="1"/>
  <c r="GP70" i="1" s="1"/>
  <c r="AX35" i="1"/>
  <c r="CY33" i="1"/>
  <c r="X33" i="1" s="1"/>
  <c r="CZ33" i="1"/>
  <c r="Y33" i="1" s="1"/>
  <c r="AH35" i="1"/>
  <c r="CY30" i="1"/>
  <c r="X30" i="1" s="1"/>
  <c r="CZ30" i="1"/>
  <c r="Y30" i="1" s="1"/>
  <c r="CV56" i="3"/>
  <c r="CX56" i="3"/>
  <c r="CU56" i="3"/>
  <c r="CS82" i="1"/>
  <c r="R82" i="1" s="1"/>
  <c r="GK82" i="1" s="1"/>
  <c r="CS77" i="1"/>
  <c r="R77" i="1" s="1"/>
  <c r="GK77" i="1" s="1"/>
  <c r="AD73" i="1"/>
  <c r="DF23" i="3"/>
  <c r="DJ23" i="3" s="1"/>
  <c r="DG23" i="3"/>
  <c r="DI23" i="3"/>
  <c r="DH23" i="3"/>
  <c r="CP33" i="1"/>
  <c r="O33" i="1" s="1"/>
  <c r="GM33" i="1" s="1"/>
  <c r="GP33" i="1" s="1"/>
  <c r="AG35" i="1"/>
  <c r="CP28" i="1"/>
  <c r="O28" i="1" s="1"/>
  <c r="AP88" i="1"/>
  <c r="Q77" i="1"/>
  <c r="S75" i="1"/>
  <c r="CP75" i="1" s="1"/>
  <c r="O75" i="1" s="1"/>
  <c r="AB73" i="1"/>
  <c r="AP35" i="1"/>
  <c r="CY32" i="1"/>
  <c r="X32" i="1" s="1"/>
  <c r="CZ32" i="1"/>
  <c r="Y32" i="1" s="1"/>
  <c r="AB30" i="1"/>
  <c r="AO88" i="1"/>
  <c r="CQ82" i="1"/>
  <c r="P82" i="1" s="1"/>
  <c r="CP82" i="1" s="1"/>
  <c r="O82" i="1" s="1"/>
  <c r="CS81" i="1"/>
  <c r="R81" i="1" s="1"/>
  <c r="GK81" i="1" s="1"/>
  <c r="CQ77" i="1"/>
  <c r="P77" i="1" s="1"/>
  <c r="CP77" i="1" s="1"/>
  <c r="O77" i="1" s="1"/>
  <c r="GM77" i="1" s="1"/>
  <c r="GP77" i="1" s="1"/>
  <c r="R75" i="1"/>
  <c r="GK75" i="1" s="1"/>
  <c r="CU26" i="3"/>
  <c r="CX26" i="3"/>
  <c r="CX31" i="3"/>
  <c r="CV26" i="3"/>
  <c r="CX29" i="3"/>
  <c r="CX30" i="3"/>
  <c r="CP71" i="1"/>
  <c r="O71" i="1" s="1"/>
  <c r="GM71" i="1" s="1"/>
  <c r="GP71" i="1" s="1"/>
  <c r="CY31" i="1"/>
  <c r="X31" i="1" s="1"/>
  <c r="GM31" i="1" s="1"/>
  <c r="GP31" i="1" s="1"/>
  <c r="CZ31" i="1"/>
  <c r="Y31" i="1" s="1"/>
  <c r="CY29" i="1"/>
  <c r="X29" i="1" s="1"/>
  <c r="CZ29" i="1"/>
  <c r="Y29" i="1" s="1"/>
  <c r="BD88" i="1"/>
  <c r="CZ81" i="1"/>
  <c r="Y81" i="1" s="1"/>
  <c r="GM81" i="1" s="1"/>
  <c r="GP81" i="1" s="1"/>
  <c r="CU49" i="3"/>
  <c r="CX49" i="3"/>
  <c r="CV49" i="3"/>
  <c r="AB75" i="1"/>
  <c r="CY69" i="1"/>
  <c r="X69" i="1" s="1"/>
  <c r="AQ26" i="1"/>
  <c r="F45" i="1"/>
  <c r="CP29" i="1"/>
  <c r="O29" i="1" s="1"/>
  <c r="GM29" i="1" s="1"/>
  <c r="GP29" i="1" s="1"/>
  <c r="BC88" i="1"/>
  <c r="CX52" i="3"/>
  <c r="CU51" i="3"/>
  <c r="CV51" i="3"/>
  <c r="CX51" i="3"/>
  <c r="CX42" i="3"/>
  <c r="CU39" i="3"/>
  <c r="CX40" i="3"/>
  <c r="CX48" i="3"/>
  <c r="CW40" i="3"/>
  <c r="CX46" i="3"/>
  <c r="CX47" i="3"/>
  <c r="CP32" i="1"/>
  <c r="O32" i="1" s="1"/>
  <c r="GM32" i="1" s="1"/>
  <c r="GP32" i="1" s="1"/>
  <c r="AD35" i="1"/>
  <c r="AI35" i="1"/>
  <c r="AO35" i="1"/>
  <c r="BZ26" i="1"/>
  <c r="DI58" i="3"/>
  <c r="DF58" i="3"/>
  <c r="CX50" i="3"/>
  <c r="CX5" i="3"/>
  <c r="CX4" i="3"/>
  <c r="BD35" i="1"/>
  <c r="AB33" i="1"/>
  <c r="DH58" i="3"/>
  <c r="CX45" i="3"/>
  <c r="CX44" i="3"/>
  <c r="CX43" i="3"/>
  <c r="CW41" i="3"/>
  <c r="CX41" i="3"/>
  <c r="CV39" i="3"/>
  <c r="CX39" i="3"/>
  <c r="CV16" i="3"/>
  <c r="CX16" i="3"/>
  <c r="CX6" i="3"/>
  <c r="BC35" i="1"/>
  <c r="CX3" i="3"/>
  <c r="CX8" i="3"/>
  <c r="CU3" i="3"/>
  <c r="CX9" i="3"/>
  <c r="DG58" i="3"/>
  <c r="DJ58" i="3" s="1"/>
  <c r="CX57" i="3"/>
  <c r="CV37" i="3"/>
  <c r="CX36" i="3"/>
  <c r="CX34" i="3"/>
  <c r="CV33" i="3"/>
  <c r="CV18" i="3"/>
  <c r="CX17" i="3"/>
  <c r="CX7" i="3"/>
  <c r="CV35" i="3"/>
  <c r="CX35" i="3"/>
  <c r="I72" i="1"/>
  <c r="BB35" i="1"/>
  <c r="AT35" i="1"/>
  <c r="CU11" i="3"/>
  <c r="CV11" i="3"/>
  <c r="CQ30" i="1"/>
  <c r="P30" i="1" s="1"/>
  <c r="CP30" i="1" s="1"/>
  <c r="O30" i="1" s="1"/>
  <c r="GM30" i="1" s="1"/>
  <c r="GP30" i="1" s="1"/>
  <c r="CX55" i="3"/>
  <c r="CW36" i="3"/>
  <c r="CX33" i="3"/>
  <c r="CX32" i="3"/>
  <c r="CX28" i="3"/>
  <c r="CX27" i="3"/>
  <c r="CX24" i="3"/>
  <c r="AS35" i="1"/>
  <c r="DG2" i="3"/>
  <c r="DH2" i="3"/>
  <c r="DI2" i="3"/>
  <c r="DF2" i="3"/>
  <c r="DJ2" i="3" s="1"/>
  <c r="CX54" i="3"/>
  <c r="CX22" i="3"/>
  <c r="CX21" i="3"/>
  <c r="CX20" i="3"/>
  <c r="CX10" i="3"/>
  <c r="CX11" i="3"/>
  <c r="CX19" i="3"/>
  <c r="CU18" i="3"/>
  <c r="CX25" i="3"/>
  <c r="CX15" i="3"/>
  <c r="CU14" i="3"/>
  <c r="CW61" i="3"/>
  <c r="CX61" i="3"/>
  <c r="CX12" i="3"/>
  <c r="AB29" i="1"/>
  <c r="CX59" i="3"/>
  <c r="CV14" i="3"/>
  <c r="CX13" i="3"/>
  <c r="CV3" i="3"/>
  <c r="DI1" i="3"/>
  <c r="DJ1" i="3" s="1"/>
  <c r="CX37" i="3"/>
  <c r="CX18" i="3"/>
  <c r="CX14" i="3"/>
  <c r="DG1" i="3"/>
  <c r="CU1" i="3"/>
  <c r="E51" i="9" l="1"/>
  <c r="E57" i="9"/>
  <c r="K142" i="7"/>
  <c r="P142" i="7"/>
  <c r="K173" i="7"/>
  <c r="P173" i="7"/>
  <c r="K98" i="7"/>
  <c r="P98" i="7"/>
  <c r="P158" i="7"/>
  <c r="K158" i="7"/>
  <c r="K84" i="7"/>
  <c r="P84" i="7"/>
  <c r="P166" i="7"/>
  <c r="K166" i="7"/>
  <c r="K64" i="7"/>
  <c r="P64" i="7"/>
  <c r="K150" i="7"/>
  <c r="P150" i="7"/>
  <c r="K56" i="7"/>
  <c r="P56" i="7"/>
  <c r="I193" i="7"/>
  <c r="K106" i="7"/>
  <c r="P106" i="7"/>
  <c r="P42" i="7"/>
  <c r="K42" i="7"/>
  <c r="AK120" i="1"/>
  <c r="X126" i="1"/>
  <c r="AI120" i="1"/>
  <c r="V126" i="1"/>
  <c r="AE120" i="1"/>
  <c r="R126" i="1"/>
  <c r="DF59" i="3"/>
  <c r="DG59" i="3"/>
  <c r="DJ59" i="3" s="1"/>
  <c r="DH59" i="3"/>
  <c r="DI59" i="3"/>
  <c r="DF14" i="3"/>
  <c r="DG14" i="3"/>
  <c r="DH14" i="3"/>
  <c r="DI14" i="3"/>
  <c r="DJ14" i="3" s="1"/>
  <c r="DH19" i="3"/>
  <c r="DI19" i="3"/>
  <c r="DF19" i="3"/>
  <c r="DJ19" i="3" s="1"/>
  <c r="DG19" i="3"/>
  <c r="DF33" i="3"/>
  <c r="DH33" i="3"/>
  <c r="DI33" i="3"/>
  <c r="DJ33" i="3" s="1"/>
  <c r="DG33" i="3"/>
  <c r="R72" i="1"/>
  <c r="T72" i="1"/>
  <c r="AG88" i="1" s="1"/>
  <c r="P72" i="1"/>
  <c r="DF36" i="3"/>
  <c r="DG36" i="3"/>
  <c r="DJ36" i="3" s="1"/>
  <c r="DI36" i="3"/>
  <c r="DH36" i="3"/>
  <c r="BC26" i="1"/>
  <c r="F51" i="1"/>
  <c r="BC156" i="1"/>
  <c r="DF43" i="3"/>
  <c r="DJ43" i="3" s="1"/>
  <c r="DH43" i="3"/>
  <c r="DI43" i="3"/>
  <c r="DG43" i="3"/>
  <c r="DF50" i="3"/>
  <c r="DJ50" i="3" s="1"/>
  <c r="DH50" i="3"/>
  <c r="DI50" i="3"/>
  <c r="DG50" i="3"/>
  <c r="DG47" i="3"/>
  <c r="DI47" i="3"/>
  <c r="DF47" i="3"/>
  <c r="DJ47" i="3" s="1"/>
  <c r="DH47" i="3"/>
  <c r="U72" i="1"/>
  <c r="AH88" i="1" s="1"/>
  <c r="DF26" i="3"/>
  <c r="DH26" i="3"/>
  <c r="DI26" i="3"/>
  <c r="DJ26" i="3" s="1"/>
  <c r="DG26" i="3"/>
  <c r="AC35" i="1"/>
  <c r="AH26" i="1"/>
  <c r="U35" i="1"/>
  <c r="DH38" i="3"/>
  <c r="DF38" i="3"/>
  <c r="DJ38" i="3" s="1"/>
  <c r="DG38" i="3"/>
  <c r="DI38" i="3"/>
  <c r="F151" i="1"/>
  <c r="BD120" i="1"/>
  <c r="CY82" i="1"/>
  <c r="X82" i="1" s="1"/>
  <c r="CZ82" i="1"/>
  <c r="Y82" i="1" s="1"/>
  <c r="AZ120" i="1"/>
  <c r="F137" i="1"/>
  <c r="AC126" i="1"/>
  <c r="BA120" i="1"/>
  <c r="F146" i="1"/>
  <c r="DF18" i="3"/>
  <c r="DG18" i="3"/>
  <c r="DH18" i="3"/>
  <c r="DI18" i="3"/>
  <c r="DJ18" i="3" s="1"/>
  <c r="DI12" i="3"/>
  <c r="DF12" i="3"/>
  <c r="DJ12" i="3" s="1"/>
  <c r="DG12" i="3"/>
  <c r="DH12" i="3"/>
  <c r="DF11" i="3"/>
  <c r="DG11" i="3"/>
  <c r="DH11" i="3"/>
  <c r="DI11" i="3"/>
  <c r="DJ11" i="3" s="1"/>
  <c r="DG35" i="3"/>
  <c r="DH35" i="3"/>
  <c r="DI35" i="3"/>
  <c r="DJ35" i="3" s="1"/>
  <c r="DF35" i="3"/>
  <c r="DI6" i="3"/>
  <c r="DF6" i="3"/>
  <c r="DJ6" i="3" s="1"/>
  <c r="DG6" i="3"/>
  <c r="DH6" i="3"/>
  <c r="DF44" i="3"/>
  <c r="DJ44" i="3" s="1"/>
  <c r="DH44" i="3"/>
  <c r="DI44" i="3"/>
  <c r="DG44" i="3"/>
  <c r="DF46" i="3"/>
  <c r="DJ46" i="3" s="1"/>
  <c r="DG46" i="3"/>
  <c r="DI46" i="3"/>
  <c r="DH46" i="3"/>
  <c r="GM28" i="1"/>
  <c r="AB35" i="1"/>
  <c r="CY85" i="1"/>
  <c r="X85" i="1" s="1"/>
  <c r="CZ85" i="1"/>
  <c r="Y85" i="1" s="1"/>
  <c r="CP85" i="1"/>
  <c r="O85" i="1" s="1"/>
  <c r="S72" i="1"/>
  <c r="CI67" i="1"/>
  <c r="AZ88" i="1"/>
  <c r="GM78" i="1"/>
  <c r="GP78" i="1" s="1"/>
  <c r="GM122" i="1"/>
  <c r="AB126" i="1"/>
  <c r="DF10" i="3"/>
  <c r="DJ10" i="3" s="1"/>
  <c r="DG10" i="3"/>
  <c r="DH10" i="3"/>
  <c r="DI10" i="3"/>
  <c r="DF55" i="3"/>
  <c r="DJ55" i="3" s="1"/>
  <c r="DG55" i="3"/>
  <c r="DH55" i="3"/>
  <c r="DI55" i="3"/>
  <c r="DG57" i="3"/>
  <c r="DH57" i="3"/>
  <c r="DF57" i="3"/>
  <c r="DJ57" i="3" s="1"/>
  <c r="DI57" i="3"/>
  <c r="DI16" i="3"/>
  <c r="DJ16" i="3" s="1"/>
  <c r="DF16" i="3"/>
  <c r="DG16" i="3"/>
  <c r="DH16" i="3"/>
  <c r="DI45" i="3"/>
  <c r="DF45" i="3"/>
  <c r="DJ45" i="3" s="1"/>
  <c r="DG45" i="3"/>
  <c r="DH45" i="3"/>
  <c r="DG52" i="3"/>
  <c r="DH52" i="3"/>
  <c r="DI52" i="3"/>
  <c r="DF52" i="3"/>
  <c r="DJ52" i="3" s="1"/>
  <c r="AP26" i="1"/>
  <c r="F44" i="1"/>
  <c r="AP156" i="1"/>
  <c r="AG26" i="1"/>
  <c r="T35" i="1"/>
  <c r="R35" i="1"/>
  <c r="AE26" i="1"/>
  <c r="CY86" i="1"/>
  <c r="X86" i="1" s="1"/>
  <c r="GM86" i="1" s="1"/>
  <c r="GP86" i="1" s="1"/>
  <c r="CZ86" i="1"/>
  <c r="Y86" i="1" s="1"/>
  <c r="V72" i="1"/>
  <c r="AI88" i="1" s="1"/>
  <c r="AC88" i="1"/>
  <c r="AQ67" i="1"/>
  <c r="F98" i="1"/>
  <c r="AQ156" i="1"/>
  <c r="F144" i="1"/>
  <c r="AT120" i="1"/>
  <c r="DF20" i="3"/>
  <c r="DJ20" i="3" s="1"/>
  <c r="DH20" i="3"/>
  <c r="DI20" i="3"/>
  <c r="DG20" i="3"/>
  <c r="DG48" i="3"/>
  <c r="DH48" i="3"/>
  <c r="DI48" i="3"/>
  <c r="DF48" i="3"/>
  <c r="DJ48" i="3" s="1"/>
  <c r="BC67" i="1"/>
  <c r="F104" i="1"/>
  <c r="DF49" i="3"/>
  <c r="DH49" i="3"/>
  <c r="DI49" i="3"/>
  <c r="DJ49" i="3" s="1"/>
  <c r="DG49" i="3"/>
  <c r="W72" i="1"/>
  <c r="AJ88" i="1" s="1"/>
  <c r="F42" i="1"/>
  <c r="AX26" i="1"/>
  <c r="AK35" i="1"/>
  <c r="GX72" i="1"/>
  <c r="CJ88" i="1" s="1"/>
  <c r="GM69" i="1"/>
  <c r="CG67" i="1"/>
  <c r="AX88" i="1"/>
  <c r="AX156" i="1" s="1"/>
  <c r="BB120" i="1"/>
  <c r="F139" i="1"/>
  <c r="DG24" i="3"/>
  <c r="DI24" i="3"/>
  <c r="DF24" i="3"/>
  <c r="DJ24" i="3" s="1"/>
  <c r="DH24" i="3"/>
  <c r="DG9" i="3"/>
  <c r="DH9" i="3"/>
  <c r="DI9" i="3"/>
  <c r="DF9" i="3"/>
  <c r="DJ9" i="3" s="1"/>
  <c r="DG30" i="3"/>
  <c r="DI30" i="3"/>
  <c r="DF30" i="3"/>
  <c r="DJ30" i="3" s="1"/>
  <c r="DH30" i="3"/>
  <c r="DG56" i="3"/>
  <c r="DH56" i="3"/>
  <c r="DI56" i="3"/>
  <c r="DJ56" i="3" s="1"/>
  <c r="DF56" i="3"/>
  <c r="W35" i="1"/>
  <c r="AJ26" i="1"/>
  <c r="AF26" i="1"/>
  <c r="S35" i="1"/>
  <c r="AL120" i="1"/>
  <c r="Y126" i="1"/>
  <c r="DI62" i="3"/>
  <c r="DF62" i="3"/>
  <c r="DG62" i="3"/>
  <c r="DJ62" i="3" s="1"/>
  <c r="DH62" i="3"/>
  <c r="S126" i="1"/>
  <c r="AF120" i="1"/>
  <c r="DG37" i="3"/>
  <c r="DH37" i="3"/>
  <c r="DF37" i="3"/>
  <c r="DI37" i="3"/>
  <c r="DJ37" i="3" s="1"/>
  <c r="DI39" i="3"/>
  <c r="DJ39" i="3" s="1"/>
  <c r="DF39" i="3"/>
  <c r="DG39" i="3"/>
  <c r="DH39" i="3"/>
  <c r="AO26" i="1"/>
  <c r="F39" i="1"/>
  <c r="AO156" i="1"/>
  <c r="DH15" i="3"/>
  <c r="DI15" i="3"/>
  <c r="DF15" i="3"/>
  <c r="DJ15" i="3" s="1"/>
  <c r="DG15" i="3"/>
  <c r="DF27" i="3"/>
  <c r="DJ27" i="3" s="1"/>
  <c r="DH27" i="3"/>
  <c r="DI27" i="3"/>
  <c r="DG27" i="3"/>
  <c r="BD26" i="1"/>
  <c r="F60" i="1"/>
  <c r="BD156" i="1"/>
  <c r="AI26" i="1"/>
  <c r="V35" i="1"/>
  <c r="DF29" i="3"/>
  <c r="DJ29" i="3" s="1"/>
  <c r="DG29" i="3"/>
  <c r="DI29" i="3"/>
  <c r="DH29" i="3"/>
  <c r="GM82" i="1"/>
  <c r="GP82" i="1" s="1"/>
  <c r="CY75" i="1"/>
  <c r="X75" i="1" s="1"/>
  <c r="GM75" i="1" s="1"/>
  <c r="GP75" i="1" s="1"/>
  <c r="CZ75" i="1"/>
  <c r="Y75" i="1" s="1"/>
  <c r="CI26" i="1"/>
  <c r="AZ35" i="1"/>
  <c r="AL35" i="1"/>
  <c r="DF53" i="3"/>
  <c r="DH53" i="3"/>
  <c r="DI53" i="3"/>
  <c r="DJ53" i="3" s="1"/>
  <c r="DG53" i="3"/>
  <c r="BB67" i="1"/>
  <c r="F101" i="1"/>
  <c r="AS67" i="1"/>
  <c r="F105" i="1"/>
  <c r="W120" i="1"/>
  <c r="F150" i="1"/>
  <c r="DG61" i="3"/>
  <c r="DJ61" i="3" s="1"/>
  <c r="DH61" i="3"/>
  <c r="DF61" i="3"/>
  <c r="DI61" i="3"/>
  <c r="AS26" i="1"/>
  <c r="F52" i="1"/>
  <c r="AS156" i="1"/>
  <c r="DF21" i="3"/>
  <c r="DJ21" i="3" s="1"/>
  <c r="DH21" i="3"/>
  <c r="DI21" i="3"/>
  <c r="DG21" i="3"/>
  <c r="DF17" i="3"/>
  <c r="DJ17" i="3" s="1"/>
  <c r="DG17" i="3"/>
  <c r="DI17" i="3"/>
  <c r="DH17" i="3"/>
  <c r="DF40" i="3"/>
  <c r="DH40" i="3"/>
  <c r="DI40" i="3"/>
  <c r="DG40" i="3"/>
  <c r="DJ40" i="3" s="1"/>
  <c r="DF13" i="3"/>
  <c r="DJ13" i="3" s="1"/>
  <c r="DG13" i="3"/>
  <c r="DI13" i="3"/>
  <c r="DH13" i="3"/>
  <c r="DI22" i="3"/>
  <c r="DF22" i="3"/>
  <c r="DJ22" i="3" s="1"/>
  <c r="DG22" i="3"/>
  <c r="DH22" i="3"/>
  <c r="DG25" i="3"/>
  <c r="DH25" i="3"/>
  <c r="DI25" i="3"/>
  <c r="DF25" i="3"/>
  <c r="DJ25" i="3" s="1"/>
  <c r="DH54" i="3"/>
  <c r="DI54" i="3"/>
  <c r="DF54" i="3"/>
  <c r="DJ54" i="3" s="1"/>
  <c r="DG54" i="3"/>
  <c r="DI28" i="3"/>
  <c r="DF28" i="3"/>
  <c r="DJ28" i="3" s="1"/>
  <c r="DG28" i="3"/>
  <c r="DH28" i="3"/>
  <c r="AT26" i="1"/>
  <c r="F53" i="1"/>
  <c r="AT156" i="1"/>
  <c r="DG8" i="3"/>
  <c r="DH8" i="3"/>
  <c r="DI8" i="3"/>
  <c r="DF8" i="3"/>
  <c r="DJ8" i="3" s="1"/>
  <c r="DG41" i="3"/>
  <c r="DJ41" i="3" s="1"/>
  <c r="DH41" i="3"/>
  <c r="DF41" i="3"/>
  <c r="DI41" i="3"/>
  <c r="DF4" i="3"/>
  <c r="DJ4" i="3" s="1"/>
  <c r="DH4" i="3"/>
  <c r="DI4" i="3"/>
  <c r="DG4" i="3"/>
  <c r="Q35" i="1"/>
  <c r="AD26" i="1"/>
  <c r="DH42" i="3"/>
  <c r="DF42" i="3"/>
  <c r="DJ42" i="3" s="1"/>
  <c r="DG42" i="3"/>
  <c r="DI42" i="3"/>
  <c r="BD67" i="1"/>
  <c r="F113" i="1"/>
  <c r="AO67" i="1"/>
  <c r="F92" i="1"/>
  <c r="Q72" i="1"/>
  <c r="AD88" i="1" s="1"/>
  <c r="BA26" i="1"/>
  <c r="F55" i="1"/>
  <c r="F135" i="1"/>
  <c r="AP120" i="1"/>
  <c r="Q120" i="1"/>
  <c r="F138" i="1"/>
  <c r="DF7" i="3"/>
  <c r="DJ7" i="3" s="1"/>
  <c r="DG7" i="3"/>
  <c r="DI7" i="3"/>
  <c r="DH7" i="3"/>
  <c r="DG32" i="3"/>
  <c r="DH32" i="3"/>
  <c r="DF32" i="3"/>
  <c r="DJ32" i="3" s="1"/>
  <c r="DI32" i="3"/>
  <c r="BB26" i="1"/>
  <c r="F48" i="1"/>
  <c r="BB156" i="1"/>
  <c r="DI34" i="3"/>
  <c r="DF34" i="3"/>
  <c r="DJ34" i="3" s="1"/>
  <c r="DG34" i="3"/>
  <c r="DH34" i="3"/>
  <c r="DH3" i="3"/>
  <c r="DI3" i="3"/>
  <c r="DJ3" i="3" s="1"/>
  <c r="DF3" i="3"/>
  <c r="DG3" i="3"/>
  <c r="DF5" i="3"/>
  <c r="DJ5" i="3" s="1"/>
  <c r="DG5" i="3"/>
  <c r="DH5" i="3"/>
  <c r="DI5" i="3"/>
  <c r="DI51" i="3"/>
  <c r="DJ51" i="3" s="1"/>
  <c r="DF51" i="3"/>
  <c r="DH51" i="3"/>
  <c r="DG51" i="3"/>
  <c r="DG31" i="3"/>
  <c r="DH31" i="3"/>
  <c r="DI31" i="3"/>
  <c r="DF31" i="3"/>
  <c r="DJ31" i="3" s="1"/>
  <c r="AP67" i="1"/>
  <c r="F97" i="1"/>
  <c r="CG120" i="1"/>
  <c r="AX126" i="1"/>
  <c r="GM84" i="1"/>
  <c r="GP84" i="1" s="1"/>
  <c r="DF60" i="3"/>
  <c r="DH60" i="3"/>
  <c r="DI60" i="3"/>
  <c r="DG60" i="3"/>
  <c r="DJ60" i="3" s="1"/>
  <c r="AS120" i="1"/>
  <c r="F143" i="1"/>
  <c r="GM123" i="1"/>
  <c r="GP123" i="1" s="1"/>
  <c r="F147" i="1"/>
  <c r="T120" i="1"/>
  <c r="U120" i="1"/>
  <c r="F148" i="1"/>
  <c r="I199" i="7" l="1"/>
  <c r="I73" i="7"/>
  <c r="I196" i="7"/>
  <c r="I175" i="7"/>
  <c r="AX22" i="1"/>
  <c r="AX186" i="1"/>
  <c r="F163" i="1"/>
  <c r="BB22" i="1"/>
  <c r="F169" i="1"/>
  <c r="BB186" i="1"/>
  <c r="S120" i="1"/>
  <c r="F141" i="1"/>
  <c r="GP69" i="1"/>
  <c r="T26" i="1"/>
  <c r="F56" i="1"/>
  <c r="AZ67" i="1"/>
  <c r="F99" i="1"/>
  <c r="R120" i="1"/>
  <c r="F140" i="1"/>
  <c r="AT22" i="1"/>
  <c r="F174" i="1"/>
  <c r="F16" i="2" s="1"/>
  <c r="F18" i="2" s="1"/>
  <c r="AT186" i="1"/>
  <c r="BD22" i="1"/>
  <c r="F181" i="1"/>
  <c r="BD186" i="1"/>
  <c r="CJ67" i="1"/>
  <c r="BA88" i="1"/>
  <c r="AH67" i="1"/>
  <c r="U88" i="1"/>
  <c r="AD67" i="1"/>
  <c r="Q88" i="1"/>
  <c r="W26" i="1"/>
  <c r="F59" i="1"/>
  <c r="AK26" i="1"/>
  <c r="X35" i="1"/>
  <c r="AC67" i="1"/>
  <c r="CE88" i="1"/>
  <c r="CF88" i="1"/>
  <c r="CH88" i="1"/>
  <c r="P88" i="1"/>
  <c r="AP22" i="1"/>
  <c r="AP186" i="1"/>
  <c r="F165" i="1"/>
  <c r="G16" i="2" s="1"/>
  <c r="G18" i="2" s="1"/>
  <c r="CY72" i="1"/>
  <c r="X72" i="1" s="1"/>
  <c r="AK88" i="1" s="1"/>
  <c r="CZ72" i="1"/>
  <c r="Y72" i="1" s="1"/>
  <c r="AL88" i="1" s="1"/>
  <c r="AF88" i="1"/>
  <c r="U26" i="1"/>
  <c r="F57" i="1"/>
  <c r="U156" i="1"/>
  <c r="V120" i="1"/>
  <c r="F149" i="1"/>
  <c r="AI67" i="1"/>
  <c r="V88" i="1"/>
  <c r="GM85" i="1"/>
  <c r="GP85" i="1" s="1"/>
  <c r="Q26" i="1"/>
  <c r="F47" i="1"/>
  <c r="Q156" i="1"/>
  <c r="AS22" i="1"/>
  <c r="F173" i="1"/>
  <c r="E16" i="2" s="1"/>
  <c r="AS186" i="1"/>
  <c r="AO22" i="1"/>
  <c r="AO186" i="1"/>
  <c r="F160" i="1"/>
  <c r="AC26" i="1"/>
  <c r="CH35" i="1"/>
  <c r="P35" i="1"/>
  <c r="CE35" i="1"/>
  <c r="CF35" i="1"/>
  <c r="AL26" i="1"/>
  <c r="Y35" i="1"/>
  <c r="Y120" i="1"/>
  <c r="F153" i="1"/>
  <c r="AX67" i="1"/>
  <c r="F95" i="1"/>
  <c r="AB120" i="1"/>
  <c r="O126" i="1"/>
  <c r="CP72" i="1"/>
  <c r="O72" i="1" s="1"/>
  <c r="X120" i="1"/>
  <c r="F152" i="1"/>
  <c r="AZ26" i="1"/>
  <c r="F46" i="1"/>
  <c r="AZ156" i="1"/>
  <c r="AJ67" i="1"/>
  <c r="W88" i="1"/>
  <c r="W156" i="1" s="1"/>
  <c r="GP122" i="1"/>
  <c r="CD126" i="1" s="1"/>
  <c r="CA126" i="1"/>
  <c r="O35" i="1"/>
  <c r="AB26" i="1"/>
  <c r="AC120" i="1"/>
  <c r="CE126" i="1"/>
  <c r="CF126" i="1"/>
  <c r="CH126" i="1"/>
  <c r="P126" i="1"/>
  <c r="BC22" i="1"/>
  <c r="F172" i="1"/>
  <c r="BC186" i="1"/>
  <c r="AG67" i="1"/>
  <c r="T88" i="1"/>
  <c r="T156" i="1" s="1"/>
  <c r="AX120" i="1"/>
  <c r="F133" i="1"/>
  <c r="F58" i="1"/>
  <c r="V26" i="1"/>
  <c r="V156" i="1"/>
  <c r="S26" i="1"/>
  <c r="F50" i="1"/>
  <c r="AQ22" i="1"/>
  <c r="AQ186" i="1"/>
  <c r="F166" i="1"/>
  <c r="F49" i="1"/>
  <c r="R26" i="1"/>
  <c r="GP28" i="1"/>
  <c r="CD35" i="1" s="1"/>
  <c r="CA35" i="1"/>
  <c r="GK72" i="1"/>
  <c r="AE88" i="1"/>
  <c r="W22" i="1" l="1"/>
  <c r="F180" i="1"/>
  <c r="W186" i="1"/>
  <c r="T22" i="1"/>
  <c r="F177" i="1"/>
  <c r="T186" i="1"/>
  <c r="CD26" i="1"/>
  <c r="AU35" i="1"/>
  <c r="AY35" i="1"/>
  <c r="CH26" i="1"/>
  <c r="Q22" i="1"/>
  <c r="F168" i="1"/>
  <c r="Q186" i="1"/>
  <c r="U22" i="1"/>
  <c r="F178" i="1"/>
  <c r="U186" i="1"/>
  <c r="AQ18" i="1"/>
  <c r="F196" i="1"/>
  <c r="BC18" i="1"/>
  <c r="F202" i="1"/>
  <c r="F91" i="1"/>
  <c r="P67" i="1"/>
  <c r="BD18" i="1"/>
  <c r="F211" i="1"/>
  <c r="V22" i="1"/>
  <c r="F179" i="1"/>
  <c r="V186" i="1"/>
  <c r="O26" i="1"/>
  <c r="F37" i="1"/>
  <c r="AY88" i="1"/>
  <c r="CH67" i="1"/>
  <c r="BB18" i="1"/>
  <c r="F199" i="1"/>
  <c r="CA120" i="1"/>
  <c r="AR126" i="1"/>
  <c r="Y26" i="1"/>
  <c r="F62" i="1"/>
  <c r="AO18" i="1"/>
  <c r="F190" i="1"/>
  <c r="S88" i="1"/>
  <c r="AF67" i="1"/>
  <c r="CF67" i="1"/>
  <c r="AW88" i="1"/>
  <c r="Q67" i="1"/>
  <c r="F100" i="1"/>
  <c r="AU126" i="1"/>
  <c r="CD120" i="1"/>
  <c r="GM72" i="1"/>
  <c r="AB88" i="1"/>
  <c r="V67" i="1"/>
  <c r="F111" i="1"/>
  <c r="AL67" i="1"/>
  <c r="Y88" i="1"/>
  <c r="CE67" i="1"/>
  <c r="AV88" i="1"/>
  <c r="AT18" i="1"/>
  <c r="F204" i="1"/>
  <c r="AE67" i="1"/>
  <c r="R88" i="1"/>
  <c r="CH120" i="1"/>
  <c r="AY126" i="1"/>
  <c r="W67" i="1"/>
  <c r="F112" i="1"/>
  <c r="O120" i="1"/>
  <c r="F128" i="1"/>
  <c r="CF26" i="1"/>
  <c r="AW35" i="1"/>
  <c r="AS18" i="1"/>
  <c r="F203" i="1"/>
  <c r="AK67" i="1"/>
  <c r="X88" i="1"/>
  <c r="U67" i="1"/>
  <c r="F110" i="1"/>
  <c r="F129" i="1"/>
  <c r="P120" i="1"/>
  <c r="CF120" i="1"/>
  <c r="AW126" i="1"/>
  <c r="CE26" i="1"/>
  <c r="AV35" i="1"/>
  <c r="E18" i="2"/>
  <c r="X26" i="1"/>
  <c r="F61" i="1"/>
  <c r="X156" i="1"/>
  <c r="AX18" i="1"/>
  <c r="F193" i="1"/>
  <c r="CA26" i="1"/>
  <c r="AR35" i="1"/>
  <c r="T67" i="1"/>
  <c r="F109" i="1"/>
  <c r="CE120" i="1"/>
  <c r="AV126" i="1"/>
  <c r="AZ22" i="1"/>
  <c r="AZ186" i="1"/>
  <c r="F167" i="1"/>
  <c r="P26" i="1"/>
  <c r="F38" i="1"/>
  <c r="P156" i="1"/>
  <c r="AP18" i="1"/>
  <c r="F195" i="1"/>
  <c r="BA67" i="1"/>
  <c r="F108" i="1"/>
  <c r="BA156" i="1"/>
  <c r="P22" i="1" l="1"/>
  <c r="F159" i="1"/>
  <c r="P186" i="1"/>
  <c r="AU120" i="1"/>
  <c r="F145" i="1"/>
  <c r="U18" i="1"/>
  <c r="F208" i="1"/>
  <c r="AU26" i="1"/>
  <c r="F54" i="1"/>
  <c r="AY120" i="1"/>
  <c r="F134" i="1"/>
  <c r="Y67" i="1"/>
  <c r="F115" i="1"/>
  <c r="Y156" i="1"/>
  <c r="AY67" i="1"/>
  <c r="F96" i="1"/>
  <c r="X22" i="1"/>
  <c r="F182" i="1"/>
  <c r="X186" i="1"/>
  <c r="T18" i="1"/>
  <c r="F207" i="1"/>
  <c r="R67" i="1"/>
  <c r="F102" i="1"/>
  <c r="R156" i="1"/>
  <c r="AW67" i="1"/>
  <c r="F94" i="1"/>
  <c r="Q18" i="1"/>
  <c r="F198" i="1"/>
  <c r="AW26" i="1"/>
  <c r="F41" i="1"/>
  <c r="AW156" i="1"/>
  <c r="AR120" i="1"/>
  <c r="F154" i="1"/>
  <c r="F63" i="1"/>
  <c r="AR26" i="1"/>
  <c r="AB67" i="1"/>
  <c r="O88" i="1"/>
  <c r="V18" i="1"/>
  <c r="F209" i="1"/>
  <c r="W18" i="1"/>
  <c r="F210" i="1"/>
  <c r="F131" i="1"/>
  <c r="AV120" i="1"/>
  <c r="BA22" i="1"/>
  <c r="BA186" i="1"/>
  <c r="F176" i="1"/>
  <c r="GP72" i="1"/>
  <c r="CD88" i="1" s="1"/>
  <c r="CA88" i="1"/>
  <c r="S67" i="1"/>
  <c r="F103" i="1"/>
  <c r="S156" i="1"/>
  <c r="AW120" i="1"/>
  <c r="F132" i="1"/>
  <c r="AZ18" i="1"/>
  <c r="F197" i="1"/>
  <c r="AV26" i="1"/>
  <c r="F40" i="1"/>
  <c r="AV156" i="1"/>
  <c r="F114" i="1"/>
  <c r="X67" i="1"/>
  <c r="AV67" i="1"/>
  <c r="F93" i="1"/>
  <c r="AY26" i="1"/>
  <c r="F43" i="1"/>
  <c r="AY156" i="1"/>
  <c r="AW22" i="1" l="1"/>
  <c r="AW186" i="1"/>
  <c r="F162" i="1"/>
  <c r="Y22" i="1"/>
  <c r="F183" i="1"/>
  <c r="Y186" i="1"/>
  <c r="BA18" i="1"/>
  <c r="F206" i="1"/>
  <c r="S22" i="1"/>
  <c r="S186" i="1"/>
  <c r="F171" i="1"/>
  <c r="AV22" i="1"/>
  <c r="F161" i="1"/>
  <c r="AV186" i="1"/>
  <c r="X18" i="1"/>
  <c r="F212" i="1"/>
  <c r="O67" i="1"/>
  <c r="F90" i="1"/>
  <c r="O156" i="1"/>
  <c r="AY22" i="1"/>
  <c r="AY186" i="1"/>
  <c r="F164" i="1"/>
  <c r="P18" i="1"/>
  <c r="F189" i="1"/>
  <c r="CA67" i="1"/>
  <c r="AR88" i="1"/>
  <c r="CD67" i="1"/>
  <c r="AU88" i="1"/>
  <c r="R22" i="1"/>
  <c r="R186" i="1"/>
  <c r="F170" i="1"/>
  <c r="Y18" i="1" l="1"/>
  <c r="F213" i="1"/>
  <c r="R18" i="1"/>
  <c r="F200" i="1"/>
  <c r="AU67" i="1"/>
  <c r="F107" i="1"/>
  <c r="AU156" i="1"/>
  <c r="AY18" i="1"/>
  <c r="F194" i="1"/>
  <c r="J16" i="2"/>
  <c r="J18" i="2" s="1"/>
  <c r="AR67" i="1"/>
  <c r="F116" i="1"/>
  <c r="AR156" i="1"/>
  <c r="S18" i="1"/>
  <c r="F201" i="1"/>
  <c r="AW18" i="1"/>
  <c r="F192" i="1"/>
  <c r="AV18" i="1"/>
  <c r="F191" i="1"/>
  <c r="O22" i="1"/>
  <c r="F158" i="1"/>
  <c r="O186" i="1"/>
  <c r="AR22" i="1" l="1"/>
  <c r="AR186" i="1"/>
  <c r="F184" i="1"/>
  <c r="AU22" i="1"/>
  <c r="F175" i="1"/>
  <c r="H16" i="2" s="1"/>
  <c r="AU186" i="1"/>
  <c r="O18" i="1"/>
  <c r="F188" i="1"/>
  <c r="AU18" i="1" l="1"/>
  <c r="F205" i="1"/>
  <c r="H18" i="2"/>
  <c r="I16" i="2"/>
  <c r="I18" i="2" s="1"/>
  <c r="AR18" i="1"/>
  <c r="F214" i="1"/>
  <c r="F215" i="1" l="1"/>
  <c r="F216" i="1" s="1"/>
</calcChain>
</file>

<file path=xl/sharedStrings.xml><?xml version="1.0" encoding="utf-8"?>
<sst xmlns="http://schemas.openxmlformats.org/spreadsheetml/2006/main" count="3329" uniqueCount="352">
  <si>
    <t>Smeta.RU  (495) 974-1589</t>
  </si>
  <si>
    <t>_PS_</t>
  </si>
  <si>
    <t>Smeta.RU</t>
  </si>
  <si>
    <t/>
  </si>
  <si>
    <t>Новый объект</t>
  </si>
  <si>
    <t>ГБОУ Школа №1440. Осенний б-р д. 10 корп. 3 (в ценах на 01.04.2025 г)</t>
  </si>
  <si>
    <t>Сметные нормы списания</t>
  </si>
  <si>
    <t>Коды ОКП для СН-2012 Выпуск № 3 (в ценах на 01.04.2025 г)</t>
  </si>
  <si>
    <t>СН-2012 Выпуск № 3. (в ценах на 01.04.2025) глава_1-5, 7</t>
  </si>
  <si>
    <t>Типовой расчет для СН-2012 Выпуск №3 (в ценах на 01.04.2025 г)</t>
  </si>
  <si>
    <t>СН-2012 Выпуск № 3. База данных "Сборник стоимостных нормативов" в текущих ценах по состоянию на 01.04.2025 года</t>
  </si>
  <si>
    <t>Поправки для СН-2012 Выпуск № 3 в ценах на 01.04.2025 г от 02.04.2025</t>
  </si>
  <si>
    <t>Новая локальная смета</t>
  </si>
  <si>
    <t>Новый раздел</t>
  </si>
  <si>
    <t>Спортивный зал большой</t>
  </si>
  <si>
    <t>1</t>
  </si>
  <si>
    <t>1.50-3203-33-1/1</t>
  </si>
  <si>
    <t>Установка и разборка инвентарных лесов внутренних трубчатых при высоте помещений до 6 м (без затрат по эксплуатации лесов) (леса/тура)</t>
  </si>
  <si>
    <t>100 м2</t>
  </si>
  <si>
    <t>СН-2012.1 Выпуск № 3 (в текущих ценах по состоянию на 01.04.2025 г.). Сб.50-3203-33-1/1</t>
  </si>
  <si>
    <t>СН-2012</t>
  </si>
  <si>
    <t>Подрядные работы, гл. 1-5,7</t>
  </si>
  <si>
    <t>работа</t>
  </si>
  <si>
    <t>2</t>
  </si>
  <si>
    <t>22.1-4-70</t>
  </si>
  <si>
    <t>Леса инвентарные металлические трубчатые на хомутах со щитами ЛСПХ, 100 м2</t>
  </si>
  <si>
    <t>маш.-ч</t>
  </si>
  <si>
    <t>СН-2012.22 Выпуск № 3 (в текущих ценах по состоянию на 01.04.2025 г.). Сб.1-4-70</t>
  </si>
  <si>
    <t>3</t>
  </si>
  <si>
    <t>1.13-3201-23-2/3</t>
  </si>
  <si>
    <t>Внутренняя окраска водно-дисперсионными акриловыми красками по ранее окрашенным поверхностям стен - с расчисткой старой краски до 35% / краска моющаяся типа ВД-АК-210</t>
  </si>
  <si>
    <t>СН-2012.1 Выпуск № 3 (в текущих ценах по состоянию на 01.04.2025 г.). Сб.13-3201-23-2/3</t>
  </si>
  <si>
    <t>3,1</t>
  </si>
  <si>
    <t>21.1-6-103</t>
  </si>
  <si>
    <t>Пигменты сухие для красок, охра золотистая</t>
  </si>
  <si>
    <t>т</t>
  </si>
  <si>
    <t>СН-2012.21 Выпуск № 3 (в текущих ценах по состоянию на 01.04.2025 г.). Сб.1-6-103</t>
  </si>
  <si>
    <t>4</t>
  </si>
  <si>
    <t>1.50-3205-6-2/1</t>
  </si>
  <si>
    <t>Покрытие полиэтиленовой пленкой поверхности полов</t>
  </si>
  <si>
    <t>СН-2012.1 Выпуск № 3 (в текущих ценах по состоянию на 01.04.2025 г.). Сб.50-3205-6-2/1</t>
  </si>
  <si>
    <t>5</t>
  </si>
  <si>
    <t>1.50-3205-7-2/1</t>
  </si>
  <si>
    <t>Снятие полиэтиленовой пленки с поверхности полов</t>
  </si>
  <si>
    <t>СН-2012.1 Выпуск № 3 (в текущих ценах по состоянию на 01.04.2025 г.). Сб.50-3205-7-2/1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</si>
  <si>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</si>
  <si>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</si>
  <si>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</si>
  <si>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</si>
  <si>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</si>
  <si>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</si>
  <si>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</si>
  <si>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</si>
  <si>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</si>
  <si>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</si>
  <si>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</si>
  <si>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</si>
  <si>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</si>
  <si>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</si>
  <si>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</si>
  <si>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</si>
  <si>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</si>
  <si>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</si>
  <si>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</si>
  <si>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</si>
  <si>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</si>
  <si>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</si>
  <si>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</si>
  <si>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</si>
  <si>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</si>
  <si>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</si>
  <si>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</si>
  <si>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</si>
  <si>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</si>
  <si>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</si>
  <si>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</si>
  <si>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</si>
  <si>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</si>
  <si>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</si>
  <si>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</si>
  <si>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</si>
  <si>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</si>
  <si>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</si>
  <si>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</si>
  <si>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</si>
  <si>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</si>
  <si>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</si>
  <si>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</si>
  <si>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</si>
  <si>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</si>
  <si>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</si>
  <si>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</si>
  <si>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</si>
  <si>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</si>
  <si>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</si>
  <si>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</si>
  <si>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</si>
  <si>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</si>
  <si>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</si>
  <si>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Спортивный зал малый</t>
  </si>
  <si>
    <t>6</t>
  </si>
  <si>
    <t>7</t>
  </si>
  <si>
    <t>8</t>
  </si>
  <si>
    <t>8,1</t>
  </si>
  <si>
    <t>9</t>
  </si>
  <si>
    <t>1.13-3201-23-5/2</t>
  </si>
  <si>
    <t>Внутренняя окраска водно-дисперсионными акриловыми красками по ранее окрашенным поверхностям потолков - с расчисткой старой краски до 35% / краска влагостойкая типа ВД-АК-120</t>
  </si>
  <si>
    <t>СН-2012.1 Выпуск № 3 (в текущих ценах по состоянию на 01.04.2025 г.). Сб.13-3201-23-5/2</t>
  </si>
  <si>
    <t>10</t>
  </si>
  <si>
    <t>1.20-3102-5-1/1</t>
  </si>
  <si>
    <t>Замена электроосветительной арматуры с люминесцентными лампами с числом ламп до двух</t>
  </si>
  <si>
    <t>10 шт.</t>
  </si>
  <si>
    <t>СН-2012.1 Выпуск № 3 (в текущих ценах по состоянию на 01.04.2025 г.). Сб.20-3102-5-1/1</t>
  </si>
  <si>
    <t>10,1</t>
  </si>
  <si>
    <t>21.22-8-41</t>
  </si>
  <si>
    <t>Светильники светодиодные накладные, мощность 48 Вт, световой поток 4000 Лм, цветовая температура 4000 К, IP20, металлический корпус, опаловый рассеиватель, габаритные размеры 1237х120х54 мм, для общественных зданий</t>
  </si>
  <si>
    <t>шт.</t>
  </si>
  <si>
    <t>СН-2012.21 Выпуск № 3 (в текущих ценах по состоянию на 01.04.2025 г.). Сб.22-8-41</t>
  </si>
  <si>
    <t>11</t>
  </si>
  <si>
    <t>1.21-3104-8-2/1</t>
  </si>
  <si>
    <t>Демонтаж труб гофрированных поливинилхлоридных наружным диаметром 20 мм, проложенных открыто по стенам и потолкам</t>
  </si>
  <si>
    <t>100 м</t>
  </si>
  <si>
    <t>СН-2012.1 Выпуск № 3 (в текущих ценах по состоянию на 01.04.2025 г.). Сб.21-3104-8-2/1</t>
  </si>
  <si>
    <t>12</t>
  </si>
  <si>
    <t>1.21-3104-5-1/1</t>
  </si>
  <si>
    <t>Демонтаж трубных проводок, первого провода сечением 6 мм2</t>
  </si>
  <si>
    <t>СН-2012.1 Выпуск № 3 (в текущих ценах по состоянию на 01.04.2025 г.). Сб.21-3104-5-1/1</t>
  </si>
  <si>
    <t>13</t>
  </si>
  <si>
    <t>1.21-3103-33-2/1</t>
  </si>
  <si>
    <t>Прокладка труб гофрированных поливинилхлоридных наружным диаметром 20 мм открыто по стенам и потолкам с установкой соединительных коробок</t>
  </si>
  <si>
    <t>СН-2012.1 Выпуск № 3 (в текущих ценах по состоянию на 01.04.2025 г.). Сб.21-3103-33-2/1</t>
  </si>
  <si>
    <t>13,1</t>
  </si>
  <si>
    <t>21.21-5-61</t>
  </si>
  <si>
    <t>Коробки для выполнения соединений и ответвлений электрических кабелей и проводов сечением до 4 мм2, прокладываемых в неметаллических трубах, тип КОР-73 УЗ</t>
  </si>
  <si>
    <t>СН-2012.21 Выпуск № 3 (в текущих ценах по состоянию на 01.04.2025 г.). Сб.21-5-61</t>
  </si>
  <si>
    <t>13,2</t>
  </si>
  <si>
    <t>14</t>
  </si>
  <si>
    <t>1.21-3103-21-3/1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</si>
  <si>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16 мм2 (без стоимости материалов)</t>
  </si>
  <si>
    <t>СН-2012.1 Выпуск № 3 (в текущих ценах по состоянию на 01.04.2025 г.). Сб.21-3103-21-3/1</t>
  </si>
  <si>
    <t>14,1</t>
  </si>
  <si>
    <t>21.23-8-269</t>
  </si>
  <si>
    <t>Кабели силовые, с медными жилами, с изоляц. и оболоч.из ПВХ пластиката пониж.пожар.опасности, не распростр.горение, с пониж.дымо- и газовыделением и с низк.токсич-тью продуктов горения, напряж.1000 В, марка ВВГнг(А)-LSLTx, число жил и сечение, мм2: 3х1,5</t>
  </si>
  <si>
    <t>км</t>
  </si>
  <si>
    <t>СН-2012.21 Выпуск № 3 (в текущих ценах по состоянию на 01.04.2025 г.). Сб.23-8-269</t>
  </si>
  <si>
    <t>15</t>
  </si>
  <si>
    <t>1.21-3103-21-10/1</t>
  </si>
  <si>
    <t>Затягивание проводов и кабелей в проложенные трубы и металлические рукава, провод каждый последующий одножильный или многожильный в общей оплетке, суммарное сечение до 35 мм2 (без стоимости материалов)</t>
  </si>
  <si>
    <t>СН-2012.1 Выпуск № 3 (в текущих ценах по состоянию на 01.04.2025 г.). Сб.21-3103-21-10/1</t>
  </si>
  <si>
    <t>15,1</t>
  </si>
  <si>
    <t>16</t>
  </si>
  <si>
    <t>17</t>
  </si>
  <si>
    <t>Мусор</t>
  </si>
  <si>
    <t>18</t>
  </si>
  <si>
    <t>1.49-9101-7-1/1</t>
  </si>
  <si>
    <t>Механизированная погрузка строительного мусора в автомобили-самосвалы</t>
  </si>
  <si>
    <t>СН-2012.1 Выпуск № 3 (в текущих ценах по состоянию на 01.04.2025 г.). Сб.49-9101-7-1/1</t>
  </si>
  <si>
    <t>19</t>
  </si>
  <si>
    <t>1.49-9201-1-2/1</t>
  </si>
  <si>
    <t>Перевозка строительного мусора автосамосвалами грузоподъемностью до 10 т на расстояние 1 км - при механизированной погрузке</t>
  </si>
  <si>
    <t>СН-2012.1 Выпуск № 3 (в текущих ценах по состоянию на 01.04.2025 г.). Сб.49-9201-1-2/1</t>
  </si>
  <si>
    <t>Подрядные работы, гл. 1 перевозка мусора</t>
  </si>
  <si>
    <t>20</t>
  </si>
  <si>
    <t>1.49-9201-1-3/1</t>
  </si>
  <si>
    <t>Перевозка строительного мусора автосамосвалами грузоподъемностью до 10 т - добавляется на каждый последующий 1 км до 100 км</t>
  </si>
  <si>
    <t>СН-2012.1 Выпуск № 3 (в текущих ценах по состоянию на 01.04.2025 г.). Сб.49-9201-1-3/1</t>
  </si>
  <si>
    <t>*48</t>
  </si>
  <si>
    <t>НДС</t>
  </si>
  <si>
    <t>НДС 20%</t>
  </si>
  <si>
    <t>Итого</t>
  </si>
  <si>
    <t>Итого с НДС</t>
  </si>
  <si>
    <t>В случае указания на товарные знаки, фирменные наименования, патенты, модели, промышленные образцы или наименование производителя, следует читать со словами «или эквивалент»</t>
  </si>
  <si>
    <t>Уровень цен на 01.04.2025 г</t>
  </si>
  <si>
    <t>_OBSM_</t>
  </si>
  <si>
    <t>9999990008</t>
  </si>
  <si>
    <t>Трудозатраты рабочих</t>
  </si>
  <si>
    <t>чел.-ч.</t>
  </si>
  <si>
    <t>21.1-9-51</t>
  </si>
  <si>
    <t>СН-2012.21 Выпуск № 3 (в текущих ценах по состоянию на 01.04.2025 г.). Сб.1-9-51</t>
  </si>
  <si>
    <t>Доски хвойных пород, обрезные, длина 2-6,5 м, сорт II, толщина 25-32 мм</t>
  </si>
  <si>
    <t>м3</t>
  </si>
  <si>
    <t>21.1-20-7</t>
  </si>
  <si>
    <t>СН-2012.21 Выпуск № 3 (в текущих ценах по состоянию на 01.04.2025 г.). Сб.1-20-7</t>
  </si>
  <si>
    <t>Ветошь</t>
  </si>
  <si>
    <t>кг</t>
  </si>
  <si>
    <t>21.1-25-13</t>
  </si>
  <si>
    <t>СН-2012.21 Выпуск № 3 (в текущих ценах по состоянию на 01.04.2025 г.). Сб.1-25-13</t>
  </si>
  <si>
    <t>Вода</t>
  </si>
  <si>
    <t>21.1-25-388</t>
  </si>
  <si>
    <t>СН-2012.21 Выпуск № 3 (в текущих ценах по состоянию на 01.04.2025 г.). Сб.1-25-388</t>
  </si>
  <si>
    <t>Шкурка шлифовальная на бумажной основе</t>
  </si>
  <si>
    <t>м2</t>
  </si>
  <si>
    <t>21.1-25-404</t>
  </si>
  <si>
    <t>СН-2012.21 Выпуск № 3 (в текущих ценах по состоянию на 01.04.2025 г.). Сб.1-25-404</t>
  </si>
  <si>
    <t>Шпатлевка водно-дисперсионная акриловая</t>
  </si>
  <si>
    <t>21.1-6-219</t>
  </si>
  <si>
    <t>СН-2012.21 Выпуск № 3 (в текущих ценах по состоянию на 01.04.2025 г.). Сб.1-6-219</t>
  </si>
  <si>
    <t>Краски водно-дисперсионные акриловые износостойкие, интерьерные, моющиеся, типа ВД-АК-210, белые</t>
  </si>
  <si>
    <t>21.1-6-221</t>
  </si>
  <si>
    <t>СН-2012.21 Выпуск № 3 (в текущих ценах по состоянию на 01.04.2025 г.). Сб.1-6-221</t>
  </si>
  <si>
    <t>Грунтовка водно-дисперсионная акриловая укрепляющая для минеральных поверхностей, типа ВД-АК-0110</t>
  </si>
  <si>
    <t>21.1-25-152</t>
  </si>
  <si>
    <t>СН-2012.21 Выпуск № 3 (в текущих ценах по состоянию на 01.04.2025 г.). Сб.1-25-152</t>
  </si>
  <si>
    <t>Лента-скотч малярный, ширина 50 мм</t>
  </si>
  <si>
    <t>м</t>
  </si>
  <si>
    <t>21.1-25-257</t>
  </si>
  <si>
    <t>СН-2012.21 Выпуск № 3 (в текущих ценах по состоянию на 01.04.2025 г.). Сб.1-25-257</t>
  </si>
  <si>
    <t>Пленка полиэтиленовая, толщина 80 мкм</t>
  </si>
  <si>
    <t>9999990001</t>
  </si>
  <si>
    <t>Масса мусора</t>
  </si>
  <si>
    <t>21.1-6-218</t>
  </si>
  <si>
    <t>СН-2012.21 Выпуск № 3 (в текущих ценах по состоянию на 01.04.2025 г.). Сб.1-6-218</t>
  </si>
  <si>
    <t>Краски водно-дисперсионные акриловые износостойкие, интерьерные и фасадные, влагостойкие, типа ВД-АК-120, белые</t>
  </si>
  <si>
    <t>22.1-30-56</t>
  </si>
  <si>
    <t>СН-2012.22 Выпуск № 3 (в текущих ценах по состоянию на 01.04.2025 г.). Сб.1-30-56</t>
  </si>
  <si>
    <t>Шуруповерты</t>
  </si>
  <si>
    <t>22.1-30-103</t>
  </si>
  <si>
    <t>СН-2012.22 Выпуск № 3 (в текущих ценах по состоянию на 01.04.2025 г.). Сб.1-30-103</t>
  </si>
  <si>
    <t>Перфораторы электрические, мощность до 800 Вт</t>
  </si>
  <si>
    <t>21.1-11-108</t>
  </si>
  <si>
    <t>СН-2012.21 Выпуск № 3 (в текущих ценах по состоянию на 01.04.2025 г.). Сб.1-11-108</t>
  </si>
  <si>
    <t>Шурупы - саморезы, размер 3,5х45 мм</t>
  </si>
  <si>
    <t>21.1-11-198</t>
  </si>
  <si>
    <t>СН-2012.21 Выпуск № 3 (в текущих ценах по состоянию на 01.04.2025 г.). Сб.1-11-198</t>
  </si>
  <si>
    <t>Дюбели пластмассовые</t>
  </si>
  <si>
    <t>21.12-5-136</t>
  </si>
  <si>
    <t>СН-2012.21 Выпуск № 3 (в текущих ценах по состоянию на 01.04.2025 г.). Сб.12-5-136</t>
  </si>
  <si>
    <t>Трубы электротехнические гофрированные, поливинилхлоридные, негорючие, с зондом, наружный диаметр 20 мм</t>
  </si>
  <si>
    <t>21.21-5-358</t>
  </si>
  <si>
    <t>СН-2012.21 Выпуск № 3 (в текущих ценах по состоянию на 01.04.2025 г.). Сб.21-5-358</t>
  </si>
  <si>
    <t>Держатели пластиковые с защелкой для крепления труб, рукавов и гибких вводов диаметром 20 мм</t>
  </si>
  <si>
    <t>100 шт.</t>
  </si>
  <si>
    <t>21.7-3-2</t>
  </si>
  <si>
    <t>СН-2012.21 Выпуск № 3 (в текущих ценах по состоянию на 01.04.2025 г.). Сб.7-3-2</t>
  </si>
  <si>
    <t>Буры с победитовым наконечником, с хвостовиком SDS-plus, размеры 10х160 мм</t>
  </si>
  <si>
    <t>22.1-1-5</t>
  </si>
  <si>
    <t>СН-2012.22 Выпуск № 3 (в текущих ценах по состоянию на 01.04.2025 г.). Сб.1-1-5</t>
  </si>
  <si>
    <t>Экскаваторы на гусеничном ходу гидравлические, объем ковша до 0,65 м3</t>
  </si>
  <si>
    <t>22.1-18-12</t>
  </si>
  <si>
    <t>СН-2012.22 Выпуск № 3 (в текущих ценах по состоянию на 01.04.2025 г.). Сб.1-18-12</t>
  </si>
  <si>
    <t>Автомобили-самосвалы, грузоподъемность до 7 т</t>
  </si>
  <si>
    <t>22.1-18-13</t>
  </si>
  <si>
    <t>СН-2012.22 Выпуск № 3 (в текущих ценах по состоянию на 01.04.2025 г.). Сб.1-18-13</t>
  </si>
  <si>
    <t>Автомобили-самосвалы, грузоподъемность до 10 т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</si>
  <si>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</si>
  <si>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</si>
  <si>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</si>
  <si>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</si>
  <si>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</si>
  <si>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</si>
  <si>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</si>
  <si>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</si>
  <si>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</si>
  <si>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</si>
  <si>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</si>
  <si>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</si>
  <si>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</si>
  <si>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</si>
  <si>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</si>
  <si>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</si>
  <si>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</si>
  <si>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</si>
  <si>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</si>
  <si>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</si>
  <si>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</si>
  <si>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</si>
  <si>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</si>
  <si>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</si>
  <si>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</si>
  <si>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</si>
  <si>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II квартал 2025 года</t>
  </si>
  <si>
    <t>ЗП</t>
  </si>
  <si>
    <t>МР</t>
  </si>
  <si>
    <t>НР от ЗП</t>
  </si>
  <si>
    <t>%</t>
  </si>
  <si>
    <t>СП от ЗП</t>
  </si>
  <si>
    <t>ЗТР</t>
  </si>
  <si>
    <t>чел-ч</t>
  </si>
  <si>
    <t>ЭМ</t>
  </si>
  <si>
    <t>в т.ч. ЗПМ</t>
  </si>
  <si>
    <t>НР и СП от ЗПМ</t>
  </si>
  <si>
    <t>Исключен
Коробки для выполнения соединений и ответвлений электрических кабелей и проводов сечением до 4 мм2, прокладываемых в неметаллических трубах, тип КОР-73 УЗ</t>
  </si>
  <si>
    <t xml:space="preserve">Составил   </t>
  </si>
  <si>
    <t>[должность,подпись(инициалы,фамилия)]</t>
  </si>
  <si>
    <t xml:space="preserve">Проверил   </t>
  </si>
  <si>
    <t>" ___ " ___________ 20 ___ г.</t>
  </si>
  <si>
    <t xml:space="preserve">Мы, нижеподписавшиеся, произвели осмотр объекта </t>
  </si>
  <si>
    <t xml:space="preserve">и постановили произвести ремонт объекта в </t>
  </si>
  <si>
    <t>следующем объеме:</t>
  </si>
  <si>
    <t>№ п/п</t>
  </si>
  <si>
    <t>Количество</t>
  </si>
  <si>
    <t>Примечание</t>
  </si>
  <si>
    <t>Заказчик _________________</t>
  </si>
  <si>
    <t>Подрядчик _________________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</si>
  <si>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</si>
  <si>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</si>
  <si>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</si>
  <si>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</si>
  <si>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</si>
  <si>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</si>
  <si>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</si>
  <si>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</si>
  <si>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</si>
  <si>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</si>
  <si>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</si>
  <si>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</si>
  <si>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</si>
  <si>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</si>
  <si>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</si>
  <si>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</si>
  <si>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</si>
  <si>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</si>
  <si>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</si>
  <si>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</si>
  <si>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</si>
  <si>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</si>
  <si>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</si>
  <si>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</si>
  <si>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</si>
  <si>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</si>
  <si>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</si>
  <si>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</si>
  <si>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</si>
  <si>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</si>
  <si>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</si>
  <si>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</si>
  <si>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</si>
  <si>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</si>
  <si>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</si>
  <si>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</si>
  <si>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</si>
  <si>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</si>
  <si>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</si>
  <si>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</si>
  <si>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</si>
  <si>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</si>
  <si>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</si>
  <si>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</si>
  <si>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Объект: ГБОУ Школа №1440. Осенний б-р д. 10 корп. 3 (в ценах на 01.04.2025 г)</t>
  </si>
  <si>
    <t>Обоснование</t>
  </si>
  <si>
    <t>Наименование</t>
  </si>
  <si>
    <t>Объем</t>
  </si>
  <si>
    <t>Базовая</t>
  </si>
  <si>
    <t>цена</t>
  </si>
  <si>
    <t>стоимость</t>
  </si>
  <si>
    <t xml:space="preserve">Машины и механизмы </t>
  </si>
  <si>
    <t xml:space="preserve">Итого машины и механизмы </t>
  </si>
  <si>
    <t xml:space="preserve">Материальные ресурсы </t>
  </si>
  <si>
    <t xml:space="preserve">Итого материальные ресурсы </t>
  </si>
  <si>
    <t>Заместитель директора ГБОУ Школа №1440</t>
  </si>
  <si>
    <t>___________________________А.Г. Абалян</t>
  </si>
  <si>
    <t>____________________А.Г. Абалян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</si>
</sst>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3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0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0" fillId="0" borderId="0" xfId="0" applyNumberFormat="1"/>
    <xf numFmtId="0" fontId="17" fillId="0" borderId="0" xfId="0" applyFont="1" applyAlignment="1">
      <alignment horizontal="right"/>
    </xf>
    <xf numFmtId="0" fontId="0" fillId="0" borderId="6" xfId="0" applyBorder="1"/>
    <xf numFmtId="165" fontId="17" fillId="0" borderId="6" xfId="0" applyNumberFormat="1" applyFont="1" applyBorder="1" applyAlignment="1">
      <alignment horizontal="right"/>
    </xf>
    <xf numFmtId="165" fontId="15" fillId="0" borderId="0" xfId="0" applyNumberFormat="1" applyFont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7" fillId="0" borderId="0" xfId="0" applyFont="1"/>
    <xf numFmtId="0" fontId="17" fillId="0" borderId="0" xfId="0" applyFont="1" applyAlignment="1">
      <alignment horizontal="left" wrapText="1"/>
    </xf>
    <xf numFmtId="0" fontId="10" fillId="0" borderId="0" xfId="0" quotePrefix="1" applyFont="1" applyAlignment="1">
      <alignment horizontal="left" wrapText="1"/>
    </xf>
    <xf numFmtId="0" fontId="10" fillId="0" borderId="1" xfId="0" applyFont="1" applyBorder="1"/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left" vertical="top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3" xfId="0" applyFont="1" applyBorder="1" applyAlignment="1">
      <alignment horizontal="right" wrapText="1"/>
    </xf>
    <xf numFmtId="0" fontId="10" fillId="0" borderId="3" xfId="0" applyFont="1" applyBorder="1" applyAlignment="1">
      <alignment horizontal="right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11" fillId="0" borderId="3" xfId="0" quotePrefix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top" wrapText="1"/>
    </xf>
    <xf numFmtId="165" fontId="10" fillId="0" borderId="3" xfId="0" applyNumberFormat="1" applyFont="1" applyBorder="1" applyAlignment="1">
      <alignment horizontal="right" wrapText="1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165" fontId="17" fillId="0" borderId="6" xfId="0" applyNumberFormat="1" applyFont="1" applyBorder="1" applyAlignment="1">
      <alignment horizontal="right"/>
    </xf>
    <xf numFmtId="165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right"/>
    </xf>
    <xf numFmtId="165" fontId="17" fillId="0" borderId="3" xfId="0" applyNumberFormat="1" applyFont="1" applyBorder="1" applyAlignment="1">
      <alignment horizontal="right"/>
    </xf>
    <xf numFmtId="0" fontId="1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09"/>
  <sheetViews>
    <sheetView zoomScaleNormal="100" workbookViewId="0">
      <selection activeCell="G6" sqref="G6:K6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31" width="0" hidden="1" customWidth="1"/>
    <col min="32" max="32" width="116.7109375" hidden="1" customWidth="1"/>
    <col min="33" max="33" width="0" hidden="1" customWidth="1"/>
    <col min="34" max="34" width="100.7109375" hidden="1" customWidth="1"/>
    <col min="3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50" t="s">
        <v>246</v>
      </c>
      <c r="K2" s="50"/>
    </row>
    <row r="3" spans="1:11" ht="16.5" x14ac:dyDescent="0.25">
      <c r="A3" s="11"/>
      <c r="B3" s="56" t="s">
        <v>244</v>
      </c>
      <c r="C3" s="56"/>
      <c r="D3" s="56"/>
      <c r="E3" s="56"/>
      <c r="F3" s="10"/>
      <c r="G3" s="56" t="s">
        <v>245</v>
      </c>
      <c r="H3" s="56"/>
      <c r="I3" s="56"/>
      <c r="J3" s="56"/>
      <c r="K3" s="56"/>
    </row>
    <row r="4" spans="1:11" ht="14.25" x14ac:dyDescent="0.2">
      <c r="A4" s="10"/>
      <c r="B4" s="48"/>
      <c r="C4" s="48"/>
      <c r="D4" s="48"/>
      <c r="E4" s="48"/>
      <c r="F4" s="10"/>
      <c r="G4" s="48" t="s">
        <v>349</v>
      </c>
      <c r="H4" s="48"/>
      <c r="I4" s="48"/>
      <c r="J4" s="48"/>
      <c r="K4" s="48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8" t="str">
        <f>CONCATENATE("______________________ ", IF(Source!AL12&lt;&gt;"", Source!AL12, ""))</f>
        <v xml:space="preserve">______________________ </v>
      </c>
      <c r="C6" s="48"/>
      <c r="D6" s="48"/>
      <c r="E6" s="48"/>
      <c r="F6" s="10"/>
      <c r="G6" s="48" t="s">
        <v>350</v>
      </c>
      <c r="H6" s="48"/>
      <c r="I6" s="48"/>
      <c r="J6" s="48"/>
      <c r="K6" s="48"/>
    </row>
    <row r="7" spans="1:11" ht="14.25" x14ac:dyDescent="0.2">
      <c r="A7" s="13"/>
      <c r="B7" s="51" t="s">
        <v>247</v>
      </c>
      <c r="C7" s="51"/>
      <c r="D7" s="51"/>
      <c r="E7" s="51"/>
      <c r="F7" s="10"/>
      <c r="G7" s="51" t="s">
        <v>247</v>
      </c>
      <c r="H7" s="51"/>
      <c r="I7" s="51"/>
      <c r="J7" s="51"/>
      <c r="K7" s="51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2" t="str">
        <f>CONCATENATE( "ЛОКАЛЬНАЯ СМЕТА № ",IF(Source!F12&lt;&gt;"Новый объект", Source!F12, ""))</f>
        <v xml:space="preserve">ЛОКАЛЬНАЯ СМЕТА № 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1" x14ac:dyDescent="0.2">
      <c r="A11" s="54" t="s">
        <v>248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7" t="str">
        <f>IF(Source!G12&lt;&gt;"Новый объект", Source!G12, "")</f>
        <v>ГБОУ Школа №1440. Осенний б-р д. 10 корп. 3 (в ценах на 01.04.2025 г)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x14ac:dyDescent="0.2">
      <c r="A16" s="54" t="s">
        <v>249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51" t="str">
        <f>CONCATENATE( "Основание: чертежи № ", Source!J12)</f>
        <v xml:space="preserve">Основание: чертежи № 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8" t="s">
        <v>250</v>
      </c>
      <c r="G20" s="48"/>
      <c r="H20" s="48"/>
      <c r="I20" s="49">
        <f>I21+I22+I23+I24</f>
        <v>525.4</v>
      </c>
      <c r="J20" s="50"/>
      <c r="K20" s="10" t="s">
        <v>251</v>
      </c>
    </row>
    <row r="21" spans="1:11" ht="14.25" hidden="1" x14ac:dyDescent="0.2">
      <c r="A21" s="10"/>
      <c r="B21" s="10"/>
      <c r="C21" s="10"/>
      <c r="D21" s="10"/>
      <c r="E21" s="10"/>
      <c r="F21" s="48" t="s">
        <v>252</v>
      </c>
      <c r="G21" s="48"/>
      <c r="H21" s="48"/>
      <c r="I21" s="49">
        <f>ROUND((Source!F203)/1000, 2)</f>
        <v>0</v>
      </c>
      <c r="J21" s="50"/>
      <c r="K21" s="10" t="s">
        <v>251</v>
      </c>
    </row>
    <row r="22" spans="1:11" ht="14.25" hidden="1" x14ac:dyDescent="0.2">
      <c r="A22" s="10"/>
      <c r="B22" s="10"/>
      <c r="C22" s="10"/>
      <c r="D22" s="10"/>
      <c r="E22" s="10"/>
      <c r="F22" s="48" t="s">
        <v>253</v>
      </c>
      <c r="G22" s="48"/>
      <c r="H22" s="48"/>
      <c r="I22" s="49">
        <f>ROUND((Source!F204)/1000, 2)</f>
        <v>0</v>
      </c>
      <c r="J22" s="50"/>
      <c r="K22" s="10" t="s">
        <v>251</v>
      </c>
    </row>
    <row r="23" spans="1:11" ht="14.25" hidden="1" x14ac:dyDescent="0.2">
      <c r="A23" s="10"/>
      <c r="B23" s="10"/>
      <c r="C23" s="10"/>
      <c r="D23" s="10"/>
      <c r="E23" s="10"/>
      <c r="F23" s="48" t="s">
        <v>254</v>
      </c>
      <c r="G23" s="48"/>
      <c r="H23" s="48"/>
      <c r="I23" s="49">
        <f>ROUND((Source!F195)/1000, 2)</f>
        <v>0</v>
      </c>
      <c r="J23" s="50"/>
      <c r="K23" s="10" t="s">
        <v>251</v>
      </c>
    </row>
    <row r="24" spans="1:11" ht="14.25" hidden="1" x14ac:dyDescent="0.2">
      <c r="A24" s="10"/>
      <c r="B24" s="10"/>
      <c r="C24" s="10"/>
      <c r="D24" s="10"/>
      <c r="E24" s="10"/>
      <c r="F24" s="48" t="s">
        <v>255</v>
      </c>
      <c r="G24" s="48"/>
      <c r="H24" s="48"/>
      <c r="I24" s="49">
        <f>ROUND((Source!F205+Source!F206)/1000, 2)</f>
        <v>525.4</v>
      </c>
      <c r="J24" s="50"/>
      <c r="K24" s="10" t="s">
        <v>251</v>
      </c>
    </row>
    <row r="25" spans="1:11" ht="14.25" x14ac:dyDescent="0.2">
      <c r="A25" s="10"/>
      <c r="B25" s="10"/>
      <c r="C25" s="10"/>
      <c r="D25" s="10"/>
      <c r="E25" s="10"/>
      <c r="F25" s="48" t="s">
        <v>256</v>
      </c>
      <c r="G25" s="48"/>
      <c r="H25" s="48"/>
      <c r="I25" s="49">
        <f>(Source!F201+ Source!F200)/1000</f>
        <v>198.03694000000002</v>
      </c>
      <c r="J25" s="50"/>
      <c r="K25" s="10" t="s">
        <v>251</v>
      </c>
    </row>
    <row r="26" spans="1:11" ht="14.25" x14ac:dyDescent="0.2">
      <c r="A26" s="10" t="s">
        <v>270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59" t="s">
        <v>257</v>
      </c>
      <c r="B27" s="59" t="s">
        <v>258</v>
      </c>
      <c r="C27" s="59" t="s">
        <v>259</v>
      </c>
      <c r="D27" s="59" t="s">
        <v>260</v>
      </c>
      <c r="E27" s="59" t="s">
        <v>261</v>
      </c>
      <c r="F27" s="59" t="s">
        <v>262</v>
      </c>
      <c r="G27" s="59" t="s">
        <v>263</v>
      </c>
      <c r="H27" s="59" t="s">
        <v>264</v>
      </c>
      <c r="I27" s="59" t="s">
        <v>265</v>
      </c>
      <c r="J27" s="59" t="s">
        <v>266</v>
      </c>
      <c r="K27" s="17" t="s">
        <v>267</v>
      </c>
    </row>
    <row r="28" spans="1:11" ht="28.5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18" t="s">
        <v>268</v>
      </c>
    </row>
    <row r="29" spans="1:11" ht="28.5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18" t="s">
        <v>269</v>
      </c>
    </row>
    <row r="30" spans="1:11" ht="14.25" x14ac:dyDescent="0.2">
      <c r="A30" s="18">
        <v>1</v>
      </c>
      <c r="B30" s="18">
        <v>2</v>
      </c>
      <c r="C30" s="18">
        <v>3</v>
      </c>
      <c r="D30" s="18">
        <v>4</v>
      </c>
      <c r="E30" s="18">
        <v>5</v>
      </c>
      <c r="F30" s="18">
        <v>6</v>
      </c>
      <c r="G30" s="18">
        <v>7</v>
      </c>
      <c r="H30" s="18">
        <v>8</v>
      </c>
      <c r="I30" s="18">
        <v>9</v>
      </c>
      <c r="J30" s="18">
        <v>10</v>
      </c>
      <c r="K30" s="18">
        <v>11</v>
      </c>
    </row>
    <row r="32" spans="1:11" ht="16.5" x14ac:dyDescent="0.25">
      <c r="A32" s="62" t="str">
        <f>CONCATENATE("Локальная смета: ",IF(Source!G20&lt;&gt;"Новая локальная смета", Source!G20, ""))</f>
        <v xml:space="preserve">Локальная смета: 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4" spans="1:22" ht="16.5" x14ac:dyDescent="0.25">
      <c r="A34" s="62" t="str">
        <f>CONCATENATE("Раздел: ",IF(Source!G24&lt;&gt;"Новый раздел", Source!G24, ""))</f>
        <v>Раздел: Спортивный зал большой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</row>
    <row r="35" spans="1:22" ht="57" x14ac:dyDescent="0.2">
      <c r="A35" s="19">
        <v>1</v>
      </c>
      <c r="B35" s="19" t="str">
        <f>Source!F28</f>
        <v>1.50-3203-33-1/1</v>
      </c>
      <c r="C35" s="19" t="str">
        <f>Source!G28</f>
        <v>Установка и разборка инвентарных лесов внутренних трубчатых при высоте помещений до 6 м (без затрат по эксплуатации лесов) (леса/тура)</v>
      </c>
      <c r="D35" s="20" t="str">
        <f>Source!H28</f>
        <v>100 м2</v>
      </c>
      <c r="E35" s="9">
        <f>Source!I28</f>
        <v>0.84899999999999998</v>
      </c>
      <c r="F35" s="22"/>
      <c r="G35" s="21"/>
      <c r="H35" s="9"/>
      <c r="I35" s="9"/>
      <c r="J35" s="22"/>
      <c r="K35" s="22"/>
      <c r="Q35">
        <f>ROUND((Source!BZ28/100)*ROUND((Source!AF28*Source!AV28)*Source!I28, 2), 2)</f>
        <v>23048.1</v>
      </c>
      <c r="R35">
        <f>Source!X28</f>
        <v>23048.1</v>
      </c>
      <c r="S35">
        <f>ROUND((Source!CA28/100)*ROUND((Source!AF28*Source!AV28)*Source!I28, 2), 2)</f>
        <v>3292.59</v>
      </c>
      <c r="T35">
        <f>Source!Y28</f>
        <v>3292.59</v>
      </c>
      <c r="U35">
        <f>ROUND((175/100)*ROUND((Source!AE28*Source!AV28)*Source!I28, 2), 2)</f>
        <v>0</v>
      </c>
      <c r="V35">
        <f>ROUND((108/100)*ROUND(Source!CS28*Source!I28, 2), 2)</f>
        <v>0</v>
      </c>
    </row>
    <row r="36" spans="1:22" x14ac:dyDescent="0.2">
      <c r="C36" s="23" t="str">
        <f>"Объем: "&amp;Source!I28&amp;"=(283*"&amp;"0,3)/"&amp;"100"</f>
        <v>Объем: 0,849=(283*0,3)/100</v>
      </c>
    </row>
    <row r="37" spans="1:22" ht="14.25" x14ac:dyDescent="0.2">
      <c r="A37" s="19"/>
      <c r="B37" s="19"/>
      <c r="C37" s="19" t="s">
        <v>271</v>
      </c>
      <c r="D37" s="20"/>
      <c r="E37" s="9"/>
      <c r="F37" s="22">
        <f>Source!AO28</f>
        <v>38781.93</v>
      </c>
      <c r="G37" s="21" t="str">
        <f>Source!DG28</f>
        <v/>
      </c>
      <c r="H37" s="9">
        <f>Source!AV28</f>
        <v>1</v>
      </c>
      <c r="I37" s="9">
        <f>IF(Source!BA28&lt;&gt; 0, Source!BA28, 1)</f>
        <v>1</v>
      </c>
      <c r="J37" s="22">
        <f>Source!S28</f>
        <v>32925.86</v>
      </c>
      <c r="K37" s="22"/>
    </row>
    <row r="38" spans="1:22" ht="14.25" x14ac:dyDescent="0.2">
      <c r="A38" s="19"/>
      <c r="B38" s="19"/>
      <c r="C38" s="19" t="s">
        <v>272</v>
      </c>
      <c r="D38" s="20"/>
      <c r="E38" s="9"/>
      <c r="F38" s="22">
        <f>Source!AL28</f>
        <v>95.91</v>
      </c>
      <c r="G38" s="21" t="str">
        <f>Source!DD28</f>
        <v/>
      </c>
      <c r="H38" s="9">
        <f>Source!AW28</f>
        <v>1</v>
      </c>
      <c r="I38" s="9">
        <f>IF(Source!BC28&lt;&gt; 0, Source!BC28, 1)</f>
        <v>1</v>
      </c>
      <c r="J38" s="22">
        <f>Source!P28</f>
        <v>81.430000000000007</v>
      </c>
      <c r="K38" s="22"/>
    </row>
    <row r="39" spans="1:22" ht="14.25" x14ac:dyDescent="0.2">
      <c r="A39" s="19"/>
      <c r="B39" s="19"/>
      <c r="C39" s="19" t="s">
        <v>273</v>
      </c>
      <c r="D39" s="20" t="s">
        <v>274</v>
      </c>
      <c r="E39" s="9">
        <f>Source!AT28</f>
        <v>70</v>
      </c>
      <c r="F39" s="22"/>
      <c r="G39" s="21"/>
      <c r="H39" s="9"/>
      <c r="I39" s="9"/>
      <c r="J39" s="22">
        <f>SUM(R35:R38)</f>
        <v>23048.1</v>
      </c>
      <c r="K39" s="22"/>
    </row>
    <row r="40" spans="1:22" ht="14.25" x14ac:dyDescent="0.2">
      <c r="A40" s="19"/>
      <c r="B40" s="19"/>
      <c r="C40" s="19" t="s">
        <v>275</v>
      </c>
      <c r="D40" s="20" t="s">
        <v>274</v>
      </c>
      <c r="E40" s="9">
        <f>Source!AU28</f>
        <v>10</v>
      </c>
      <c r="F40" s="22"/>
      <c r="G40" s="21"/>
      <c r="H40" s="9"/>
      <c r="I40" s="9"/>
      <c r="J40" s="22">
        <f>SUM(T35:T39)</f>
        <v>3292.59</v>
      </c>
      <c r="K40" s="22"/>
    </row>
    <row r="41" spans="1:22" ht="14.25" x14ac:dyDescent="0.2">
      <c r="A41" s="19"/>
      <c r="B41" s="19"/>
      <c r="C41" s="19" t="s">
        <v>276</v>
      </c>
      <c r="D41" s="20" t="s">
        <v>277</v>
      </c>
      <c r="E41" s="9">
        <f>Source!AQ28</f>
        <v>87.17</v>
      </c>
      <c r="F41" s="22"/>
      <c r="G41" s="21" t="str">
        <f>Source!DI28</f>
        <v/>
      </c>
      <c r="H41" s="9">
        <f>Source!AV28</f>
        <v>1</v>
      </c>
      <c r="I41" s="9"/>
      <c r="J41" s="22"/>
      <c r="K41" s="22">
        <f>Source!U28</f>
        <v>74.007329999999996</v>
      </c>
    </row>
    <row r="42" spans="1:22" ht="15" x14ac:dyDescent="0.25">
      <c r="A42" s="26"/>
      <c r="B42" s="26"/>
      <c r="C42" s="26"/>
      <c r="D42" s="26"/>
      <c r="E42" s="26"/>
      <c r="F42" s="26"/>
      <c r="G42" s="26"/>
      <c r="H42" s="26"/>
      <c r="I42" s="63">
        <f>J37+J38+J39+J40</f>
        <v>59347.979999999996</v>
      </c>
      <c r="J42" s="63"/>
      <c r="K42" s="27">
        <f>IF(Source!I28&lt;&gt;0, ROUND(I42/Source!I28, 2), 0)</f>
        <v>69903.39</v>
      </c>
      <c r="P42" s="24">
        <f>I42</f>
        <v>59347.979999999996</v>
      </c>
    </row>
    <row r="43" spans="1:22" ht="42.75" x14ac:dyDescent="0.2">
      <c r="A43" s="19">
        <v>2</v>
      </c>
      <c r="B43" s="19" t="str">
        <f>Source!F29</f>
        <v>22.1-4-70</v>
      </c>
      <c r="C43" s="19" t="str">
        <f>Source!G29</f>
        <v>Леса инвентарные металлические трубчатые на хомутах со щитами ЛСПХ, 100 м2</v>
      </c>
      <c r="D43" s="20" t="str">
        <f>Source!H29</f>
        <v>маш.-ч</v>
      </c>
      <c r="E43" s="9">
        <f>Source!I29</f>
        <v>54.92</v>
      </c>
      <c r="F43" s="22"/>
      <c r="G43" s="21"/>
      <c r="H43" s="9"/>
      <c r="I43" s="9"/>
      <c r="J43" s="22"/>
      <c r="K43" s="22"/>
      <c r="Q43">
        <f>ROUND((Source!BZ29/100)*ROUND((Source!AF29*Source!AV29)*Source!I29, 2), 2)</f>
        <v>0</v>
      </c>
      <c r="R43">
        <f>Source!X29</f>
        <v>0</v>
      </c>
      <c r="S43">
        <f>ROUND((Source!CA29/100)*ROUND((Source!AF29*Source!AV29)*Source!I29, 2), 2)</f>
        <v>0</v>
      </c>
      <c r="T43">
        <f>Source!Y29</f>
        <v>0</v>
      </c>
      <c r="U43">
        <f>ROUND((175/100)*ROUND((Source!AE29*Source!AV29)*Source!I29, 2), 2)</f>
        <v>394.05</v>
      </c>
      <c r="V43">
        <f>ROUND((108/100)*ROUND(Source!CS29*Source!I29, 2), 2)</f>
        <v>243.18</v>
      </c>
    </row>
    <row r="44" spans="1:22" ht="14.25" x14ac:dyDescent="0.2">
      <c r="A44" s="19"/>
      <c r="B44" s="19"/>
      <c r="C44" s="19" t="s">
        <v>278</v>
      </c>
      <c r="D44" s="20"/>
      <c r="E44" s="9"/>
      <c r="F44" s="22">
        <f>Source!AM29</f>
        <v>5.72</v>
      </c>
      <c r="G44" s="21" t="str">
        <f>Source!DE29</f>
        <v/>
      </c>
      <c r="H44" s="9">
        <f>Source!AV29</f>
        <v>1</v>
      </c>
      <c r="I44" s="9">
        <f>IF(Source!BB29&lt;&gt; 0, Source!BB29, 1)</f>
        <v>1</v>
      </c>
      <c r="J44" s="22">
        <f>Source!Q29</f>
        <v>314.14</v>
      </c>
      <c r="K44" s="22"/>
    </row>
    <row r="45" spans="1:22" ht="14.25" x14ac:dyDescent="0.2">
      <c r="A45" s="19"/>
      <c r="B45" s="19"/>
      <c r="C45" s="19" t="s">
        <v>279</v>
      </c>
      <c r="D45" s="20"/>
      <c r="E45" s="9"/>
      <c r="F45" s="22">
        <f>Source!AN29</f>
        <v>4.0999999999999996</v>
      </c>
      <c r="G45" s="21" t="str">
        <f>Source!DF29</f>
        <v/>
      </c>
      <c r="H45" s="9">
        <f>Source!AV29</f>
        <v>1</v>
      </c>
      <c r="I45" s="9">
        <f>IF(Source!BS29&lt;&gt; 0, Source!BS29, 1)</f>
        <v>1</v>
      </c>
      <c r="J45" s="28">
        <f>Source!R29</f>
        <v>225.17</v>
      </c>
      <c r="K45" s="22"/>
    </row>
    <row r="46" spans="1:22" ht="14.25" x14ac:dyDescent="0.2">
      <c r="A46" s="19"/>
      <c r="B46" s="19"/>
      <c r="C46" s="19" t="s">
        <v>280</v>
      </c>
      <c r="D46" s="20" t="s">
        <v>274</v>
      </c>
      <c r="E46" s="9">
        <f>108</f>
        <v>108</v>
      </c>
      <c r="F46" s="22"/>
      <c r="G46" s="21"/>
      <c r="H46" s="9"/>
      <c r="I46" s="9"/>
      <c r="J46" s="22">
        <f>SUM(V43:V45)</f>
        <v>243.18</v>
      </c>
      <c r="K46" s="22"/>
    </row>
    <row r="47" spans="1:22" ht="15" x14ac:dyDescent="0.25">
      <c r="A47" s="26"/>
      <c r="B47" s="26"/>
      <c r="C47" s="26"/>
      <c r="D47" s="26"/>
      <c r="E47" s="26"/>
      <c r="F47" s="26"/>
      <c r="G47" s="26"/>
      <c r="H47" s="26"/>
      <c r="I47" s="63">
        <f>J44+J46</f>
        <v>557.31999999999994</v>
      </c>
      <c r="J47" s="63"/>
      <c r="K47" s="27">
        <f>IF(Source!I29&lt;&gt;0, ROUND(I47/Source!I29, 2), 0)</f>
        <v>10.15</v>
      </c>
      <c r="P47" s="24">
        <f>I47</f>
        <v>557.31999999999994</v>
      </c>
    </row>
    <row r="48" spans="1:22" ht="85.5" x14ac:dyDescent="0.2">
      <c r="A48" s="19">
        <v>3</v>
      </c>
      <c r="B48" s="19" t="str">
        <f>Source!F30</f>
        <v>1.13-3201-23-2/3</v>
      </c>
      <c r="C48" s="19" t="str">
        <f>Source!G30</f>
        <v>Внутренняя окраска водно-дисперсионными акриловыми красками по ранее окрашенным поверхностям стен - с расчисткой старой краски до 35% / краска моющаяся типа ВД-АК-210</v>
      </c>
      <c r="D48" s="20" t="str">
        <f>Source!H30</f>
        <v>100 м2</v>
      </c>
      <c r="E48" s="9">
        <f>Source!I30</f>
        <v>4.4800000000000004</v>
      </c>
      <c r="F48" s="22"/>
      <c r="G48" s="21"/>
      <c r="H48" s="9"/>
      <c r="I48" s="9"/>
      <c r="J48" s="22"/>
      <c r="K48" s="22"/>
      <c r="Q48">
        <f>ROUND((Source!BZ30/100)*ROUND((Source!AF30*Source!AV30)*Source!I30, 2), 2)</f>
        <v>35332.019999999997</v>
      </c>
      <c r="R48">
        <f>Source!X30</f>
        <v>35332.019999999997</v>
      </c>
      <c r="S48">
        <f>ROUND((Source!CA30/100)*ROUND((Source!AF30*Source!AV30)*Source!I30, 2), 2)</f>
        <v>5047.43</v>
      </c>
      <c r="T48">
        <f>Source!Y30</f>
        <v>5047.43</v>
      </c>
      <c r="U48">
        <f>ROUND((175/100)*ROUND((Source!AE30*Source!AV30)*Source!I30, 2), 2)</f>
        <v>0</v>
      </c>
      <c r="V48">
        <f>ROUND((108/100)*ROUND(Source!CS30*Source!I30, 2), 2)</f>
        <v>0</v>
      </c>
    </row>
    <row r="49" spans="1:22" x14ac:dyDescent="0.2">
      <c r="C49" s="23" t="str">
        <f>"Объем: "&amp;Source!I30&amp;"=448/"&amp;"100"</f>
        <v>Объем: 4,48=448/100</v>
      </c>
    </row>
    <row r="50" spans="1:22" ht="14.25" x14ac:dyDescent="0.2">
      <c r="A50" s="19"/>
      <c r="B50" s="19"/>
      <c r="C50" s="19" t="s">
        <v>271</v>
      </c>
      <c r="D50" s="20"/>
      <c r="E50" s="9"/>
      <c r="F50" s="22">
        <f>Source!AO30</f>
        <v>11266.59</v>
      </c>
      <c r="G50" s="21" t="str">
        <f>Source!DG30</f>
        <v/>
      </c>
      <c r="H50" s="9">
        <f>Source!AV30</f>
        <v>1</v>
      </c>
      <c r="I50" s="9">
        <f>IF(Source!BA30&lt;&gt; 0, Source!BA30, 1)</f>
        <v>1</v>
      </c>
      <c r="J50" s="22">
        <f>Source!S30</f>
        <v>50474.32</v>
      </c>
      <c r="K50" s="22"/>
    </row>
    <row r="51" spans="1:22" ht="14.25" x14ac:dyDescent="0.2">
      <c r="A51" s="19"/>
      <c r="B51" s="19"/>
      <c r="C51" s="19" t="s">
        <v>272</v>
      </c>
      <c r="D51" s="20"/>
      <c r="E51" s="9"/>
      <c r="F51" s="22">
        <f>Source!AL30</f>
        <v>7258.13</v>
      </c>
      <c r="G51" s="21" t="str">
        <f>Source!DD30</f>
        <v/>
      </c>
      <c r="H51" s="9">
        <f>Source!AW30</f>
        <v>1</v>
      </c>
      <c r="I51" s="9">
        <f>IF(Source!BC30&lt;&gt; 0, Source!BC30, 1)</f>
        <v>1</v>
      </c>
      <c r="J51" s="22">
        <f>Source!P30</f>
        <v>32516.42</v>
      </c>
      <c r="K51" s="22"/>
    </row>
    <row r="52" spans="1:22" ht="28.5" x14ac:dyDescent="0.2">
      <c r="A52" s="19" t="s">
        <v>32</v>
      </c>
      <c r="B52" s="19" t="str">
        <f>Source!F31</f>
        <v>21.1-6-103</v>
      </c>
      <c r="C52" s="19" t="str">
        <f>Source!G31</f>
        <v>Пигменты сухие для красок, охра золотистая</v>
      </c>
      <c r="D52" s="20" t="str">
        <f>Source!H31</f>
        <v>т</v>
      </c>
      <c r="E52" s="9">
        <f>Source!I31</f>
        <v>7.6160000000000004E-3</v>
      </c>
      <c r="F52" s="22">
        <f>Source!AK31</f>
        <v>198992.34</v>
      </c>
      <c r="G52" s="29" t="s">
        <v>3</v>
      </c>
      <c r="H52" s="9">
        <f>Source!AW31</f>
        <v>1</v>
      </c>
      <c r="I52" s="9">
        <f>IF(Source!BC31&lt;&gt; 0, Source!BC31, 1)</f>
        <v>1</v>
      </c>
      <c r="J52" s="22">
        <f>Source!O31</f>
        <v>1515.53</v>
      </c>
      <c r="K52" s="22"/>
      <c r="Q52">
        <f>ROUND((Source!BZ31/100)*ROUND((Source!AF31*Source!AV31)*Source!I31, 2), 2)</f>
        <v>0</v>
      </c>
      <c r="R52">
        <f>Source!X31</f>
        <v>0</v>
      </c>
      <c r="S52">
        <f>ROUND((Source!CA31/100)*ROUND((Source!AF31*Source!AV31)*Source!I31, 2), 2)</f>
        <v>0</v>
      </c>
      <c r="T52">
        <f>Source!Y31</f>
        <v>0</v>
      </c>
      <c r="U52">
        <f>ROUND((175/100)*ROUND((Source!AE31*Source!AV31)*Source!I31, 2), 2)</f>
        <v>0</v>
      </c>
      <c r="V52">
        <f>ROUND((108/100)*ROUND(Source!CS31*Source!I31, 2), 2)</f>
        <v>0</v>
      </c>
    </row>
    <row r="53" spans="1:22" ht="14.25" x14ac:dyDescent="0.2">
      <c r="A53" s="19"/>
      <c r="B53" s="19"/>
      <c r="C53" s="19" t="s">
        <v>273</v>
      </c>
      <c r="D53" s="20" t="s">
        <v>274</v>
      </c>
      <c r="E53" s="9">
        <f>Source!AT30</f>
        <v>70</v>
      </c>
      <c r="F53" s="22"/>
      <c r="G53" s="21"/>
      <c r="H53" s="9"/>
      <c r="I53" s="9"/>
      <c r="J53" s="22">
        <f>SUM(R48:R52)</f>
        <v>35332.019999999997</v>
      </c>
      <c r="K53" s="22"/>
    </row>
    <row r="54" spans="1:22" ht="14.25" x14ac:dyDescent="0.2">
      <c r="A54" s="19"/>
      <c r="B54" s="19"/>
      <c r="C54" s="19" t="s">
        <v>275</v>
      </c>
      <c r="D54" s="20" t="s">
        <v>274</v>
      </c>
      <c r="E54" s="9">
        <f>Source!AU30</f>
        <v>10</v>
      </c>
      <c r="F54" s="22"/>
      <c r="G54" s="21"/>
      <c r="H54" s="9"/>
      <c r="I54" s="9"/>
      <c r="J54" s="22">
        <f>SUM(T48:T53)</f>
        <v>5047.43</v>
      </c>
      <c r="K54" s="22"/>
    </row>
    <row r="55" spans="1:22" ht="14.25" x14ac:dyDescent="0.2">
      <c r="A55" s="19"/>
      <c r="B55" s="19"/>
      <c r="C55" s="19" t="s">
        <v>276</v>
      </c>
      <c r="D55" s="20" t="s">
        <v>277</v>
      </c>
      <c r="E55" s="9">
        <f>Source!AQ30</f>
        <v>24.52</v>
      </c>
      <c r="F55" s="22"/>
      <c r="G55" s="21" t="str">
        <f>Source!DI30</f>
        <v/>
      </c>
      <c r="H55" s="9">
        <f>Source!AV30</f>
        <v>1</v>
      </c>
      <c r="I55" s="9"/>
      <c r="J55" s="22"/>
      <c r="K55" s="22">
        <f>Source!U30</f>
        <v>109.84960000000001</v>
      </c>
    </row>
    <row r="56" spans="1:22" ht="15" x14ac:dyDescent="0.25">
      <c r="A56" s="26"/>
      <c r="B56" s="26"/>
      <c r="C56" s="26"/>
      <c r="D56" s="26"/>
      <c r="E56" s="26"/>
      <c r="F56" s="26"/>
      <c r="G56" s="26"/>
      <c r="H56" s="26"/>
      <c r="I56" s="63">
        <f>J50+J51+J53+J54+SUM(J52:J52)</f>
        <v>124885.71999999997</v>
      </c>
      <c r="J56" s="63"/>
      <c r="K56" s="27">
        <f>IF(Source!I30&lt;&gt;0, ROUND(I56/Source!I30, 2), 0)</f>
        <v>27876.28</v>
      </c>
      <c r="P56" s="24">
        <f>I56</f>
        <v>124885.71999999997</v>
      </c>
    </row>
    <row r="57" spans="1:22" ht="28.5" x14ac:dyDescent="0.2">
      <c r="A57" s="19">
        <v>4</v>
      </c>
      <c r="B57" s="19" t="str">
        <f>Source!F32</f>
        <v>1.50-3205-6-2/1</v>
      </c>
      <c r="C57" s="19" t="str">
        <f>Source!G32</f>
        <v>Покрытие полиэтиленовой пленкой поверхности полов</v>
      </c>
      <c r="D57" s="20" t="str">
        <f>Source!H32</f>
        <v>100 м2</v>
      </c>
      <c r="E57" s="9">
        <f>Source!I32</f>
        <v>2.83</v>
      </c>
      <c r="F57" s="22"/>
      <c r="G57" s="21"/>
      <c r="H57" s="9"/>
      <c r="I57" s="9"/>
      <c r="J57" s="22"/>
      <c r="K57" s="22"/>
      <c r="Q57">
        <f>ROUND((Source!BZ32/100)*ROUND((Source!AF32*Source!AV32)*Source!I32, 2), 2)</f>
        <v>2321.08</v>
      </c>
      <c r="R57">
        <f>Source!X32</f>
        <v>2321.08</v>
      </c>
      <c r="S57">
        <f>ROUND((Source!CA32/100)*ROUND((Source!AF32*Source!AV32)*Source!I32, 2), 2)</f>
        <v>331.58</v>
      </c>
      <c r="T57">
        <f>Source!Y32</f>
        <v>331.58</v>
      </c>
      <c r="U57">
        <f>ROUND((175/100)*ROUND((Source!AE32*Source!AV32)*Source!I32, 2), 2)</f>
        <v>0</v>
      </c>
      <c r="V57">
        <f>ROUND((108/100)*ROUND(Source!CS32*Source!I32, 2), 2)</f>
        <v>0</v>
      </c>
    </row>
    <row r="58" spans="1:22" x14ac:dyDescent="0.2">
      <c r="C58" s="23" t="str">
        <f>"Объем: "&amp;Source!I32&amp;"=283/"&amp;"100"</f>
        <v>Объем: 2,83=283/100</v>
      </c>
    </row>
    <row r="59" spans="1:22" ht="14.25" x14ac:dyDescent="0.2">
      <c r="A59" s="19"/>
      <c r="B59" s="19"/>
      <c r="C59" s="19" t="s">
        <v>271</v>
      </c>
      <c r="D59" s="20"/>
      <c r="E59" s="9"/>
      <c r="F59" s="22">
        <f>Source!AO32</f>
        <v>1171.67</v>
      </c>
      <c r="G59" s="21" t="str">
        <f>Source!DG32</f>
        <v/>
      </c>
      <c r="H59" s="9">
        <f>Source!AV32</f>
        <v>1</v>
      </c>
      <c r="I59" s="9">
        <f>IF(Source!BA32&lt;&gt; 0, Source!BA32, 1)</f>
        <v>1</v>
      </c>
      <c r="J59" s="22">
        <f>Source!S32</f>
        <v>3315.83</v>
      </c>
      <c r="K59" s="22"/>
    </row>
    <row r="60" spans="1:22" ht="14.25" x14ac:dyDescent="0.2">
      <c r="A60" s="19"/>
      <c r="B60" s="19"/>
      <c r="C60" s="19" t="s">
        <v>272</v>
      </c>
      <c r="D60" s="20"/>
      <c r="E60" s="9"/>
      <c r="F60" s="22">
        <f>Source!AL32</f>
        <v>1426.76</v>
      </c>
      <c r="G60" s="21" t="str">
        <f>Source!DD32</f>
        <v/>
      </c>
      <c r="H60" s="9">
        <f>Source!AW32</f>
        <v>1</v>
      </c>
      <c r="I60" s="9">
        <f>IF(Source!BC32&lt;&gt; 0, Source!BC32, 1)</f>
        <v>1</v>
      </c>
      <c r="J60" s="22">
        <f>Source!P32</f>
        <v>4037.73</v>
      </c>
      <c r="K60" s="22"/>
    </row>
    <row r="61" spans="1:22" ht="14.25" x14ac:dyDescent="0.2">
      <c r="A61" s="19"/>
      <c r="B61" s="19"/>
      <c r="C61" s="19" t="s">
        <v>273</v>
      </c>
      <c r="D61" s="20" t="s">
        <v>274</v>
      </c>
      <c r="E61" s="9">
        <f>Source!AT32</f>
        <v>70</v>
      </c>
      <c r="F61" s="22"/>
      <c r="G61" s="21"/>
      <c r="H61" s="9"/>
      <c r="I61" s="9"/>
      <c r="J61" s="22">
        <f>SUM(R57:R60)</f>
        <v>2321.08</v>
      </c>
      <c r="K61" s="22"/>
    </row>
    <row r="62" spans="1:22" ht="14.25" x14ac:dyDescent="0.2">
      <c r="A62" s="19"/>
      <c r="B62" s="19"/>
      <c r="C62" s="19" t="s">
        <v>275</v>
      </c>
      <c r="D62" s="20" t="s">
        <v>274</v>
      </c>
      <c r="E62" s="9">
        <f>Source!AU32</f>
        <v>10</v>
      </c>
      <c r="F62" s="22"/>
      <c r="G62" s="21"/>
      <c r="H62" s="9"/>
      <c r="I62" s="9"/>
      <c r="J62" s="22">
        <f>SUM(T57:T61)</f>
        <v>331.58</v>
      </c>
      <c r="K62" s="22"/>
    </row>
    <row r="63" spans="1:22" ht="14.25" x14ac:dyDescent="0.2">
      <c r="A63" s="19"/>
      <c r="B63" s="19"/>
      <c r="C63" s="19" t="s">
        <v>276</v>
      </c>
      <c r="D63" s="20" t="s">
        <v>277</v>
      </c>
      <c r="E63" s="9">
        <f>Source!AQ32</f>
        <v>3.01</v>
      </c>
      <c r="F63" s="22"/>
      <c r="G63" s="21" t="str">
        <f>Source!DI32</f>
        <v/>
      </c>
      <c r="H63" s="9">
        <f>Source!AV32</f>
        <v>1</v>
      </c>
      <c r="I63" s="9"/>
      <c r="J63" s="22"/>
      <c r="K63" s="22">
        <f>Source!U32</f>
        <v>8.5183</v>
      </c>
    </row>
    <row r="64" spans="1:22" ht="15" x14ac:dyDescent="0.25">
      <c r="A64" s="26"/>
      <c r="B64" s="26"/>
      <c r="C64" s="26"/>
      <c r="D64" s="26"/>
      <c r="E64" s="26"/>
      <c r="F64" s="26"/>
      <c r="G64" s="26"/>
      <c r="H64" s="26"/>
      <c r="I64" s="63">
        <f>J59+J60+J61+J62</f>
        <v>10006.219999999999</v>
      </c>
      <c r="J64" s="63"/>
      <c r="K64" s="27">
        <f>IF(Source!I32&lt;&gt;0, ROUND(I64/Source!I32, 2), 0)</f>
        <v>3535.77</v>
      </c>
      <c r="P64" s="24">
        <f>I64</f>
        <v>10006.219999999999</v>
      </c>
    </row>
    <row r="65" spans="1:22" ht="28.5" x14ac:dyDescent="0.2">
      <c r="A65" s="19">
        <v>5</v>
      </c>
      <c r="B65" s="19" t="str">
        <f>Source!F33</f>
        <v>1.50-3205-7-2/1</v>
      </c>
      <c r="C65" s="19" t="str">
        <f>Source!G33</f>
        <v>Снятие полиэтиленовой пленки с поверхности полов</v>
      </c>
      <c r="D65" s="20" t="str">
        <f>Source!H33</f>
        <v>100 м2</v>
      </c>
      <c r="E65" s="9">
        <f>Source!I33</f>
        <v>2.83</v>
      </c>
      <c r="F65" s="22"/>
      <c r="G65" s="21"/>
      <c r="H65" s="9"/>
      <c r="I65" s="9"/>
      <c r="J65" s="22"/>
      <c r="K65" s="22"/>
      <c r="Q65">
        <f>ROUND((Source!BZ33/100)*ROUND((Source!AF33*Source!AV33)*Source!I33, 2), 2)</f>
        <v>1950.95</v>
      </c>
      <c r="R65">
        <f>Source!X33</f>
        <v>1950.95</v>
      </c>
      <c r="S65">
        <f>ROUND((Source!CA33/100)*ROUND((Source!AF33*Source!AV33)*Source!I33, 2), 2)</f>
        <v>278.70999999999998</v>
      </c>
      <c r="T65">
        <f>Source!Y33</f>
        <v>278.70999999999998</v>
      </c>
      <c r="U65">
        <f>ROUND((175/100)*ROUND((Source!AE33*Source!AV33)*Source!I33, 2), 2)</f>
        <v>0</v>
      </c>
      <c r="V65">
        <f>ROUND((108/100)*ROUND(Source!CS33*Source!I33, 2), 2)</f>
        <v>0</v>
      </c>
    </row>
    <row r="66" spans="1:22" x14ac:dyDescent="0.2">
      <c r="C66" s="23" t="str">
        <f>"Объем: "&amp;Source!I33&amp;"=283/"&amp;"100"</f>
        <v>Объем: 2,83=283/100</v>
      </c>
    </row>
    <row r="67" spans="1:22" ht="14.25" x14ac:dyDescent="0.2">
      <c r="A67" s="19"/>
      <c r="B67" s="19"/>
      <c r="C67" s="19" t="s">
        <v>271</v>
      </c>
      <c r="D67" s="20"/>
      <c r="E67" s="9"/>
      <c r="F67" s="22">
        <f>Source!AO33</f>
        <v>984.83</v>
      </c>
      <c r="G67" s="21" t="str">
        <f>Source!DG33</f>
        <v/>
      </c>
      <c r="H67" s="9">
        <f>Source!AV33</f>
        <v>1</v>
      </c>
      <c r="I67" s="9">
        <f>IF(Source!BA33&lt;&gt; 0, Source!BA33, 1)</f>
        <v>1</v>
      </c>
      <c r="J67" s="22">
        <f>Source!S33</f>
        <v>2787.07</v>
      </c>
      <c r="K67" s="22"/>
    </row>
    <row r="68" spans="1:22" ht="14.25" x14ac:dyDescent="0.2">
      <c r="A68" s="19"/>
      <c r="B68" s="19"/>
      <c r="C68" s="19" t="s">
        <v>273</v>
      </c>
      <c r="D68" s="20" t="s">
        <v>274</v>
      </c>
      <c r="E68" s="9">
        <f>Source!AT33</f>
        <v>70</v>
      </c>
      <c r="F68" s="22"/>
      <c r="G68" s="21"/>
      <c r="H68" s="9"/>
      <c r="I68" s="9"/>
      <c r="J68" s="22">
        <f>SUM(R65:R67)</f>
        <v>1950.95</v>
      </c>
      <c r="K68" s="22"/>
    </row>
    <row r="69" spans="1:22" ht="14.25" x14ac:dyDescent="0.2">
      <c r="A69" s="19"/>
      <c r="B69" s="19"/>
      <c r="C69" s="19" t="s">
        <v>275</v>
      </c>
      <c r="D69" s="20" t="s">
        <v>274</v>
      </c>
      <c r="E69" s="9">
        <f>Source!AU33</f>
        <v>10</v>
      </c>
      <c r="F69" s="22"/>
      <c r="G69" s="21"/>
      <c r="H69" s="9"/>
      <c r="I69" s="9"/>
      <c r="J69" s="22">
        <f>SUM(T65:T68)</f>
        <v>278.70999999999998</v>
      </c>
      <c r="K69" s="22"/>
    </row>
    <row r="70" spans="1:22" ht="14.25" x14ac:dyDescent="0.2">
      <c r="A70" s="19"/>
      <c r="B70" s="19"/>
      <c r="C70" s="19" t="s">
        <v>276</v>
      </c>
      <c r="D70" s="20" t="s">
        <v>277</v>
      </c>
      <c r="E70" s="9">
        <f>Source!AQ33</f>
        <v>2.5299999999999998</v>
      </c>
      <c r="F70" s="22"/>
      <c r="G70" s="21" t="str">
        <f>Source!DI33</f>
        <v/>
      </c>
      <c r="H70" s="9">
        <f>Source!AV33</f>
        <v>1</v>
      </c>
      <c r="I70" s="9"/>
      <c r="J70" s="22"/>
      <c r="K70" s="22">
        <f>Source!U33</f>
        <v>7.1598999999999995</v>
      </c>
    </row>
    <row r="71" spans="1:22" ht="15" x14ac:dyDescent="0.25">
      <c r="A71" s="26"/>
      <c r="B71" s="26"/>
      <c r="C71" s="26"/>
      <c r="D71" s="26"/>
      <c r="E71" s="26"/>
      <c r="F71" s="26"/>
      <c r="G71" s="26"/>
      <c r="H71" s="26"/>
      <c r="I71" s="63">
        <f>J67+J68+J69</f>
        <v>5016.7300000000005</v>
      </c>
      <c r="J71" s="63"/>
      <c r="K71" s="27">
        <f>IF(Source!I33&lt;&gt;0, ROUND(I71/Source!I33, 2), 0)</f>
        <v>1772.7</v>
      </c>
      <c r="P71" s="24">
        <f>I71</f>
        <v>5016.7300000000005</v>
      </c>
    </row>
    <row r="73" spans="1:22" ht="15" x14ac:dyDescent="0.25">
      <c r="A73" s="61" t="str">
        <f>CONCATENATE("Итого по разделу: ",IF(Source!G35&lt;&gt;"Новый раздел", Source!G35, ""))</f>
        <v>Итого по разделу: Спортивный зал большой</v>
      </c>
      <c r="B73" s="61"/>
      <c r="C73" s="61"/>
      <c r="D73" s="61"/>
      <c r="E73" s="61"/>
      <c r="F73" s="61"/>
      <c r="G73" s="61"/>
      <c r="H73" s="61"/>
      <c r="I73" s="64">
        <f>SUM(P34:P72)</f>
        <v>199813.96999999997</v>
      </c>
      <c r="J73" s="65"/>
      <c r="K73" s="30"/>
    </row>
    <row r="76" spans="1:22" ht="16.5" x14ac:dyDescent="0.25">
      <c r="A76" s="62" t="str">
        <f>CONCATENATE("Раздел: ",IF(Source!G65&lt;&gt;"Новый раздел", Source!G65, ""))</f>
        <v>Раздел: Спортивный зал малый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22" ht="57" x14ac:dyDescent="0.2">
      <c r="A77" s="19">
        <v>6</v>
      </c>
      <c r="B77" s="19" t="str">
        <f>Source!F69</f>
        <v>1.50-3203-33-1/1</v>
      </c>
      <c r="C77" s="19" t="str">
        <f>Source!G69</f>
        <v>Установка и разборка инвентарных лесов внутренних трубчатых при высоте помещений до 6 м (без затрат по эксплуатации лесов) (леса/тура)</v>
      </c>
      <c r="D77" s="20" t="str">
        <f>Source!H69</f>
        <v>100 м2</v>
      </c>
      <c r="E77" s="9">
        <f>Source!I69</f>
        <v>0.39</v>
      </c>
      <c r="F77" s="22"/>
      <c r="G77" s="21"/>
      <c r="H77" s="9"/>
      <c r="I77" s="9"/>
      <c r="J77" s="22"/>
      <c r="K77" s="22"/>
      <c r="Q77">
        <f>ROUND((Source!BZ69/100)*ROUND((Source!AF69*Source!AV69)*Source!I69, 2), 2)</f>
        <v>10587.47</v>
      </c>
      <c r="R77">
        <f>Source!X69</f>
        <v>10587.47</v>
      </c>
      <c r="S77">
        <f>ROUND((Source!CA69/100)*ROUND((Source!AF69*Source!AV69)*Source!I69, 2), 2)</f>
        <v>1512.5</v>
      </c>
      <c r="T77">
        <f>Source!Y69</f>
        <v>1512.5</v>
      </c>
      <c r="U77">
        <f>ROUND((175/100)*ROUND((Source!AE69*Source!AV69)*Source!I69, 2), 2)</f>
        <v>0</v>
      </c>
      <c r="V77">
        <f>ROUND((108/100)*ROUND(Source!CS69*Source!I69, 2), 2)</f>
        <v>0</v>
      </c>
    </row>
    <row r="78" spans="1:22" x14ac:dyDescent="0.2">
      <c r="C78" s="23" t="str">
        <f>"Объем: "&amp;Source!I69&amp;"=(130*"&amp;"0,3)/"&amp;"100"</f>
        <v>Объем: 0,39=(130*0,3)/100</v>
      </c>
    </row>
    <row r="79" spans="1:22" ht="14.25" x14ac:dyDescent="0.2">
      <c r="A79" s="19"/>
      <c r="B79" s="19"/>
      <c r="C79" s="19" t="s">
        <v>271</v>
      </c>
      <c r="D79" s="20"/>
      <c r="E79" s="9"/>
      <c r="F79" s="22">
        <f>Source!AO69</f>
        <v>38781.93</v>
      </c>
      <c r="G79" s="21" t="str">
        <f>Source!DG69</f>
        <v/>
      </c>
      <c r="H79" s="9">
        <f>Source!AV69</f>
        <v>1</v>
      </c>
      <c r="I79" s="9">
        <f>IF(Source!BA69&lt;&gt; 0, Source!BA69, 1)</f>
        <v>1</v>
      </c>
      <c r="J79" s="22">
        <f>Source!S69</f>
        <v>15124.95</v>
      </c>
      <c r="K79" s="22"/>
    </row>
    <row r="80" spans="1:22" ht="14.25" x14ac:dyDescent="0.2">
      <c r="A80" s="19"/>
      <c r="B80" s="19"/>
      <c r="C80" s="19" t="s">
        <v>272</v>
      </c>
      <c r="D80" s="20"/>
      <c r="E80" s="9"/>
      <c r="F80" s="22">
        <f>Source!AL69</f>
        <v>95.91</v>
      </c>
      <c r="G80" s="21" t="str">
        <f>Source!DD69</f>
        <v/>
      </c>
      <c r="H80" s="9">
        <f>Source!AW69</f>
        <v>1</v>
      </c>
      <c r="I80" s="9">
        <f>IF(Source!BC69&lt;&gt; 0, Source!BC69, 1)</f>
        <v>1</v>
      </c>
      <c r="J80" s="22">
        <f>Source!P69</f>
        <v>37.4</v>
      </c>
      <c r="K80" s="22"/>
    </row>
    <row r="81" spans="1:22" ht="14.25" x14ac:dyDescent="0.2">
      <c r="A81" s="19"/>
      <c r="B81" s="19"/>
      <c r="C81" s="19" t="s">
        <v>273</v>
      </c>
      <c r="D81" s="20" t="s">
        <v>274</v>
      </c>
      <c r="E81" s="9">
        <f>Source!AT69</f>
        <v>70</v>
      </c>
      <c r="F81" s="22"/>
      <c r="G81" s="21"/>
      <c r="H81" s="9"/>
      <c r="I81" s="9"/>
      <c r="J81" s="22">
        <f>SUM(R77:R80)</f>
        <v>10587.47</v>
      </c>
      <c r="K81" s="22"/>
    </row>
    <row r="82" spans="1:22" ht="14.25" x14ac:dyDescent="0.2">
      <c r="A82" s="19"/>
      <c r="B82" s="19"/>
      <c r="C82" s="19" t="s">
        <v>275</v>
      </c>
      <c r="D82" s="20" t="s">
        <v>274</v>
      </c>
      <c r="E82" s="9">
        <f>Source!AU69</f>
        <v>10</v>
      </c>
      <c r="F82" s="22"/>
      <c r="G82" s="21"/>
      <c r="H82" s="9"/>
      <c r="I82" s="9"/>
      <c r="J82" s="22">
        <f>SUM(T77:T81)</f>
        <v>1512.5</v>
      </c>
      <c r="K82" s="22"/>
    </row>
    <row r="83" spans="1:22" ht="14.25" x14ac:dyDescent="0.2">
      <c r="A83" s="19"/>
      <c r="B83" s="19"/>
      <c r="C83" s="19" t="s">
        <v>276</v>
      </c>
      <c r="D83" s="20" t="s">
        <v>277</v>
      </c>
      <c r="E83" s="9">
        <f>Source!AQ69</f>
        <v>87.17</v>
      </c>
      <c r="F83" s="22"/>
      <c r="G83" s="21" t="str">
        <f>Source!DI69</f>
        <v/>
      </c>
      <c r="H83" s="9">
        <f>Source!AV69</f>
        <v>1</v>
      </c>
      <c r="I83" s="9"/>
      <c r="J83" s="22"/>
      <c r="K83" s="22">
        <f>Source!U69</f>
        <v>33.996300000000005</v>
      </c>
    </row>
    <row r="84" spans="1:22" ht="15" x14ac:dyDescent="0.25">
      <c r="A84" s="26"/>
      <c r="B84" s="26"/>
      <c r="C84" s="26"/>
      <c r="D84" s="26"/>
      <c r="E84" s="26"/>
      <c r="F84" s="26"/>
      <c r="G84" s="26"/>
      <c r="H84" s="26"/>
      <c r="I84" s="63">
        <f>J79+J80+J81+J82</f>
        <v>27262.32</v>
      </c>
      <c r="J84" s="63"/>
      <c r="K84" s="27">
        <f>IF(Source!I69&lt;&gt;0, ROUND(I84/Source!I69, 2), 0)</f>
        <v>69903.38</v>
      </c>
      <c r="P84" s="24">
        <f>I84</f>
        <v>27262.32</v>
      </c>
    </row>
    <row r="85" spans="1:22" ht="42.75" x14ac:dyDescent="0.2">
      <c r="A85" s="19">
        <v>7</v>
      </c>
      <c r="B85" s="19" t="str">
        <f>Source!F70</f>
        <v>22.1-4-70</v>
      </c>
      <c r="C85" s="19" t="str">
        <f>Source!G70</f>
        <v>Леса инвентарные металлические трубчатые на хомутах со щитами ЛСПХ, 100 м2</v>
      </c>
      <c r="D85" s="20" t="str">
        <f>Source!H70</f>
        <v>маш.-ч</v>
      </c>
      <c r="E85" s="9">
        <f>Source!I70</f>
        <v>101.2</v>
      </c>
      <c r="F85" s="22"/>
      <c r="G85" s="21"/>
      <c r="H85" s="9"/>
      <c r="I85" s="9"/>
      <c r="J85" s="22"/>
      <c r="K85" s="22"/>
      <c r="Q85">
        <f>ROUND((Source!BZ70/100)*ROUND((Source!AF70*Source!AV70)*Source!I70, 2), 2)</f>
        <v>0</v>
      </c>
      <c r="R85">
        <f>Source!X70</f>
        <v>0</v>
      </c>
      <c r="S85">
        <f>ROUND((Source!CA70/100)*ROUND((Source!AF70*Source!AV70)*Source!I70, 2), 2)</f>
        <v>0</v>
      </c>
      <c r="T85">
        <f>Source!Y70</f>
        <v>0</v>
      </c>
      <c r="U85">
        <f>ROUND((175/100)*ROUND((Source!AE70*Source!AV70)*Source!I70, 2), 2)</f>
        <v>726.11</v>
      </c>
      <c r="V85">
        <f>ROUND((108/100)*ROUND(Source!CS70*Source!I70, 2), 2)</f>
        <v>448.11</v>
      </c>
    </row>
    <row r="86" spans="1:22" ht="14.25" x14ac:dyDescent="0.2">
      <c r="A86" s="19"/>
      <c r="B86" s="19"/>
      <c r="C86" s="19" t="s">
        <v>278</v>
      </c>
      <c r="D86" s="20"/>
      <c r="E86" s="9"/>
      <c r="F86" s="22">
        <f>Source!AM70</f>
        <v>5.72</v>
      </c>
      <c r="G86" s="21" t="str">
        <f>Source!DE70</f>
        <v/>
      </c>
      <c r="H86" s="9">
        <f>Source!AV70</f>
        <v>1</v>
      </c>
      <c r="I86" s="9">
        <f>IF(Source!BB70&lt;&gt; 0, Source!BB70, 1)</f>
        <v>1</v>
      </c>
      <c r="J86" s="22">
        <f>Source!Q70</f>
        <v>578.86</v>
      </c>
      <c r="K86" s="22"/>
    </row>
    <row r="87" spans="1:22" ht="14.25" x14ac:dyDescent="0.2">
      <c r="A87" s="19"/>
      <c r="B87" s="19"/>
      <c r="C87" s="19" t="s">
        <v>279</v>
      </c>
      <c r="D87" s="20"/>
      <c r="E87" s="9"/>
      <c r="F87" s="22">
        <f>Source!AN70</f>
        <v>4.0999999999999996</v>
      </c>
      <c r="G87" s="21" t="str">
        <f>Source!DF70</f>
        <v/>
      </c>
      <c r="H87" s="9">
        <f>Source!AV70</f>
        <v>1</v>
      </c>
      <c r="I87" s="9">
        <f>IF(Source!BS70&lt;&gt; 0, Source!BS70, 1)</f>
        <v>1</v>
      </c>
      <c r="J87" s="28">
        <f>Source!R70</f>
        <v>414.92</v>
      </c>
      <c r="K87" s="22"/>
    </row>
    <row r="88" spans="1:22" ht="14.25" x14ac:dyDescent="0.2">
      <c r="A88" s="19"/>
      <c r="B88" s="19"/>
      <c r="C88" s="19" t="s">
        <v>280</v>
      </c>
      <c r="D88" s="20" t="s">
        <v>274</v>
      </c>
      <c r="E88" s="9">
        <f>108</f>
        <v>108</v>
      </c>
      <c r="F88" s="22"/>
      <c r="G88" s="21"/>
      <c r="H88" s="9"/>
      <c r="I88" s="9"/>
      <c r="J88" s="22">
        <f>SUM(V85:V87)</f>
        <v>448.11</v>
      </c>
      <c r="K88" s="22"/>
    </row>
    <row r="89" spans="1:22" ht="15" x14ac:dyDescent="0.25">
      <c r="A89" s="26"/>
      <c r="B89" s="26"/>
      <c r="C89" s="26"/>
      <c r="D89" s="26"/>
      <c r="E89" s="26"/>
      <c r="F89" s="26"/>
      <c r="G89" s="26"/>
      <c r="H89" s="26"/>
      <c r="I89" s="63">
        <f>J86+J88</f>
        <v>1026.97</v>
      </c>
      <c r="J89" s="63"/>
      <c r="K89" s="27">
        <f>IF(Source!I70&lt;&gt;0, ROUND(I89/Source!I70, 2), 0)</f>
        <v>10.15</v>
      </c>
      <c r="P89" s="24">
        <f>I89</f>
        <v>1026.97</v>
      </c>
    </row>
    <row r="90" spans="1:22" ht="85.5" x14ac:dyDescent="0.2">
      <c r="A90" s="19">
        <v>8</v>
      </c>
      <c r="B90" s="19" t="str">
        <f>Source!F71</f>
        <v>1.13-3201-23-2/3</v>
      </c>
      <c r="C90" s="19" t="str">
        <f>Source!G71</f>
        <v>Внутренняя окраска водно-дисперсионными акриловыми красками по ранее окрашенным поверхностям стен - с расчисткой старой краски до 35% / краска моющаяся типа ВД-АК-210</v>
      </c>
      <c r="D90" s="20" t="str">
        <f>Source!H71</f>
        <v>100 м2</v>
      </c>
      <c r="E90" s="9">
        <f>Source!I71</f>
        <v>2.9</v>
      </c>
      <c r="F90" s="22"/>
      <c r="G90" s="21"/>
      <c r="H90" s="9"/>
      <c r="I90" s="9"/>
      <c r="J90" s="22"/>
      <c r="K90" s="22"/>
      <c r="Q90">
        <f>ROUND((Source!BZ71/100)*ROUND((Source!AF71*Source!AV71)*Source!I71, 2), 2)</f>
        <v>22871.18</v>
      </c>
      <c r="R90">
        <f>Source!X71</f>
        <v>22871.18</v>
      </c>
      <c r="S90">
        <f>ROUND((Source!CA71/100)*ROUND((Source!AF71*Source!AV71)*Source!I71, 2), 2)</f>
        <v>3267.31</v>
      </c>
      <c r="T90">
        <f>Source!Y71</f>
        <v>3267.31</v>
      </c>
      <c r="U90">
        <f>ROUND((175/100)*ROUND((Source!AE71*Source!AV71)*Source!I71, 2), 2)</f>
        <v>0</v>
      </c>
      <c r="V90">
        <f>ROUND((108/100)*ROUND(Source!CS71*Source!I71, 2), 2)</f>
        <v>0</v>
      </c>
    </row>
    <row r="91" spans="1:22" x14ac:dyDescent="0.2">
      <c r="C91" s="23" t="str">
        <f>"Объем: "&amp;Source!I71&amp;"=290/"&amp;"100"</f>
        <v>Объем: 2,9=290/100</v>
      </c>
    </row>
    <row r="92" spans="1:22" ht="14.25" x14ac:dyDescent="0.2">
      <c r="A92" s="19"/>
      <c r="B92" s="19"/>
      <c r="C92" s="19" t="s">
        <v>271</v>
      </c>
      <c r="D92" s="20"/>
      <c r="E92" s="9"/>
      <c r="F92" s="22">
        <f>Source!AO71</f>
        <v>11266.59</v>
      </c>
      <c r="G92" s="21" t="str">
        <f>Source!DG71</f>
        <v/>
      </c>
      <c r="H92" s="9">
        <f>Source!AV71</f>
        <v>1</v>
      </c>
      <c r="I92" s="9">
        <f>IF(Source!BA71&lt;&gt; 0, Source!BA71, 1)</f>
        <v>1</v>
      </c>
      <c r="J92" s="22">
        <f>Source!S71</f>
        <v>32673.11</v>
      </c>
      <c r="K92" s="22"/>
    </row>
    <row r="93" spans="1:22" ht="14.25" x14ac:dyDescent="0.2">
      <c r="A93" s="19"/>
      <c r="B93" s="19"/>
      <c r="C93" s="19" t="s">
        <v>272</v>
      </c>
      <c r="D93" s="20"/>
      <c r="E93" s="9"/>
      <c r="F93" s="22">
        <f>Source!AL71</f>
        <v>7258.13</v>
      </c>
      <c r="G93" s="21" t="str">
        <f>Source!DD71</f>
        <v/>
      </c>
      <c r="H93" s="9">
        <f>Source!AW71</f>
        <v>1</v>
      </c>
      <c r="I93" s="9">
        <f>IF(Source!BC71&lt;&gt; 0, Source!BC71, 1)</f>
        <v>1</v>
      </c>
      <c r="J93" s="22">
        <f>Source!P71</f>
        <v>21048.58</v>
      </c>
      <c r="K93" s="22"/>
    </row>
    <row r="94" spans="1:22" ht="28.5" x14ac:dyDescent="0.2">
      <c r="A94" s="19" t="s">
        <v>103</v>
      </c>
      <c r="B94" s="19" t="str">
        <f>Source!F72</f>
        <v>21.1-6-103</v>
      </c>
      <c r="C94" s="19" t="str">
        <f>Source!G72</f>
        <v>Пигменты сухие для красок, охра золотистая</v>
      </c>
      <c r="D94" s="20" t="str">
        <f>Source!H72</f>
        <v>т</v>
      </c>
      <c r="E94" s="9">
        <f>Source!I72</f>
        <v>4.9300000000000004E-3</v>
      </c>
      <c r="F94" s="22">
        <f>Source!AK72</f>
        <v>198992.34</v>
      </c>
      <c r="G94" s="29" t="s">
        <v>3</v>
      </c>
      <c r="H94" s="9">
        <f>Source!AW72</f>
        <v>1</v>
      </c>
      <c r="I94" s="9">
        <f>IF(Source!BC72&lt;&gt; 0, Source!BC72, 1)</f>
        <v>1</v>
      </c>
      <c r="J94" s="22">
        <f>Source!O72</f>
        <v>981.03</v>
      </c>
      <c r="K94" s="22"/>
      <c r="Q94">
        <f>ROUND((Source!BZ72/100)*ROUND((Source!AF72*Source!AV72)*Source!I72, 2), 2)</f>
        <v>0</v>
      </c>
      <c r="R94">
        <f>Source!X72</f>
        <v>0</v>
      </c>
      <c r="S94">
        <f>ROUND((Source!CA72/100)*ROUND((Source!AF72*Source!AV72)*Source!I72, 2), 2)</f>
        <v>0</v>
      </c>
      <c r="T94">
        <f>Source!Y72</f>
        <v>0</v>
      </c>
      <c r="U94">
        <f>ROUND((175/100)*ROUND((Source!AE72*Source!AV72)*Source!I72, 2), 2)</f>
        <v>0</v>
      </c>
      <c r="V94">
        <f>ROUND((108/100)*ROUND(Source!CS72*Source!I72, 2), 2)</f>
        <v>0</v>
      </c>
    </row>
    <row r="95" spans="1:22" ht="14.25" x14ac:dyDescent="0.2">
      <c r="A95" s="19"/>
      <c r="B95" s="19"/>
      <c r="C95" s="19" t="s">
        <v>273</v>
      </c>
      <c r="D95" s="20" t="s">
        <v>274</v>
      </c>
      <c r="E95" s="9">
        <f>Source!AT71</f>
        <v>70</v>
      </c>
      <c r="F95" s="22"/>
      <c r="G95" s="21"/>
      <c r="H95" s="9"/>
      <c r="I95" s="9"/>
      <c r="J95" s="22">
        <f>SUM(R90:R94)</f>
        <v>22871.18</v>
      </c>
      <c r="K95" s="22"/>
    </row>
    <row r="96" spans="1:22" ht="14.25" x14ac:dyDescent="0.2">
      <c r="A96" s="19"/>
      <c r="B96" s="19"/>
      <c r="C96" s="19" t="s">
        <v>275</v>
      </c>
      <c r="D96" s="20" t="s">
        <v>274</v>
      </c>
      <c r="E96" s="9">
        <f>Source!AU71</f>
        <v>10</v>
      </c>
      <c r="F96" s="22"/>
      <c r="G96" s="21"/>
      <c r="H96" s="9"/>
      <c r="I96" s="9"/>
      <c r="J96" s="22">
        <f>SUM(T90:T95)</f>
        <v>3267.31</v>
      </c>
      <c r="K96" s="22"/>
    </row>
    <row r="97" spans="1:22" ht="14.25" x14ac:dyDescent="0.2">
      <c r="A97" s="19"/>
      <c r="B97" s="19"/>
      <c r="C97" s="19" t="s">
        <v>276</v>
      </c>
      <c r="D97" s="20" t="s">
        <v>277</v>
      </c>
      <c r="E97" s="9">
        <f>Source!AQ71</f>
        <v>24.52</v>
      </c>
      <c r="F97" s="22"/>
      <c r="G97" s="21" t="str">
        <f>Source!DI71</f>
        <v/>
      </c>
      <c r="H97" s="9">
        <f>Source!AV71</f>
        <v>1</v>
      </c>
      <c r="I97" s="9"/>
      <c r="J97" s="22"/>
      <c r="K97" s="22">
        <f>Source!U71</f>
        <v>71.10799999999999</v>
      </c>
    </row>
    <row r="98" spans="1:22" ht="15" x14ac:dyDescent="0.25">
      <c r="A98" s="26"/>
      <c r="B98" s="26"/>
      <c r="C98" s="26"/>
      <c r="D98" s="26"/>
      <c r="E98" s="26"/>
      <c r="F98" s="26"/>
      <c r="G98" s="26"/>
      <c r="H98" s="26"/>
      <c r="I98" s="63">
        <f>J92+J93+J95+J96+SUM(J94:J94)</f>
        <v>80841.209999999992</v>
      </c>
      <c r="J98" s="63"/>
      <c r="K98" s="27">
        <f>IF(Source!I71&lt;&gt;0, ROUND(I98/Source!I71, 2), 0)</f>
        <v>27876.28</v>
      </c>
      <c r="P98" s="24">
        <f>I98</f>
        <v>80841.209999999992</v>
      </c>
    </row>
    <row r="99" spans="1:22" ht="85.5" x14ac:dyDescent="0.2">
      <c r="A99" s="19">
        <v>9</v>
      </c>
      <c r="B99" s="19" t="str">
        <f>Source!F73</f>
        <v>1.13-3201-23-5/2</v>
      </c>
      <c r="C99" s="19" t="str">
        <f>Source!G73</f>
        <v>Внутренняя окраска водно-дисперсионными акриловыми красками по ранее окрашенным поверхностям потолков - с расчисткой старой краски до 35% / краска влагостойкая типа ВД-АК-120</v>
      </c>
      <c r="D99" s="20" t="str">
        <f>Source!H73</f>
        <v>100 м2</v>
      </c>
      <c r="E99" s="9">
        <f>Source!I73</f>
        <v>1.65</v>
      </c>
      <c r="F99" s="22"/>
      <c r="G99" s="21"/>
      <c r="H99" s="9"/>
      <c r="I99" s="9"/>
      <c r="J99" s="22"/>
      <c r="K99" s="22"/>
      <c r="Q99">
        <f>ROUND((Source!BZ73/100)*ROUND((Source!AF73*Source!AV73)*Source!I73, 2), 2)</f>
        <v>16280.38</v>
      </c>
      <c r="R99">
        <f>Source!X73</f>
        <v>16280.38</v>
      </c>
      <c r="S99">
        <f>ROUND((Source!CA73/100)*ROUND((Source!AF73*Source!AV73)*Source!I73, 2), 2)</f>
        <v>2325.77</v>
      </c>
      <c r="T99">
        <f>Source!Y73</f>
        <v>2325.77</v>
      </c>
      <c r="U99">
        <f>ROUND((175/100)*ROUND((Source!AE73*Source!AV73)*Source!I73, 2), 2)</f>
        <v>0</v>
      </c>
      <c r="V99">
        <f>ROUND((108/100)*ROUND(Source!CS73*Source!I73, 2), 2)</f>
        <v>0</v>
      </c>
    </row>
    <row r="100" spans="1:22" x14ac:dyDescent="0.2">
      <c r="C100" s="23" t="str">
        <f>"Объем: "&amp;Source!I73&amp;"=165/"&amp;"100"</f>
        <v>Объем: 1,65=165/100</v>
      </c>
    </row>
    <row r="101" spans="1:22" ht="14.25" x14ac:dyDescent="0.2">
      <c r="A101" s="19"/>
      <c r="B101" s="19"/>
      <c r="C101" s="19" t="s">
        <v>271</v>
      </c>
      <c r="D101" s="20"/>
      <c r="E101" s="9"/>
      <c r="F101" s="22">
        <f>Source!AO73</f>
        <v>14095.57</v>
      </c>
      <c r="G101" s="21" t="str">
        <f>Source!DG73</f>
        <v/>
      </c>
      <c r="H101" s="9">
        <f>Source!AV73</f>
        <v>1</v>
      </c>
      <c r="I101" s="9">
        <f>IF(Source!BA73&lt;&gt; 0, Source!BA73, 1)</f>
        <v>1</v>
      </c>
      <c r="J101" s="22">
        <f>Source!S73</f>
        <v>23257.69</v>
      </c>
      <c r="K101" s="22"/>
    </row>
    <row r="102" spans="1:22" ht="14.25" x14ac:dyDescent="0.2">
      <c r="A102" s="19"/>
      <c r="B102" s="19"/>
      <c r="C102" s="19" t="s">
        <v>272</v>
      </c>
      <c r="D102" s="20"/>
      <c r="E102" s="9"/>
      <c r="F102" s="22">
        <f>Source!AL73</f>
        <v>6116.06</v>
      </c>
      <c r="G102" s="21" t="str">
        <f>Source!DD73</f>
        <v/>
      </c>
      <c r="H102" s="9">
        <f>Source!AW73</f>
        <v>1</v>
      </c>
      <c r="I102" s="9">
        <f>IF(Source!BC73&lt;&gt; 0, Source!BC73, 1)</f>
        <v>1</v>
      </c>
      <c r="J102" s="22">
        <f>Source!P73</f>
        <v>10091.5</v>
      </c>
      <c r="K102" s="22"/>
    </row>
    <row r="103" spans="1:22" ht="14.25" x14ac:dyDescent="0.2">
      <c r="A103" s="19"/>
      <c r="B103" s="19"/>
      <c r="C103" s="19" t="s">
        <v>273</v>
      </c>
      <c r="D103" s="20" t="s">
        <v>274</v>
      </c>
      <c r="E103" s="9">
        <f>Source!AT73</f>
        <v>70</v>
      </c>
      <c r="F103" s="22"/>
      <c r="G103" s="21"/>
      <c r="H103" s="9"/>
      <c r="I103" s="9"/>
      <c r="J103" s="22">
        <f>SUM(R99:R102)</f>
        <v>16280.38</v>
      </c>
      <c r="K103" s="22"/>
    </row>
    <row r="104" spans="1:22" ht="14.25" x14ac:dyDescent="0.2">
      <c r="A104" s="19"/>
      <c r="B104" s="19"/>
      <c r="C104" s="19" t="s">
        <v>275</v>
      </c>
      <c r="D104" s="20" t="s">
        <v>274</v>
      </c>
      <c r="E104" s="9">
        <f>Source!AU73</f>
        <v>10</v>
      </c>
      <c r="F104" s="22"/>
      <c r="G104" s="21"/>
      <c r="H104" s="9"/>
      <c r="I104" s="9"/>
      <c r="J104" s="22">
        <f>SUM(T99:T103)</f>
        <v>2325.77</v>
      </c>
      <c r="K104" s="22"/>
    </row>
    <row r="105" spans="1:22" ht="14.25" x14ac:dyDescent="0.2">
      <c r="A105" s="19"/>
      <c r="B105" s="19"/>
      <c r="C105" s="19" t="s">
        <v>276</v>
      </c>
      <c r="D105" s="20" t="s">
        <v>277</v>
      </c>
      <c r="E105" s="9">
        <f>Source!AQ73</f>
        <v>30.74</v>
      </c>
      <c r="F105" s="22"/>
      <c r="G105" s="21" t="str">
        <f>Source!DI73</f>
        <v/>
      </c>
      <c r="H105" s="9">
        <f>Source!AV73</f>
        <v>1</v>
      </c>
      <c r="I105" s="9"/>
      <c r="J105" s="22"/>
      <c r="K105" s="22">
        <f>Source!U73</f>
        <v>50.720999999999997</v>
      </c>
    </row>
    <row r="106" spans="1:22" ht="15" x14ac:dyDescent="0.25">
      <c r="A106" s="26"/>
      <c r="B106" s="26"/>
      <c r="C106" s="26"/>
      <c r="D106" s="26"/>
      <c r="E106" s="26"/>
      <c r="F106" s="26"/>
      <c r="G106" s="26"/>
      <c r="H106" s="26"/>
      <c r="I106" s="63">
        <f>J101+J102+J103+J104</f>
        <v>51955.34</v>
      </c>
      <c r="J106" s="63"/>
      <c r="K106" s="27">
        <f>IF(Source!I73&lt;&gt;0, ROUND(I106/Source!I73, 2), 0)</f>
        <v>31488.080000000002</v>
      </c>
      <c r="P106" s="24">
        <f>I106</f>
        <v>51955.34</v>
      </c>
    </row>
    <row r="107" spans="1:22" ht="42.75" x14ac:dyDescent="0.2">
      <c r="A107" s="19">
        <v>10</v>
      </c>
      <c r="B107" s="19" t="str">
        <f>Source!F74</f>
        <v>1.20-3102-5-1/1</v>
      </c>
      <c r="C107" s="19" t="str">
        <f>Source!G74</f>
        <v>Замена электроосветительной арматуры с люминесцентными лампами с числом ламп до двух</v>
      </c>
      <c r="D107" s="20" t="str">
        <f>Source!H74</f>
        <v>10 шт.</v>
      </c>
      <c r="E107" s="9">
        <f>Source!I74</f>
        <v>4.2</v>
      </c>
      <c r="F107" s="22"/>
      <c r="G107" s="21"/>
      <c r="H107" s="9"/>
      <c r="I107" s="9"/>
      <c r="J107" s="22"/>
      <c r="K107" s="22"/>
      <c r="Q107">
        <f>ROUND((Source!BZ74/100)*ROUND((Source!AF74*Source!AV74)*Source!I74, 2), 2)</f>
        <v>21687.06</v>
      </c>
      <c r="R107">
        <f>Source!X74</f>
        <v>21687.06</v>
      </c>
      <c r="S107">
        <f>ROUND((Source!CA74/100)*ROUND((Source!AF74*Source!AV74)*Source!I74, 2), 2)</f>
        <v>3098.15</v>
      </c>
      <c r="T107">
        <f>Source!Y74</f>
        <v>3098.15</v>
      </c>
      <c r="U107">
        <f>ROUND((175/100)*ROUND((Source!AE74*Source!AV74)*Source!I74, 2), 2)</f>
        <v>0</v>
      </c>
      <c r="V107">
        <f>ROUND((108/100)*ROUND(Source!CS74*Source!I74, 2), 2)</f>
        <v>0</v>
      </c>
    </row>
    <row r="108" spans="1:22" x14ac:dyDescent="0.2">
      <c r="C108" s="23" t="str">
        <f>"Объем: "&amp;Source!I74&amp;"=42/"&amp;"10"</f>
        <v>Объем: 4,2=42/10</v>
      </c>
    </row>
    <row r="109" spans="1:22" ht="14.25" x14ac:dyDescent="0.2">
      <c r="A109" s="19"/>
      <c r="B109" s="19"/>
      <c r="C109" s="19" t="s">
        <v>271</v>
      </c>
      <c r="D109" s="20"/>
      <c r="E109" s="9"/>
      <c r="F109" s="22">
        <f>Source!AO74</f>
        <v>7376.55</v>
      </c>
      <c r="G109" s="21" t="str">
        <f>Source!DG74</f>
        <v/>
      </c>
      <c r="H109" s="9">
        <f>Source!AV74</f>
        <v>1</v>
      </c>
      <c r="I109" s="9">
        <f>IF(Source!BA74&lt;&gt; 0, Source!BA74, 1)</f>
        <v>1</v>
      </c>
      <c r="J109" s="22">
        <f>Source!S74</f>
        <v>30981.51</v>
      </c>
      <c r="K109" s="22"/>
    </row>
    <row r="110" spans="1:22" ht="99.75" x14ac:dyDescent="0.2">
      <c r="A110" s="19" t="s">
        <v>113</v>
      </c>
      <c r="B110" s="19" t="str">
        <f>Source!F75</f>
        <v>21.22-8-41</v>
      </c>
      <c r="C110" s="19" t="str">
        <f>Source!G75</f>
        <v>Светильники светодиодные накладные, мощность 48 Вт, световой поток 4000 Лм, цветовая температура 4000 К, IP20, металлический корпус, опаловый рассеиватель, габаритные размеры 1237х120х54 мм, для общественных зданий</v>
      </c>
      <c r="D110" s="20" t="str">
        <f>Source!H75</f>
        <v>шт.</v>
      </c>
      <c r="E110" s="9">
        <f>Source!I75</f>
        <v>42</v>
      </c>
      <c r="F110" s="22">
        <f>Source!AK75</f>
        <v>2194</v>
      </c>
      <c r="G110" s="29" t="s">
        <v>3</v>
      </c>
      <c r="H110" s="9">
        <f>Source!AW75</f>
        <v>1</v>
      </c>
      <c r="I110" s="9">
        <f>IF(Source!BC75&lt;&gt; 0, Source!BC75, 1)</f>
        <v>1</v>
      </c>
      <c r="J110" s="22">
        <f>Source!O75</f>
        <v>92148</v>
      </c>
      <c r="K110" s="22"/>
      <c r="Q110">
        <f>ROUND((Source!BZ75/100)*ROUND((Source!AF75*Source!AV75)*Source!I75, 2), 2)</f>
        <v>0</v>
      </c>
      <c r="R110">
        <f>Source!X75</f>
        <v>0</v>
      </c>
      <c r="S110">
        <f>ROUND((Source!CA75/100)*ROUND((Source!AF75*Source!AV75)*Source!I75, 2), 2)</f>
        <v>0</v>
      </c>
      <c r="T110">
        <f>Source!Y75</f>
        <v>0</v>
      </c>
      <c r="U110">
        <f>ROUND((175/100)*ROUND((Source!AE75*Source!AV75)*Source!I75, 2), 2)</f>
        <v>0</v>
      </c>
      <c r="V110">
        <f>ROUND((108/100)*ROUND(Source!CS75*Source!I75, 2), 2)</f>
        <v>0</v>
      </c>
    </row>
    <row r="111" spans="1:22" ht="14.25" x14ac:dyDescent="0.2">
      <c r="A111" s="19"/>
      <c r="B111" s="19"/>
      <c r="C111" s="19" t="s">
        <v>273</v>
      </c>
      <c r="D111" s="20" t="s">
        <v>274</v>
      </c>
      <c r="E111" s="9">
        <f>Source!AT74</f>
        <v>70</v>
      </c>
      <c r="F111" s="22"/>
      <c r="G111" s="21"/>
      <c r="H111" s="9"/>
      <c r="I111" s="9"/>
      <c r="J111" s="22">
        <f>SUM(R107:R110)</f>
        <v>21687.06</v>
      </c>
      <c r="K111" s="22"/>
    </row>
    <row r="112" spans="1:22" ht="14.25" x14ac:dyDescent="0.2">
      <c r="A112" s="19"/>
      <c r="B112" s="19"/>
      <c r="C112" s="19" t="s">
        <v>275</v>
      </c>
      <c r="D112" s="20" t="s">
        <v>274</v>
      </c>
      <c r="E112" s="9">
        <f>Source!AU74</f>
        <v>10</v>
      </c>
      <c r="F112" s="22"/>
      <c r="G112" s="21"/>
      <c r="H112" s="9"/>
      <c r="I112" s="9"/>
      <c r="J112" s="22">
        <f>SUM(T107:T111)</f>
        <v>3098.15</v>
      </c>
      <c r="K112" s="22"/>
    </row>
    <row r="113" spans="1:22" ht="14.25" x14ac:dyDescent="0.2">
      <c r="A113" s="19"/>
      <c r="B113" s="19"/>
      <c r="C113" s="19" t="s">
        <v>276</v>
      </c>
      <c r="D113" s="20" t="s">
        <v>277</v>
      </c>
      <c r="E113" s="9">
        <f>Source!AQ74</f>
        <v>17.79</v>
      </c>
      <c r="F113" s="22"/>
      <c r="G113" s="21" t="str">
        <f>Source!DI74</f>
        <v/>
      </c>
      <c r="H113" s="9">
        <f>Source!AV74</f>
        <v>1</v>
      </c>
      <c r="I113" s="9"/>
      <c r="J113" s="22"/>
      <c r="K113" s="22">
        <f>Source!U74</f>
        <v>74.718000000000004</v>
      </c>
    </row>
    <row r="114" spans="1:22" ht="15" x14ac:dyDescent="0.25">
      <c r="A114" s="26"/>
      <c r="B114" s="26"/>
      <c r="C114" s="26"/>
      <c r="D114" s="26"/>
      <c r="E114" s="26"/>
      <c r="F114" s="26"/>
      <c r="G114" s="26"/>
      <c r="H114" s="26"/>
      <c r="I114" s="63">
        <f>J109+J111+J112+SUM(J110:J110)</f>
        <v>147914.72</v>
      </c>
      <c r="J114" s="63"/>
      <c r="K114" s="27">
        <f>IF(Source!I74&lt;&gt;0, ROUND(I114/Source!I74, 2), 0)</f>
        <v>35217.79</v>
      </c>
      <c r="P114" s="24">
        <f>I114</f>
        <v>147914.72</v>
      </c>
    </row>
    <row r="115" spans="1:22" ht="57" x14ac:dyDescent="0.2">
      <c r="A115" s="19">
        <v>11</v>
      </c>
      <c r="B115" s="19" t="str">
        <f>Source!F76</f>
        <v>1.21-3104-8-2/1</v>
      </c>
      <c r="C115" s="19" t="str">
        <f>Source!G76</f>
        <v>Демонтаж труб гофрированных поливинилхлоридных наружным диаметром 20 мм, проложенных открыто по стенам и потолкам</v>
      </c>
      <c r="D115" s="20" t="str">
        <f>Source!H76</f>
        <v>100 м</v>
      </c>
      <c r="E115" s="9">
        <f>Source!I76</f>
        <v>0.15</v>
      </c>
      <c r="F115" s="22"/>
      <c r="G115" s="21"/>
      <c r="H115" s="9"/>
      <c r="I115" s="9"/>
      <c r="J115" s="22"/>
      <c r="K115" s="22"/>
      <c r="Q115">
        <f>ROUND((Source!BZ76/100)*ROUND((Source!AF76*Source!AV76)*Source!I76, 2), 2)</f>
        <v>194.48</v>
      </c>
      <c r="R115">
        <f>Source!X76</f>
        <v>194.48</v>
      </c>
      <c r="S115">
        <f>ROUND((Source!CA76/100)*ROUND((Source!AF76*Source!AV76)*Source!I76, 2), 2)</f>
        <v>27.78</v>
      </c>
      <c r="T115">
        <f>Source!Y76</f>
        <v>27.78</v>
      </c>
      <c r="U115">
        <f>ROUND((175/100)*ROUND((Source!AE76*Source!AV76)*Source!I76, 2), 2)</f>
        <v>0</v>
      </c>
      <c r="V115">
        <f>ROUND((108/100)*ROUND(Source!CS76*Source!I76, 2), 2)</f>
        <v>0</v>
      </c>
    </row>
    <row r="116" spans="1:22" x14ac:dyDescent="0.2">
      <c r="C116" s="23" t="str">
        <f>"Объем: "&amp;Source!I76&amp;"=15/"&amp;"100"</f>
        <v>Объем: 0,15=15/100</v>
      </c>
    </row>
    <row r="117" spans="1:22" ht="14.25" x14ac:dyDescent="0.2">
      <c r="A117" s="19"/>
      <c r="B117" s="19"/>
      <c r="C117" s="19" t="s">
        <v>271</v>
      </c>
      <c r="D117" s="20"/>
      <c r="E117" s="9"/>
      <c r="F117" s="22">
        <f>Source!AO76</f>
        <v>1852.19</v>
      </c>
      <c r="G117" s="21" t="str">
        <f>Source!DG76</f>
        <v/>
      </c>
      <c r="H117" s="9">
        <f>Source!AV76</f>
        <v>1</v>
      </c>
      <c r="I117" s="9">
        <f>IF(Source!BA76&lt;&gt; 0, Source!BA76, 1)</f>
        <v>1</v>
      </c>
      <c r="J117" s="22">
        <f>Source!S76</f>
        <v>277.83</v>
      </c>
      <c r="K117" s="22"/>
    </row>
    <row r="118" spans="1:22" ht="14.25" x14ac:dyDescent="0.2">
      <c r="A118" s="19"/>
      <c r="B118" s="19"/>
      <c r="C118" s="19" t="s">
        <v>278</v>
      </c>
      <c r="D118" s="20"/>
      <c r="E118" s="9"/>
      <c r="F118" s="22">
        <f>Source!AM76</f>
        <v>3.57</v>
      </c>
      <c r="G118" s="21" t="str">
        <f>Source!DE76</f>
        <v/>
      </c>
      <c r="H118" s="9">
        <f>Source!AV76</f>
        <v>1</v>
      </c>
      <c r="I118" s="9">
        <f>IF(Source!BB76&lt;&gt; 0, Source!BB76, 1)</f>
        <v>1</v>
      </c>
      <c r="J118" s="22">
        <f>Source!Q76</f>
        <v>0.54</v>
      </c>
      <c r="K118" s="22"/>
    </row>
    <row r="119" spans="1:22" ht="14.25" x14ac:dyDescent="0.2">
      <c r="A119" s="19"/>
      <c r="B119" s="19"/>
      <c r="C119" s="19" t="s">
        <v>273</v>
      </c>
      <c r="D119" s="20" t="s">
        <v>274</v>
      </c>
      <c r="E119" s="9">
        <f>Source!AT76</f>
        <v>70</v>
      </c>
      <c r="F119" s="22"/>
      <c r="G119" s="21"/>
      <c r="H119" s="9"/>
      <c r="I119" s="9"/>
      <c r="J119" s="22">
        <f>SUM(R115:R118)</f>
        <v>194.48</v>
      </c>
      <c r="K119" s="22"/>
    </row>
    <row r="120" spans="1:22" ht="14.25" x14ac:dyDescent="0.2">
      <c r="A120" s="19"/>
      <c r="B120" s="19"/>
      <c r="C120" s="19" t="s">
        <v>275</v>
      </c>
      <c r="D120" s="20" t="s">
        <v>274</v>
      </c>
      <c r="E120" s="9">
        <f>Source!AU76</f>
        <v>10</v>
      </c>
      <c r="F120" s="22"/>
      <c r="G120" s="21"/>
      <c r="H120" s="9"/>
      <c r="I120" s="9"/>
      <c r="J120" s="22">
        <f>SUM(T115:T119)</f>
        <v>27.78</v>
      </c>
      <c r="K120" s="22"/>
    </row>
    <row r="121" spans="1:22" ht="14.25" x14ac:dyDescent="0.2">
      <c r="A121" s="19"/>
      <c r="B121" s="19"/>
      <c r="C121" s="19" t="s">
        <v>276</v>
      </c>
      <c r="D121" s="20" t="s">
        <v>277</v>
      </c>
      <c r="E121" s="9">
        <f>Source!AQ76</f>
        <v>3.66</v>
      </c>
      <c r="F121" s="22"/>
      <c r="G121" s="21" t="str">
        <f>Source!DI76</f>
        <v/>
      </c>
      <c r="H121" s="9">
        <f>Source!AV76</f>
        <v>1</v>
      </c>
      <c r="I121" s="9"/>
      <c r="J121" s="22"/>
      <c r="K121" s="22">
        <f>Source!U76</f>
        <v>0.54900000000000004</v>
      </c>
    </row>
    <row r="122" spans="1:22" ht="15" x14ac:dyDescent="0.25">
      <c r="A122" s="26"/>
      <c r="B122" s="26"/>
      <c r="C122" s="26"/>
      <c r="D122" s="26"/>
      <c r="E122" s="26"/>
      <c r="F122" s="26"/>
      <c r="G122" s="26"/>
      <c r="H122" s="26"/>
      <c r="I122" s="63">
        <f>J117+J118+J119+J120</f>
        <v>500.63</v>
      </c>
      <c r="J122" s="63"/>
      <c r="K122" s="27">
        <f>IF(Source!I76&lt;&gt;0, ROUND(I122/Source!I76, 2), 0)</f>
        <v>3337.53</v>
      </c>
      <c r="P122" s="24">
        <f>I122</f>
        <v>500.63</v>
      </c>
    </row>
    <row r="123" spans="1:22" ht="28.5" x14ac:dyDescent="0.2">
      <c r="A123" s="19">
        <v>12</v>
      </c>
      <c r="B123" s="19" t="str">
        <f>Source!F77</f>
        <v>1.21-3104-5-1/1</v>
      </c>
      <c r="C123" s="19" t="str">
        <f>Source!G77</f>
        <v>Демонтаж трубных проводок, первого провода сечением 6 мм2</v>
      </c>
      <c r="D123" s="20" t="str">
        <f>Source!H77</f>
        <v>100 м</v>
      </c>
      <c r="E123" s="9">
        <f>Source!I77</f>
        <v>0.28999999999999998</v>
      </c>
      <c r="F123" s="22"/>
      <c r="G123" s="21"/>
      <c r="H123" s="9"/>
      <c r="I123" s="9"/>
      <c r="J123" s="22"/>
      <c r="K123" s="22"/>
      <c r="Q123">
        <f>ROUND((Source!BZ77/100)*ROUND((Source!AF77*Source!AV77)*Source!I77, 2), 2)</f>
        <v>188.33</v>
      </c>
      <c r="R123">
        <f>Source!X77</f>
        <v>188.33</v>
      </c>
      <c r="S123">
        <f>ROUND((Source!CA77/100)*ROUND((Source!AF77*Source!AV77)*Source!I77, 2), 2)</f>
        <v>26.9</v>
      </c>
      <c r="T123">
        <f>Source!Y77</f>
        <v>26.9</v>
      </c>
      <c r="U123">
        <f>ROUND((175/100)*ROUND((Source!AE77*Source!AV77)*Source!I77, 2), 2)</f>
        <v>0</v>
      </c>
      <c r="V123">
        <f>ROUND((108/100)*ROUND(Source!CS77*Source!I77, 2), 2)</f>
        <v>0</v>
      </c>
    </row>
    <row r="124" spans="1:22" x14ac:dyDescent="0.2">
      <c r="C124" s="23" t="str">
        <f>"Объем: "&amp;Source!I77&amp;"=29/"&amp;"100"</f>
        <v>Объем: 0,29=29/100</v>
      </c>
    </row>
    <row r="125" spans="1:22" ht="14.25" x14ac:dyDescent="0.2">
      <c r="A125" s="19"/>
      <c r="B125" s="19"/>
      <c r="C125" s="19" t="s">
        <v>271</v>
      </c>
      <c r="D125" s="20"/>
      <c r="E125" s="9"/>
      <c r="F125" s="22">
        <f>Source!AO77</f>
        <v>927.74</v>
      </c>
      <c r="G125" s="21" t="str">
        <f>Source!DG77</f>
        <v/>
      </c>
      <c r="H125" s="9">
        <f>Source!AV77</f>
        <v>1</v>
      </c>
      <c r="I125" s="9">
        <f>IF(Source!BA77&lt;&gt; 0, Source!BA77, 1)</f>
        <v>1</v>
      </c>
      <c r="J125" s="22">
        <f>Source!S77</f>
        <v>269.04000000000002</v>
      </c>
      <c r="K125" s="22"/>
    </row>
    <row r="126" spans="1:22" ht="14.25" x14ac:dyDescent="0.2">
      <c r="A126" s="19"/>
      <c r="B126" s="19"/>
      <c r="C126" s="19" t="s">
        <v>273</v>
      </c>
      <c r="D126" s="20" t="s">
        <v>274</v>
      </c>
      <c r="E126" s="9">
        <f>Source!AT77</f>
        <v>70</v>
      </c>
      <c r="F126" s="22"/>
      <c r="G126" s="21"/>
      <c r="H126" s="9"/>
      <c r="I126" s="9"/>
      <c r="J126" s="22">
        <f>SUM(R123:R125)</f>
        <v>188.33</v>
      </c>
      <c r="K126" s="22"/>
    </row>
    <row r="127" spans="1:22" ht="14.25" x14ac:dyDescent="0.2">
      <c r="A127" s="19"/>
      <c r="B127" s="19"/>
      <c r="C127" s="19" t="s">
        <v>275</v>
      </c>
      <c r="D127" s="20" t="s">
        <v>274</v>
      </c>
      <c r="E127" s="9">
        <f>Source!AU77</f>
        <v>10</v>
      </c>
      <c r="F127" s="22"/>
      <c r="G127" s="21"/>
      <c r="H127" s="9"/>
      <c r="I127" s="9"/>
      <c r="J127" s="22">
        <f>SUM(T123:T126)</f>
        <v>26.9</v>
      </c>
      <c r="K127" s="22"/>
    </row>
    <row r="128" spans="1:22" ht="14.25" x14ac:dyDescent="0.2">
      <c r="A128" s="19"/>
      <c r="B128" s="19"/>
      <c r="C128" s="19" t="s">
        <v>276</v>
      </c>
      <c r="D128" s="20" t="s">
        <v>277</v>
      </c>
      <c r="E128" s="9">
        <f>Source!AQ77</f>
        <v>2.25</v>
      </c>
      <c r="F128" s="22"/>
      <c r="G128" s="21" t="str">
        <f>Source!DI77</f>
        <v/>
      </c>
      <c r="H128" s="9">
        <f>Source!AV77</f>
        <v>1</v>
      </c>
      <c r="I128" s="9"/>
      <c r="J128" s="22"/>
      <c r="K128" s="22">
        <f>Source!U77</f>
        <v>0.65249999999999997</v>
      </c>
    </row>
    <row r="129" spans="1:22" ht="15" x14ac:dyDescent="0.25">
      <c r="A129" s="26"/>
      <c r="B129" s="26"/>
      <c r="C129" s="26"/>
      <c r="D129" s="26"/>
      <c r="E129" s="26"/>
      <c r="F129" s="26"/>
      <c r="G129" s="26"/>
      <c r="H129" s="26"/>
      <c r="I129" s="63">
        <f>J125+J126+J127</f>
        <v>484.27</v>
      </c>
      <c r="J129" s="63"/>
      <c r="K129" s="27">
        <f>IF(Source!I77&lt;&gt;0, ROUND(I129/Source!I77, 2), 0)</f>
        <v>1669.9</v>
      </c>
      <c r="P129" s="24">
        <f>I129</f>
        <v>484.27</v>
      </c>
    </row>
    <row r="130" spans="1:22" ht="71.25" x14ac:dyDescent="0.2">
      <c r="A130" s="19">
        <v>13</v>
      </c>
      <c r="B130" s="19" t="str">
        <f>Source!F78</f>
        <v>1.21-3103-33-2/1</v>
      </c>
      <c r="C130" s="19" t="str">
        <f>Source!G78</f>
        <v>Прокладка труб гофрированных поливинилхлоридных наружным диаметром 20 мм открыто по стенам и потолкам с установкой соединительных коробок</v>
      </c>
      <c r="D130" s="20" t="str">
        <f>Source!H78</f>
        <v>100 м</v>
      </c>
      <c r="E130" s="9">
        <f>Source!I78</f>
        <v>0.15</v>
      </c>
      <c r="F130" s="22"/>
      <c r="G130" s="21"/>
      <c r="H130" s="9"/>
      <c r="I130" s="9"/>
      <c r="J130" s="22"/>
      <c r="K130" s="22"/>
      <c r="Q130">
        <f>ROUND((Source!BZ78/100)*ROUND((Source!AF78*Source!AV78)*Source!I78, 2), 2)</f>
        <v>949.87</v>
      </c>
      <c r="R130">
        <f>Source!X78</f>
        <v>949.87</v>
      </c>
      <c r="S130">
        <f>ROUND((Source!CA78/100)*ROUND((Source!AF78*Source!AV78)*Source!I78, 2), 2)</f>
        <v>135.69999999999999</v>
      </c>
      <c r="T130">
        <f>Source!Y78</f>
        <v>135.69999999999999</v>
      </c>
      <c r="U130">
        <f>ROUND((175/100)*ROUND((Source!AE78*Source!AV78)*Source!I78, 2), 2)</f>
        <v>2.4300000000000002</v>
      </c>
      <c r="V130">
        <f>ROUND((108/100)*ROUND(Source!CS78*Source!I78, 2), 2)</f>
        <v>1.5</v>
      </c>
    </row>
    <row r="131" spans="1:22" x14ac:dyDescent="0.2">
      <c r="C131" s="23" t="str">
        <f>"Объем: "&amp;Source!I78&amp;"=15/"&amp;"100"</f>
        <v>Объем: 0,15=15/100</v>
      </c>
    </row>
    <row r="132" spans="1:22" ht="14.25" x14ac:dyDescent="0.2">
      <c r="A132" s="19"/>
      <c r="B132" s="19"/>
      <c r="C132" s="19" t="s">
        <v>271</v>
      </c>
      <c r="D132" s="20"/>
      <c r="E132" s="9"/>
      <c r="F132" s="22">
        <f>Source!AO78</f>
        <v>9046.31</v>
      </c>
      <c r="G132" s="21" t="str">
        <f>Source!DG78</f>
        <v/>
      </c>
      <c r="H132" s="9">
        <f>Source!AV78</f>
        <v>1</v>
      </c>
      <c r="I132" s="9">
        <f>IF(Source!BA78&lt;&gt; 0, Source!BA78, 1)</f>
        <v>1</v>
      </c>
      <c r="J132" s="22">
        <f>Source!S78</f>
        <v>1356.95</v>
      </c>
      <c r="K132" s="22"/>
    </row>
    <row r="133" spans="1:22" ht="14.25" x14ac:dyDescent="0.2">
      <c r="A133" s="19"/>
      <c r="B133" s="19"/>
      <c r="C133" s="19" t="s">
        <v>278</v>
      </c>
      <c r="D133" s="20"/>
      <c r="E133" s="9"/>
      <c r="F133" s="22">
        <f>Source!AM78</f>
        <v>55.47</v>
      </c>
      <c r="G133" s="21" t="str">
        <f>Source!DE78</f>
        <v/>
      </c>
      <c r="H133" s="9">
        <f>Source!AV78</f>
        <v>1</v>
      </c>
      <c r="I133" s="9">
        <f>IF(Source!BB78&lt;&gt; 0, Source!BB78, 1)</f>
        <v>1</v>
      </c>
      <c r="J133" s="22">
        <f>Source!Q78</f>
        <v>8.32</v>
      </c>
      <c r="K133" s="22"/>
    </row>
    <row r="134" spans="1:22" ht="14.25" x14ac:dyDescent="0.2">
      <c r="A134" s="19"/>
      <c r="B134" s="19"/>
      <c r="C134" s="19" t="s">
        <v>279</v>
      </c>
      <c r="D134" s="20"/>
      <c r="E134" s="9"/>
      <c r="F134" s="22">
        <f>Source!AN78</f>
        <v>9.27</v>
      </c>
      <c r="G134" s="21" t="str">
        <f>Source!DF78</f>
        <v/>
      </c>
      <c r="H134" s="9">
        <f>Source!AV78</f>
        <v>1</v>
      </c>
      <c r="I134" s="9">
        <f>IF(Source!BS78&lt;&gt; 0, Source!BS78, 1)</f>
        <v>1</v>
      </c>
      <c r="J134" s="28">
        <f>Source!R78</f>
        <v>1.39</v>
      </c>
      <c r="K134" s="22"/>
    </row>
    <row r="135" spans="1:22" ht="14.25" x14ac:dyDescent="0.2">
      <c r="A135" s="19"/>
      <c r="B135" s="19"/>
      <c r="C135" s="19" t="s">
        <v>272</v>
      </c>
      <c r="D135" s="20"/>
      <c r="E135" s="9"/>
      <c r="F135" s="22">
        <f>Source!AL78</f>
        <v>4616.55</v>
      </c>
      <c r="G135" s="21" t="str">
        <f>Source!DD78</f>
        <v/>
      </c>
      <c r="H135" s="9">
        <f>Source!AW78</f>
        <v>1</v>
      </c>
      <c r="I135" s="9">
        <f>IF(Source!BC78&lt;&gt; 0, Source!BC78, 1)</f>
        <v>1</v>
      </c>
      <c r="J135" s="22">
        <f>Source!P78</f>
        <v>692.48</v>
      </c>
      <c r="K135" s="22"/>
    </row>
    <row r="136" spans="1:22" ht="71.25" x14ac:dyDescent="0.2">
      <c r="A136" s="19" t="s">
        <v>131</v>
      </c>
      <c r="B136" s="19" t="str">
        <f>Source!F79</f>
        <v>21.21-5-61</v>
      </c>
      <c r="C136" s="19" t="str">
        <f>Source!G79</f>
        <v>Коробки для выполнения соединений и ответвлений электрических кабелей и проводов сечением до 4 мм2, прокладываемых в неметаллических трубах, тип КОР-73 УЗ</v>
      </c>
      <c r="D136" s="20" t="str">
        <f>Source!H79</f>
        <v>шт.</v>
      </c>
      <c r="E136" s="9">
        <f>Source!I79</f>
        <v>14.000000000000002</v>
      </c>
      <c r="F136" s="22">
        <f>Source!AK79</f>
        <v>63.77</v>
      </c>
      <c r="G136" s="29" t="s">
        <v>3</v>
      </c>
      <c r="H136" s="9">
        <f>Source!AW79</f>
        <v>1</v>
      </c>
      <c r="I136" s="9">
        <f>IF(Source!BC79&lt;&gt; 0, Source!BC79, 1)</f>
        <v>1</v>
      </c>
      <c r="J136" s="22">
        <f>Source!O79</f>
        <v>892.78</v>
      </c>
      <c r="K136" s="22"/>
      <c r="Q136">
        <f>ROUND((Source!BZ79/100)*ROUND((Source!AF79*Source!AV79)*Source!I79, 2), 2)</f>
        <v>0</v>
      </c>
      <c r="R136">
        <f>Source!X79</f>
        <v>0</v>
      </c>
      <c r="S136">
        <f>ROUND((Source!CA79/100)*ROUND((Source!AF79*Source!AV79)*Source!I79, 2), 2)</f>
        <v>0</v>
      </c>
      <c r="T136">
        <f>Source!Y79</f>
        <v>0</v>
      </c>
      <c r="U136">
        <f>ROUND((175/100)*ROUND((Source!AE79*Source!AV79)*Source!I79, 2), 2)</f>
        <v>0</v>
      </c>
      <c r="V136">
        <f>ROUND((108/100)*ROUND(Source!CS79*Source!I79, 2), 2)</f>
        <v>0</v>
      </c>
    </row>
    <row r="137" spans="1:22" ht="85.5" x14ac:dyDescent="0.2">
      <c r="A137" s="19" t="s">
        <v>135</v>
      </c>
      <c r="B137" s="19" t="str">
        <f>Source!F80</f>
        <v>21.21-5-61</v>
      </c>
      <c r="C137" s="19" t="s">
        <v>281</v>
      </c>
      <c r="D137" s="20" t="str">
        <f>Source!H80</f>
        <v>шт.</v>
      </c>
      <c r="E137" s="9">
        <f>Source!I80</f>
        <v>-0.75</v>
      </c>
      <c r="F137" s="22">
        <f>Source!AK80</f>
        <v>63.77</v>
      </c>
      <c r="G137" s="29" t="s">
        <v>3</v>
      </c>
      <c r="H137" s="9">
        <f>Source!AW80</f>
        <v>1</v>
      </c>
      <c r="I137" s="9">
        <f>IF(Source!BC80&lt;&gt; 0, Source!BC80, 1)</f>
        <v>1</v>
      </c>
      <c r="J137" s="22">
        <f>Source!O80</f>
        <v>-47.83</v>
      </c>
      <c r="K137" s="22"/>
      <c r="Q137">
        <f>ROUND((Source!BZ80/100)*ROUND((Source!AF80*Source!AV80)*Source!I80, 2), 2)</f>
        <v>0</v>
      </c>
      <c r="R137">
        <f>Source!X80</f>
        <v>0</v>
      </c>
      <c r="S137">
        <f>ROUND((Source!CA80/100)*ROUND((Source!AF80*Source!AV80)*Source!I80, 2), 2)</f>
        <v>0</v>
      </c>
      <c r="T137">
        <f>Source!Y80</f>
        <v>0</v>
      </c>
      <c r="U137">
        <f>ROUND((175/100)*ROUND((Source!AE80*Source!AV80)*Source!I80, 2), 2)</f>
        <v>0</v>
      </c>
      <c r="V137">
        <f>ROUND((108/100)*ROUND(Source!CS80*Source!I80, 2), 2)</f>
        <v>0</v>
      </c>
    </row>
    <row r="138" spans="1:22" ht="14.25" x14ac:dyDescent="0.2">
      <c r="A138" s="19"/>
      <c r="B138" s="19"/>
      <c r="C138" s="19" t="s">
        <v>273</v>
      </c>
      <c r="D138" s="20" t="s">
        <v>274</v>
      </c>
      <c r="E138" s="9">
        <f>Source!AT78</f>
        <v>70</v>
      </c>
      <c r="F138" s="22"/>
      <c r="G138" s="21"/>
      <c r="H138" s="9"/>
      <c r="I138" s="9"/>
      <c r="J138" s="22">
        <f>SUM(R130:R137)</f>
        <v>949.87</v>
      </c>
      <c r="K138" s="22"/>
    </row>
    <row r="139" spans="1:22" ht="14.25" x14ac:dyDescent="0.2">
      <c r="A139" s="19"/>
      <c r="B139" s="19"/>
      <c r="C139" s="19" t="s">
        <v>275</v>
      </c>
      <c r="D139" s="20" t="s">
        <v>274</v>
      </c>
      <c r="E139" s="9">
        <f>Source!AU78</f>
        <v>10</v>
      </c>
      <c r="F139" s="22"/>
      <c r="G139" s="21"/>
      <c r="H139" s="9"/>
      <c r="I139" s="9"/>
      <c r="J139" s="22">
        <f>SUM(T130:T138)</f>
        <v>135.69999999999999</v>
      </c>
      <c r="K139" s="22"/>
    </row>
    <row r="140" spans="1:22" ht="14.25" x14ac:dyDescent="0.2">
      <c r="A140" s="19"/>
      <c r="B140" s="19"/>
      <c r="C140" s="19" t="s">
        <v>280</v>
      </c>
      <c r="D140" s="20" t="s">
        <v>274</v>
      </c>
      <c r="E140" s="9">
        <f>108</f>
        <v>108</v>
      </c>
      <c r="F140" s="22"/>
      <c r="G140" s="21"/>
      <c r="H140" s="9"/>
      <c r="I140" s="9"/>
      <c r="J140" s="22">
        <f>SUM(V130:V139)</f>
        <v>1.5</v>
      </c>
      <c r="K140" s="22"/>
    </row>
    <row r="141" spans="1:22" ht="14.25" x14ac:dyDescent="0.2">
      <c r="A141" s="19"/>
      <c r="B141" s="19"/>
      <c r="C141" s="19" t="s">
        <v>276</v>
      </c>
      <c r="D141" s="20" t="s">
        <v>277</v>
      </c>
      <c r="E141" s="9">
        <f>Source!AQ78</f>
        <v>17.260000000000002</v>
      </c>
      <c r="F141" s="22"/>
      <c r="G141" s="21" t="str">
        <f>Source!DI78</f>
        <v/>
      </c>
      <c r="H141" s="9">
        <f>Source!AV78</f>
        <v>1</v>
      </c>
      <c r="I141" s="9"/>
      <c r="J141" s="22"/>
      <c r="K141" s="22">
        <f>Source!U78</f>
        <v>2.589</v>
      </c>
    </row>
    <row r="142" spans="1:22" ht="15" x14ac:dyDescent="0.25">
      <c r="A142" s="26"/>
      <c r="B142" s="26"/>
      <c r="C142" s="26"/>
      <c r="D142" s="26"/>
      <c r="E142" s="26"/>
      <c r="F142" s="26"/>
      <c r="G142" s="26"/>
      <c r="H142" s="26"/>
      <c r="I142" s="63">
        <f>J132+J133+J135+J138+J139+J140+SUM(J136:J137)</f>
        <v>3989.7699999999995</v>
      </c>
      <c r="J142" s="63"/>
      <c r="K142" s="27">
        <f>IF(Source!I78&lt;&gt;0, ROUND(I142/Source!I78, 2), 0)</f>
        <v>26598.47</v>
      </c>
      <c r="P142" s="24">
        <f>I142</f>
        <v>3989.7699999999995</v>
      </c>
    </row>
    <row r="143" spans="1:22" ht="85.5" x14ac:dyDescent="0.2">
      <c r="A143" s="19">
        <v>14</v>
      </c>
      <c r="B143" s="19" t="str">
        <f>Source!F81</f>
        <v>1.21-3103-21-3/1</v>
      </c>
      <c r="C143" s="19" t="str">
        <f>Source!G81</f>
        <v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16 мм2 (без стоимости материалов)</v>
      </c>
      <c r="D143" s="20" t="str">
        <f>Source!H81</f>
        <v>100 м</v>
      </c>
      <c r="E143" s="9">
        <f>Source!I81</f>
        <v>0.15</v>
      </c>
      <c r="F143" s="22"/>
      <c r="G143" s="21"/>
      <c r="H143" s="9"/>
      <c r="I143" s="9"/>
      <c r="J143" s="22"/>
      <c r="K143" s="22"/>
      <c r="Q143">
        <f>ROUND((Source!BZ81/100)*ROUND((Source!AF81*Source!AV81)*Source!I81, 2), 2)</f>
        <v>445.19</v>
      </c>
      <c r="R143">
        <f>Source!X81</f>
        <v>445.19</v>
      </c>
      <c r="S143">
        <f>ROUND((Source!CA81/100)*ROUND((Source!AF81*Source!AV81)*Source!I81, 2), 2)</f>
        <v>63.6</v>
      </c>
      <c r="T143">
        <f>Source!Y81</f>
        <v>63.6</v>
      </c>
      <c r="U143">
        <f>ROUND((175/100)*ROUND((Source!AE81*Source!AV81)*Source!I81, 2), 2)</f>
        <v>0</v>
      </c>
      <c r="V143">
        <f>ROUND((108/100)*ROUND(Source!CS81*Source!I81, 2), 2)</f>
        <v>0</v>
      </c>
    </row>
    <row r="144" spans="1:22" x14ac:dyDescent="0.2">
      <c r="C144" s="23" t="str">
        <f>"Объем: "&amp;Source!I81&amp;"=15/"&amp;"100"</f>
        <v>Объем: 0,15=15/100</v>
      </c>
    </row>
    <row r="145" spans="1:22" ht="14.25" x14ac:dyDescent="0.2">
      <c r="A145" s="19"/>
      <c r="B145" s="19"/>
      <c r="C145" s="19" t="s">
        <v>271</v>
      </c>
      <c r="D145" s="20"/>
      <c r="E145" s="9"/>
      <c r="F145" s="22">
        <f>Source!AO81</f>
        <v>4239.84</v>
      </c>
      <c r="G145" s="21" t="str">
        <f>Source!DG81</f>
        <v/>
      </c>
      <c r="H145" s="9">
        <f>Source!AV81</f>
        <v>1</v>
      </c>
      <c r="I145" s="9">
        <f>IF(Source!BA81&lt;&gt; 0, Source!BA81, 1)</f>
        <v>1</v>
      </c>
      <c r="J145" s="22">
        <f>Source!S81</f>
        <v>635.98</v>
      </c>
      <c r="K145" s="22"/>
    </row>
    <row r="146" spans="1:22" ht="114" x14ac:dyDescent="0.2">
      <c r="A146" s="19" t="s">
        <v>140</v>
      </c>
      <c r="B146" s="19" t="str">
        <f>Source!F82</f>
        <v>21.23-8-269</v>
      </c>
      <c r="C146" s="19" t="str">
        <f>Source!G82</f>
        <v>Кабели силовые, с медными жилами, с изоляц. и оболоч.из ПВХ пластиката пониж.пожар.опасности, не распростр.горение, с пониж.дымо- и газовыделением и с низк.токсич-тью продуктов горения, напряж.1000 В, марка ВВГнг(А)-LSLTx, число жил и сечение, мм2: 3х1,5</v>
      </c>
      <c r="D146" s="20" t="str">
        <f>Source!H82</f>
        <v>км</v>
      </c>
      <c r="E146" s="9">
        <f>Source!I82</f>
        <v>1.5299999999999998E-2</v>
      </c>
      <c r="F146" s="22">
        <f>Source!AK82</f>
        <v>89703.17</v>
      </c>
      <c r="G146" s="29" t="s">
        <v>3</v>
      </c>
      <c r="H146" s="9">
        <f>Source!AW82</f>
        <v>1</v>
      </c>
      <c r="I146" s="9">
        <f>IF(Source!BC82&lt;&gt; 0, Source!BC82, 1)</f>
        <v>1</v>
      </c>
      <c r="J146" s="22">
        <f>Source!O82</f>
        <v>1372.46</v>
      </c>
      <c r="K146" s="22"/>
      <c r="Q146">
        <f>ROUND((Source!BZ82/100)*ROUND((Source!AF82*Source!AV82)*Source!I82, 2), 2)</f>
        <v>0</v>
      </c>
      <c r="R146">
        <f>Source!X82</f>
        <v>0</v>
      </c>
      <c r="S146">
        <f>ROUND((Source!CA82/100)*ROUND((Source!AF82*Source!AV82)*Source!I82, 2), 2)</f>
        <v>0</v>
      </c>
      <c r="T146">
        <f>Source!Y82</f>
        <v>0</v>
      </c>
      <c r="U146">
        <f>ROUND((175/100)*ROUND((Source!AE82*Source!AV82)*Source!I82, 2), 2)</f>
        <v>0</v>
      </c>
      <c r="V146">
        <f>ROUND((108/100)*ROUND(Source!CS82*Source!I82, 2), 2)</f>
        <v>0</v>
      </c>
    </row>
    <row r="147" spans="1:22" ht="14.25" x14ac:dyDescent="0.2">
      <c r="A147" s="19"/>
      <c r="B147" s="19"/>
      <c r="C147" s="19" t="s">
        <v>273</v>
      </c>
      <c r="D147" s="20" t="s">
        <v>274</v>
      </c>
      <c r="E147" s="9">
        <f>Source!AT81</f>
        <v>70</v>
      </c>
      <c r="F147" s="22"/>
      <c r="G147" s="21"/>
      <c r="H147" s="9"/>
      <c r="I147" s="9"/>
      <c r="J147" s="22">
        <f>SUM(R143:R146)</f>
        <v>445.19</v>
      </c>
      <c r="K147" s="22"/>
    </row>
    <row r="148" spans="1:22" ht="14.25" x14ac:dyDescent="0.2">
      <c r="A148" s="19"/>
      <c r="B148" s="19"/>
      <c r="C148" s="19" t="s">
        <v>275</v>
      </c>
      <c r="D148" s="20" t="s">
        <v>274</v>
      </c>
      <c r="E148" s="9">
        <f>Source!AU81</f>
        <v>10</v>
      </c>
      <c r="F148" s="22"/>
      <c r="G148" s="21"/>
      <c r="H148" s="9"/>
      <c r="I148" s="9"/>
      <c r="J148" s="22">
        <f>SUM(T143:T147)</f>
        <v>63.6</v>
      </c>
      <c r="K148" s="22"/>
    </row>
    <row r="149" spans="1:22" ht="14.25" x14ac:dyDescent="0.2">
      <c r="A149" s="19"/>
      <c r="B149" s="19"/>
      <c r="C149" s="19" t="s">
        <v>276</v>
      </c>
      <c r="D149" s="20" t="s">
        <v>277</v>
      </c>
      <c r="E149" s="9">
        <f>Source!AQ81</f>
        <v>8.2899999999999991</v>
      </c>
      <c r="F149" s="22"/>
      <c r="G149" s="21" t="str">
        <f>Source!DI81</f>
        <v/>
      </c>
      <c r="H149" s="9">
        <f>Source!AV81</f>
        <v>1</v>
      </c>
      <c r="I149" s="9"/>
      <c r="J149" s="22"/>
      <c r="K149" s="22">
        <f>Source!U81</f>
        <v>1.2434999999999998</v>
      </c>
    </row>
    <row r="150" spans="1:22" ht="15" x14ac:dyDescent="0.25">
      <c r="A150" s="26"/>
      <c r="B150" s="26"/>
      <c r="C150" s="26"/>
      <c r="D150" s="26"/>
      <c r="E150" s="26"/>
      <c r="F150" s="26"/>
      <c r="G150" s="26"/>
      <c r="H150" s="26"/>
      <c r="I150" s="63">
        <f>J145+J147+J148+SUM(J146:J146)</f>
        <v>2517.23</v>
      </c>
      <c r="J150" s="63"/>
      <c r="K150" s="27">
        <f>IF(Source!I81&lt;&gt;0, ROUND(I150/Source!I81, 2), 0)</f>
        <v>16781.53</v>
      </c>
      <c r="P150" s="24">
        <f>I150</f>
        <v>2517.23</v>
      </c>
    </row>
    <row r="151" spans="1:22" ht="85.5" x14ac:dyDescent="0.2">
      <c r="A151" s="19">
        <v>15</v>
      </c>
      <c r="B151" s="19" t="str">
        <f>Source!F83</f>
        <v>1.21-3103-21-10/1</v>
      </c>
      <c r="C151" s="19" t="str">
        <f>Source!G83</f>
        <v>Затягивание проводов и кабелей в проложенные трубы и металлические рукава, провод каждый последующий одножильный или многожильный в общей оплетке, суммарное сечение до 35 мм2 (без стоимости материалов)</v>
      </c>
      <c r="D151" s="20" t="str">
        <f>Source!H83</f>
        <v>100 м</v>
      </c>
      <c r="E151" s="9">
        <f>Source!I83</f>
        <v>0.14000000000000001</v>
      </c>
      <c r="F151" s="22"/>
      <c r="G151" s="21"/>
      <c r="H151" s="9"/>
      <c r="I151" s="9"/>
      <c r="J151" s="22"/>
      <c r="K151" s="22"/>
      <c r="Q151">
        <f>ROUND((Source!BZ83/100)*ROUND((Source!AF83*Source!AV83)*Source!I83, 2), 2)</f>
        <v>296.72000000000003</v>
      </c>
      <c r="R151">
        <f>Source!X83</f>
        <v>296.72000000000003</v>
      </c>
      <c r="S151">
        <f>ROUND((Source!CA83/100)*ROUND((Source!AF83*Source!AV83)*Source!I83, 2), 2)</f>
        <v>42.39</v>
      </c>
      <c r="T151">
        <f>Source!Y83</f>
        <v>42.39</v>
      </c>
      <c r="U151">
        <f>ROUND((175/100)*ROUND((Source!AE83*Source!AV83)*Source!I83, 2), 2)</f>
        <v>0</v>
      </c>
      <c r="V151">
        <f>ROUND((108/100)*ROUND(Source!CS83*Source!I83, 2), 2)</f>
        <v>0</v>
      </c>
    </row>
    <row r="152" spans="1:22" x14ac:dyDescent="0.2">
      <c r="C152" s="23" t="str">
        <f>"Объем: "&amp;Source!I83&amp;"=14/"&amp;"100"</f>
        <v>Объем: 0,14=14/100</v>
      </c>
    </row>
    <row r="153" spans="1:22" ht="14.25" x14ac:dyDescent="0.2">
      <c r="A153" s="19"/>
      <c r="B153" s="19"/>
      <c r="C153" s="19" t="s">
        <v>271</v>
      </c>
      <c r="D153" s="20"/>
      <c r="E153" s="9"/>
      <c r="F153" s="22">
        <f>Source!AO83</f>
        <v>3027.72</v>
      </c>
      <c r="G153" s="21" t="str">
        <f>Source!DG83</f>
        <v/>
      </c>
      <c r="H153" s="9">
        <f>Source!AV83</f>
        <v>1</v>
      </c>
      <c r="I153" s="9">
        <f>IF(Source!BA83&lt;&gt; 0, Source!BA83, 1)</f>
        <v>1</v>
      </c>
      <c r="J153" s="22">
        <f>Source!S83</f>
        <v>423.88</v>
      </c>
      <c r="K153" s="22"/>
    </row>
    <row r="154" spans="1:22" ht="114" x14ac:dyDescent="0.2">
      <c r="A154" s="19" t="s">
        <v>149</v>
      </c>
      <c r="B154" s="19" t="str">
        <f>Source!F84</f>
        <v>21.23-8-269</v>
      </c>
      <c r="C154" s="19" t="str">
        <f>Source!G84</f>
        <v>Кабели силовые, с медными жилами, с изоляц. и оболоч.из ПВХ пластиката пониж.пожар.опасности, не распростр.горение, с пониж.дымо- и газовыделением и с низк.токсич-тью продуктов горения, напряж.1000 В, марка ВВГнг(А)-LSLTx, число жил и сечение, мм2: 3х1,5</v>
      </c>
      <c r="D154" s="20" t="str">
        <f>Source!H84</f>
        <v>км</v>
      </c>
      <c r="E154" s="9">
        <f>Source!I84</f>
        <v>1.4279999999999999E-2</v>
      </c>
      <c r="F154" s="22">
        <f>Source!AK84</f>
        <v>89703.17</v>
      </c>
      <c r="G154" s="29" t="s">
        <v>3</v>
      </c>
      <c r="H154" s="9">
        <f>Source!AW84</f>
        <v>1</v>
      </c>
      <c r="I154" s="9">
        <f>IF(Source!BC84&lt;&gt; 0, Source!BC84, 1)</f>
        <v>1</v>
      </c>
      <c r="J154" s="22">
        <f>Source!O84</f>
        <v>1280.96</v>
      </c>
      <c r="K154" s="22"/>
      <c r="Q154">
        <f>ROUND((Source!BZ84/100)*ROUND((Source!AF84*Source!AV84)*Source!I84, 2), 2)</f>
        <v>0</v>
      </c>
      <c r="R154">
        <f>Source!X84</f>
        <v>0</v>
      </c>
      <c r="S154">
        <f>ROUND((Source!CA84/100)*ROUND((Source!AF84*Source!AV84)*Source!I84, 2), 2)</f>
        <v>0</v>
      </c>
      <c r="T154">
        <f>Source!Y84</f>
        <v>0</v>
      </c>
      <c r="U154">
        <f>ROUND((175/100)*ROUND((Source!AE84*Source!AV84)*Source!I84, 2), 2)</f>
        <v>0</v>
      </c>
      <c r="V154">
        <f>ROUND((108/100)*ROUND(Source!CS84*Source!I84, 2), 2)</f>
        <v>0</v>
      </c>
    </row>
    <row r="155" spans="1:22" ht="14.25" x14ac:dyDescent="0.2">
      <c r="A155" s="19"/>
      <c r="B155" s="19"/>
      <c r="C155" s="19" t="s">
        <v>273</v>
      </c>
      <c r="D155" s="20" t="s">
        <v>274</v>
      </c>
      <c r="E155" s="9">
        <f>Source!AT83</f>
        <v>70</v>
      </c>
      <c r="F155" s="22"/>
      <c r="G155" s="21"/>
      <c r="H155" s="9"/>
      <c r="I155" s="9"/>
      <c r="J155" s="22">
        <f>SUM(R151:R154)</f>
        <v>296.72000000000003</v>
      </c>
      <c r="K155" s="22"/>
    </row>
    <row r="156" spans="1:22" ht="14.25" x14ac:dyDescent="0.2">
      <c r="A156" s="19"/>
      <c r="B156" s="19"/>
      <c r="C156" s="19" t="s">
        <v>275</v>
      </c>
      <c r="D156" s="20" t="s">
        <v>274</v>
      </c>
      <c r="E156" s="9">
        <f>Source!AU83</f>
        <v>10</v>
      </c>
      <c r="F156" s="22"/>
      <c r="G156" s="21"/>
      <c r="H156" s="9"/>
      <c r="I156" s="9"/>
      <c r="J156" s="22">
        <f>SUM(T151:T155)</f>
        <v>42.39</v>
      </c>
      <c r="K156" s="22"/>
    </row>
    <row r="157" spans="1:22" ht="14.25" x14ac:dyDescent="0.2">
      <c r="A157" s="19"/>
      <c r="B157" s="19"/>
      <c r="C157" s="19" t="s">
        <v>276</v>
      </c>
      <c r="D157" s="20" t="s">
        <v>277</v>
      </c>
      <c r="E157" s="9">
        <f>Source!AQ83</f>
        <v>5.92</v>
      </c>
      <c r="F157" s="22"/>
      <c r="G157" s="21" t="str">
        <f>Source!DI83</f>
        <v/>
      </c>
      <c r="H157" s="9">
        <f>Source!AV83</f>
        <v>1</v>
      </c>
      <c r="I157" s="9"/>
      <c r="J157" s="22"/>
      <c r="K157" s="22">
        <f>Source!U83</f>
        <v>0.82880000000000009</v>
      </c>
    </row>
    <row r="158" spans="1:22" ht="15" x14ac:dyDescent="0.25">
      <c r="A158" s="26"/>
      <c r="B158" s="26"/>
      <c r="C158" s="26"/>
      <c r="D158" s="26"/>
      <c r="E158" s="26"/>
      <c r="F158" s="26"/>
      <c r="G158" s="26"/>
      <c r="H158" s="26"/>
      <c r="I158" s="63">
        <f>J153+J155+J156+SUM(J154:J154)</f>
        <v>2043.95</v>
      </c>
      <c r="J158" s="63"/>
      <c r="K158" s="27">
        <f>IF(Source!I83&lt;&gt;0, ROUND(I158/Source!I83, 2), 0)</f>
        <v>14599.64</v>
      </c>
      <c r="P158" s="24">
        <f>I158</f>
        <v>2043.95</v>
      </c>
    </row>
    <row r="159" spans="1:22" ht="28.5" x14ac:dyDescent="0.2">
      <c r="A159" s="19">
        <v>16</v>
      </c>
      <c r="B159" s="19" t="str">
        <f>Source!F85</f>
        <v>1.50-3205-6-2/1</v>
      </c>
      <c r="C159" s="19" t="str">
        <f>Source!G85</f>
        <v>Покрытие полиэтиленовой пленкой поверхности полов</v>
      </c>
      <c r="D159" s="20" t="str">
        <f>Source!H85</f>
        <v>100 м2</v>
      </c>
      <c r="E159" s="9">
        <f>Source!I85</f>
        <v>1.3</v>
      </c>
      <c r="F159" s="22"/>
      <c r="G159" s="21"/>
      <c r="H159" s="9"/>
      <c r="I159" s="9"/>
      <c r="J159" s="22"/>
      <c r="K159" s="22"/>
      <c r="Q159">
        <f>ROUND((Source!BZ85/100)*ROUND((Source!AF85*Source!AV85)*Source!I85, 2), 2)</f>
        <v>1066.22</v>
      </c>
      <c r="R159">
        <f>Source!X85</f>
        <v>1066.22</v>
      </c>
      <c r="S159">
        <f>ROUND((Source!CA85/100)*ROUND((Source!AF85*Source!AV85)*Source!I85, 2), 2)</f>
        <v>152.32</v>
      </c>
      <c r="T159">
        <f>Source!Y85</f>
        <v>152.32</v>
      </c>
      <c r="U159">
        <f>ROUND((175/100)*ROUND((Source!AE85*Source!AV85)*Source!I85, 2), 2)</f>
        <v>0</v>
      </c>
      <c r="V159">
        <f>ROUND((108/100)*ROUND(Source!CS85*Source!I85, 2), 2)</f>
        <v>0</v>
      </c>
    </row>
    <row r="160" spans="1:22" x14ac:dyDescent="0.2">
      <c r="C160" s="23" t="str">
        <f>"Объем: "&amp;Source!I85&amp;"=130/"&amp;"100"</f>
        <v>Объем: 1,3=130/100</v>
      </c>
    </row>
    <row r="161" spans="1:22" ht="14.25" x14ac:dyDescent="0.2">
      <c r="A161" s="19"/>
      <c r="B161" s="19"/>
      <c r="C161" s="19" t="s">
        <v>271</v>
      </c>
      <c r="D161" s="20"/>
      <c r="E161" s="9"/>
      <c r="F161" s="22">
        <f>Source!AO85</f>
        <v>1171.67</v>
      </c>
      <c r="G161" s="21" t="str">
        <f>Source!DG85</f>
        <v/>
      </c>
      <c r="H161" s="9">
        <f>Source!AV85</f>
        <v>1</v>
      </c>
      <c r="I161" s="9">
        <f>IF(Source!BA85&lt;&gt; 0, Source!BA85, 1)</f>
        <v>1</v>
      </c>
      <c r="J161" s="22">
        <f>Source!S85</f>
        <v>1523.17</v>
      </c>
      <c r="K161" s="22"/>
    </row>
    <row r="162" spans="1:22" ht="14.25" x14ac:dyDescent="0.2">
      <c r="A162" s="19"/>
      <c r="B162" s="19"/>
      <c r="C162" s="19" t="s">
        <v>272</v>
      </c>
      <c r="D162" s="20"/>
      <c r="E162" s="9"/>
      <c r="F162" s="22">
        <f>Source!AL85</f>
        <v>1426.76</v>
      </c>
      <c r="G162" s="21" t="str">
        <f>Source!DD85</f>
        <v/>
      </c>
      <c r="H162" s="9">
        <f>Source!AW85</f>
        <v>1</v>
      </c>
      <c r="I162" s="9">
        <f>IF(Source!BC85&lt;&gt; 0, Source!BC85, 1)</f>
        <v>1</v>
      </c>
      <c r="J162" s="22">
        <f>Source!P85</f>
        <v>1854.79</v>
      </c>
      <c r="K162" s="22"/>
    </row>
    <row r="163" spans="1:22" ht="14.25" x14ac:dyDescent="0.2">
      <c r="A163" s="19"/>
      <c r="B163" s="19"/>
      <c r="C163" s="19" t="s">
        <v>273</v>
      </c>
      <c r="D163" s="20" t="s">
        <v>274</v>
      </c>
      <c r="E163" s="9">
        <f>Source!AT85</f>
        <v>70</v>
      </c>
      <c r="F163" s="22"/>
      <c r="G163" s="21"/>
      <c r="H163" s="9"/>
      <c r="I163" s="9"/>
      <c r="J163" s="22">
        <f>SUM(R159:R162)</f>
        <v>1066.22</v>
      </c>
      <c r="K163" s="22"/>
    </row>
    <row r="164" spans="1:22" ht="14.25" x14ac:dyDescent="0.2">
      <c r="A164" s="19"/>
      <c r="B164" s="19"/>
      <c r="C164" s="19" t="s">
        <v>275</v>
      </c>
      <c r="D164" s="20" t="s">
        <v>274</v>
      </c>
      <c r="E164" s="9">
        <f>Source!AU85</f>
        <v>10</v>
      </c>
      <c r="F164" s="22"/>
      <c r="G164" s="21"/>
      <c r="H164" s="9"/>
      <c r="I164" s="9"/>
      <c r="J164" s="22">
        <f>SUM(T159:T163)</f>
        <v>152.32</v>
      </c>
      <c r="K164" s="22"/>
    </row>
    <row r="165" spans="1:22" ht="14.25" x14ac:dyDescent="0.2">
      <c r="A165" s="19"/>
      <c r="B165" s="19"/>
      <c r="C165" s="19" t="s">
        <v>276</v>
      </c>
      <c r="D165" s="20" t="s">
        <v>277</v>
      </c>
      <c r="E165" s="9">
        <f>Source!AQ85</f>
        <v>3.01</v>
      </c>
      <c r="F165" s="22"/>
      <c r="G165" s="21" t="str">
        <f>Source!DI85</f>
        <v/>
      </c>
      <c r="H165" s="9">
        <f>Source!AV85</f>
        <v>1</v>
      </c>
      <c r="I165" s="9"/>
      <c r="J165" s="22"/>
      <c r="K165" s="22">
        <f>Source!U85</f>
        <v>3.9129999999999998</v>
      </c>
    </row>
    <row r="166" spans="1:22" ht="15" x14ac:dyDescent="0.25">
      <c r="A166" s="26"/>
      <c r="B166" s="26"/>
      <c r="C166" s="26"/>
      <c r="D166" s="26"/>
      <c r="E166" s="26"/>
      <c r="F166" s="26"/>
      <c r="G166" s="26"/>
      <c r="H166" s="26"/>
      <c r="I166" s="63">
        <f>J161+J162+J163+J164</f>
        <v>4596.5</v>
      </c>
      <c r="J166" s="63"/>
      <c r="K166" s="27">
        <f>IF(Source!I85&lt;&gt;0, ROUND(I166/Source!I85, 2), 0)</f>
        <v>3535.77</v>
      </c>
      <c r="P166" s="24">
        <f>I166</f>
        <v>4596.5</v>
      </c>
    </row>
    <row r="167" spans="1:22" ht="28.5" x14ac:dyDescent="0.2">
      <c r="A167" s="19">
        <v>17</v>
      </c>
      <c r="B167" s="19" t="str">
        <f>Source!F86</f>
        <v>1.50-3205-7-2/1</v>
      </c>
      <c r="C167" s="19" t="str">
        <f>Source!G86</f>
        <v>Снятие полиэтиленовой пленки с поверхности полов</v>
      </c>
      <c r="D167" s="20" t="str">
        <f>Source!H86</f>
        <v>100 м2</v>
      </c>
      <c r="E167" s="9">
        <f>Source!I86</f>
        <v>1.3</v>
      </c>
      <c r="F167" s="22"/>
      <c r="G167" s="21"/>
      <c r="H167" s="9"/>
      <c r="I167" s="9"/>
      <c r="J167" s="22"/>
      <c r="K167" s="22"/>
      <c r="Q167">
        <f>ROUND((Source!BZ86/100)*ROUND((Source!AF86*Source!AV86)*Source!I86, 2), 2)</f>
        <v>896.2</v>
      </c>
      <c r="R167">
        <f>Source!X86</f>
        <v>896.2</v>
      </c>
      <c r="S167">
        <f>ROUND((Source!CA86/100)*ROUND((Source!AF86*Source!AV86)*Source!I86, 2), 2)</f>
        <v>128.03</v>
      </c>
      <c r="T167">
        <f>Source!Y86</f>
        <v>128.03</v>
      </c>
      <c r="U167">
        <f>ROUND((175/100)*ROUND((Source!AE86*Source!AV86)*Source!I86, 2), 2)</f>
        <v>0</v>
      </c>
      <c r="V167">
        <f>ROUND((108/100)*ROUND(Source!CS86*Source!I86, 2), 2)</f>
        <v>0</v>
      </c>
    </row>
    <row r="168" spans="1:22" x14ac:dyDescent="0.2">
      <c r="C168" s="23" t="str">
        <f>"Объем: "&amp;Source!I86&amp;"=130/"&amp;"100"</f>
        <v>Объем: 1,3=130/100</v>
      </c>
    </row>
    <row r="169" spans="1:22" ht="14.25" x14ac:dyDescent="0.2">
      <c r="A169" s="19"/>
      <c r="B169" s="19"/>
      <c r="C169" s="19" t="s">
        <v>271</v>
      </c>
      <c r="D169" s="20"/>
      <c r="E169" s="9"/>
      <c r="F169" s="22">
        <f>Source!AO86</f>
        <v>984.83</v>
      </c>
      <c r="G169" s="21" t="str">
        <f>Source!DG86</f>
        <v/>
      </c>
      <c r="H169" s="9">
        <f>Source!AV86</f>
        <v>1</v>
      </c>
      <c r="I169" s="9">
        <f>IF(Source!BA86&lt;&gt; 0, Source!BA86, 1)</f>
        <v>1</v>
      </c>
      <c r="J169" s="22">
        <f>Source!S86</f>
        <v>1280.28</v>
      </c>
      <c r="K169" s="22"/>
    </row>
    <row r="170" spans="1:22" ht="14.25" x14ac:dyDescent="0.2">
      <c r="A170" s="19"/>
      <c r="B170" s="19"/>
      <c r="C170" s="19" t="s">
        <v>273</v>
      </c>
      <c r="D170" s="20" t="s">
        <v>274</v>
      </c>
      <c r="E170" s="9">
        <f>Source!AT86</f>
        <v>70</v>
      </c>
      <c r="F170" s="22"/>
      <c r="G170" s="21"/>
      <c r="H170" s="9"/>
      <c r="I170" s="9"/>
      <c r="J170" s="22">
        <f>SUM(R167:R169)</f>
        <v>896.2</v>
      </c>
      <c r="K170" s="22"/>
    </row>
    <row r="171" spans="1:22" ht="14.25" x14ac:dyDescent="0.2">
      <c r="A171" s="19"/>
      <c r="B171" s="19"/>
      <c r="C171" s="19" t="s">
        <v>275</v>
      </c>
      <c r="D171" s="20" t="s">
        <v>274</v>
      </c>
      <c r="E171" s="9">
        <f>Source!AU86</f>
        <v>10</v>
      </c>
      <c r="F171" s="22"/>
      <c r="G171" s="21"/>
      <c r="H171" s="9"/>
      <c r="I171" s="9"/>
      <c r="J171" s="22">
        <f>SUM(T167:T170)</f>
        <v>128.03</v>
      </c>
      <c r="K171" s="22"/>
    </row>
    <row r="172" spans="1:22" ht="14.25" x14ac:dyDescent="0.2">
      <c r="A172" s="19"/>
      <c r="B172" s="19"/>
      <c r="C172" s="19" t="s">
        <v>276</v>
      </c>
      <c r="D172" s="20" t="s">
        <v>277</v>
      </c>
      <c r="E172" s="9">
        <f>Source!AQ86</f>
        <v>2.5299999999999998</v>
      </c>
      <c r="F172" s="22"/>
      <c r="G172" s="21" t="str">
        <f>Source!DI86</f>
        <v/>
      </c>
      <c r="H172" s="9">
        <f>Source!AV86</f>
        <v>1</v>
      </c>
      <c r="I172" s="9"/>
      <c r="J172" s="22"/>
      <c r="K172" s="22">
        <f>Source!U86</f>
        <v>3.2889999999999997</v>
      </c>
    </row>
    <row r="173" spans="1:22" ht="15" x14ac:dyDescent="0.25">
      <c r="A173" s="26"/>
      <c r="B173" s="26"/>
      <c r="C173" s="26"/>
      <c r="D173" s="26"/>
      <c r="E173" s="26"/>
      <c r="F173" s="26"/>
      <c r="G173" s="26"/>
      <c r="H173" s="26"/>
      <c r="I173" s="63">
        <f>J169+J170+J171</f>
        <v>2304.5100000000002</v>
      </c>
      <c r="J173" s="63"/>
      <c r="K173" s="27">
        <f>IF(Source!I86&lt;&gt;0, ROUND(I173/Source!I86, 2), 0)</f>
        <v>1772.7</v>
      </c>
      <c r="P173" s="24">
        <f>I173</f>
        <v>2304.5100000000002</v>
      </c>
    </row>
    <row r="175" spans="1:22" ht="15" x14ac:dyDescent="0.25">
      <c r="A175" s="61" t="str">
        <f>CONCATENATE("Итого по разделу: ",IF(Source!G88&lt;&gt;"Новый раздел", Source!G88, ""))</f>
        <v>Итого по разделу: Спортивный зал малый</v>
      </c>
      <c r="B175" s="61"/>
      <c r="C175" s="61"/>
      <c r="D175" s="61"/>
      <c r="E175" s="61"/>
      <c r="F175" s="61"/>
      <c r="G175" s="61"/>
      <c r="H175" s="61"/>
      <c r="I175" s="64">
        <f>SUM(P76:P174)</f>
        <v>325437.42000000004</v>
      </c>
      <c r="J175" s="65"/>
      <c r="K175" s="30"/>
    </row>
    <row r="178" spans="1:22" ht="16.5" x14ac:dyDescent="0.25">
      <c r="A178" s="62" t="str">
        <f>CONCATENATE("Раздел: ",IF(Source!G118&lt;&gt;"Новый раздел", Source!G118, ""))</f>
        <v>Раздел: Мусор</v>
      </c>
      <c r="B178" s="62"/>
      <c r="C178" s="62"/>
      <c r="D178" s="62"/>
      <c r="E178" s="62"/>
      <c r="F178" s="62"/>
      <c r="G178" s="62"/>
      <c r="H178" s="62"/>
      <c r="I178" s="62"/>
      <c r="J178" s="62"/>
      <c r="K178" s="62"/>
    </row>
    <row r="179" spans="1:22" ht="42.75" x14ac:dyDescent="0.2">
      <c r="A179" s="19">
        <v>18</v>
      </c>
      <c r="B179" s="19" t="str">
        <f>Source!F122</f>
        <v>1.49-9101-7-1/1</v>
      </c>
      <c r="C179" s="19" t="str">
        <f>Source!G122</f>
        <v>Механизированная погрузка строительного мусора в автомобили-самосвалы</v>
      </c>
      <c r="D179" s="20" t="str">
        <f>Source!H122</f>
        <v>т</v>
      </c>
      <c r="E179" s="9">
        <f>Source!I122</f>
        <v>6.4000000000000001E-2</v>
      </c>
      <c r="F179" s="22"/>
      <c r="G179" s="21"/>
      <c r="H179" s="9"/>
      <c r="I179" s="9"/>
      <c r="J179" s="22"/>
      <c r="K179" s="22"/>
      <c r="Q179">
        <f>ROUND((Source!BZ122/100)*ROUND((Source!AF122*Source!AV122)*Source!I122, 2), 2)</f>
        <v>0</v>
      </c>
      <c r="R179">
        <f>Source!X122</f>
        <v>0</v>
      </c>
      <c r="S179">
        <f>ROUND((Source!CA122/100)*ROUND((Source!AF122*Source!AV122)*Source!I122, 2), 2)</f>
        <v>0</v>
      </c>
      <c r="T179">
        <f>Source!Y122</f>
        <v>0</v>
      </c>
      <c r="U179">
        <f>ROUND((175/100)*ROUND((Source!AE122*Source!AV122)*Source!I122, 2), 2)</f>
        <v>5.65</v>
      </c>
      <c r="V179">
        <f>ROUND((108/100)*ROUND(Source!CS122*Source!I122, 2), 2)</f>
        <v>3.49</v>
      </c>
    </row>
    <row r="180" spans="1:22" ht="14.25" x14ac:dyDescent="0.2">
      <c r="A180" s="19"/>
      <c r="B180" s="19"/>
      <c r="C180" s="19" t="s">
        <v>278</v>
      </c>
      <c r="D180" s="20"/>
      <c r="E180" s="9"/>
      <c r="F180" s="22">
        <f>Source!AM122</f>
        <v>117.87</v>
      </c>
      <c r="G180" s="21" t="str">
        <f>Source!DE122</f>
        <v/>
      </c>
      <c r="H180" s="9">
        <f>Source!AV122</f>
        <v>1</v>
      </c>
      <c r="I180" s="9">
        <f>IF(Source!BB122&lt;&gt; 0, Source!BB122, 1)</f>
        <v>1</v>
      </c>
      <c r="J180" s="22">
        <f>Source!Q122</f>
        <v>7.54</v>
      </c>
      <c r="K180" s="22"/>
    </row>
    <row r="181" spans="1:22" ht="14.25" x14ac:dyDescent="0.2">
      <c r="A181" s="19"/>
      <c r="B181" s="19"/>
      <c r="C181" s="19" t="s">
        <v>279</v>
      </c>
      <c r="D181" s="20"/>
      <c r="E181" s="9"/>
      <c r="F181" s="22">
        <f>Source!AN122</f>
        <v>50.5</v>
      </c>
      <c r="G181" s="21" t="str">
        <f>Source!DF122</f>
        <v/>
      </c>
      <c r="H181" s="9">
        <f>Source!AV122</f>
        <v>1</v>
      </c>
      <c r="I181" s="9">
        <f>IF(Source!BS122&lt;&gt; 0, Source!BS122, 1)</f>
        <v>1</v>
      </c>
      <c r="J181" s="28">
        <f>Source!R122</f>
        <v>3.23</v>
      </c>
      <c r="K181" s="22"/>
    </row>
    <row r="182" spans="1:22" ht="14.25" x14ac:dyDescent="0.2">
      <c r="A182" s="19"/>
      <c r="B182" s="19"/>
      <c r="C182" s="19" t="s">
        <v>280</v>
      </c>
      <c r="D182" s="20" t="s">
        <v>274</v>
      </c>
      <c r="E182" s="9">
        <f>108</f>
        <v>108</v>
      </c>
      <c r="F182" s="22"/>
      <c r="G182" s="21"/>
      <c r="H182" s="9"/>
      <c r="I182" s="9"/>
      <c r="J182" s="22">
        <f>SUM(V179:V181)</f>
        <v>3.49</v>
      </c>
      <c r="K182" s="22"/>
    </row>
    <row r="183" spans="1:22" ht="15" x14ac:dyDescent="0.25">
      <c r="A183" s="26"/>
      <c r="B183" s="26"/>
      <c r="C183" s="26"/>
      <c r="D183" s="26"/>
      <c r="E183" s="26"/>
      <c r="F183" s="26"/>
      <c r="G183" s="26"/>
      <c r="H183" s="26"/>
      <c r="I183" s="63">
        <f>J180+J182</f>
        <v>11.030000000000001</v>
      </c>
      <c r="J183" s="63"/>
      <c r="K183" s="27">
        <f>IF(Source!I122&lt;&gt;0, ROUND(I183/Source!I122, 2), 0)</f>
        <v>172.34</v>
      </c>
      <c r="P183" s="24">
        <f>I183</f>
        <v>11.030000000000001</v>
      </c>
    </row>
    <row r="184" spans="1:22" ht="57" x14ac:dyDescent="0.2">
      <c r="A184" s="19">
        <v>19</v>
      </c>
      <c r="B184" s="19" t="str">
        <f>Source!F123</f>
        <v>1.49-9201-1-2/1</v>
      </c>
      <c r="C184" s="19" t="str">
        <f>Source!G123</f>
        <v>Перевозка строительного мусора автосамосвалами грузоподъемностью до 10 т на расстояние 1 км - при механизированной погрузке</v>
      </c>
      <c r="D184" s="20" t="str">
        <f>Source!H123</f>
        <v>т</v>
      </c>
      <c r="E184" s="9">
        <f>Source!I123</f>
        <v>6.4000000000000001E-2</v>
      </c>
      <c r="F184" s="22"/>
      <c r="G184" s="21"/>
      <c r="H184" s="9"/>
      <c r="I184" s="9"/>
      <c r="J184" s="22"/>
      <c r="K184" s="22"/>
      <c r="Q184">
        <f>ROUND((Source!BZ123/100)*ROUND((Source!AF123*Source!AV123)*Source!I123, 2), 2)</f>
        <v>0</v>
      </c>
      <c r="R184">
        <f>Source!X123</f>
        <v>0</v>
      </c>
      <c r="S184">
        <f>ROUND((Source!CA123/100)*ROUND((Source!AF123*Source!AV123)*Source!I123, 2), 2)</f>
        <v>0</v>
      </c>
      <c r="T184">
        <f>Source!Y123</f>
        <v>0</v>
      </c>
      <c r="U184">
        <f>ROUND((175/100)*ROUND((Source!AE123*Source!AV123)*Source!I123, 2), 2)</f>
        <v>6.25</v>
      </c>
      <c r="V184">
        <f>ROUND((108/100)*ROUND(Source!CS123*Source!I123, 2), 2)</f>
        <v>3.86</v>
      </c>
    </row>
    <row r="185" spans="1:22" ht="14.25" x14ac:dyDescent="0.2">
      <c r="A185" s="19"/>
      <c r="B185" s="19"/>
      <c r="C185" s="19" t="s">
        <v>278</v>
      </c>
      <c r="D185" s="20"/>
      <c r="E185" s="9"/>
      <c r="F185" s="22">
        <f>Source!AM123</f>
        <v>91.5</v>
      </c>
      <c r="G185" s="21" t="str">
        <f>Source!DE123</f>
        <v/>
      </c>
      <c r="H185" s="9">
        <f>Source!AV123</f>
        <v>1</v>
      </c>
      <c r="I185" s="9">
        <f>IF(Source!BB123&lt;&gt; 0, Source!BB123, 1)</f>
        <v>1</v>
      </c>
      <c r="J185" s="22">
        <f>Source!Q123</f>
        <v>5.86</v>
      </c>
      <c r="K185" s="22"/>
    </row>
    <row r="186" spans="1:22" ht="14.25" x14ac:dyDescent="0.2">
      <c r="A186" s="19"/>
      <c r="B186" s="19"/>
      <c r="C186" s="19" t="s">
        <v>279</v>
      </c>
      <c r="D186" s="20"/>
      <c r="E186" s="9"/>
      <c r="F186" s="22">
        <f>Source!AN123</f>
        <v>55.79</v>
      </c>
      <c r="G186" s="21" t="str">
        <f>Source!DF123</f>
        <v/>
      </c>
      <c r="H186" s="9">
        <f>Source!AV123</f>
        <v>1</v>
      </c>
      <c r="I186" s="9">
        <f>IF(Source!BS123&lt;&gt; 0, Source!BS123, 1)</f>
        <v>1</v>
      </c>
      <c r="J186" s="28">
        <f>Source!R123</f>
        <v>3.57</v>
      </c>
      <c r="K186" s="22"/>
    </row>
    <row r="187" spans="1:22" ht="15" x14ac:dyDescent="0.25">
      <c r="A187" s="26"/>
      <c r="B187" s="26"/>
      <c r="C187" s="26"/>
      <c r="D187" s="26"/>
      <c r="E187" s="26"/>
      <c r="F187" s="26"/>
      <c r="G187" s="26"/>
      <c r="H187" s="26"/>
      <c r="I187" s="63">
        <f>J185</f>
        <v>5.86</v>
      </c>
      <c r="J187" s="63"/>
      <c r="K187" s="27">
        <f>IF(Source!I123&lt;&gt;0, ROUND(I187/Source!I123, 2), 0)</f>
        <v>91.56</v>
      </c>
      <c r="P187" s="24">
        <f>I187</f>
        <v>5.86</v>
      </c>
    </row>
    <row r="188" spans="1:22" ht="57" x14ac:dyDescent="0.2">
      <c r="A188" s="19">
        <v>20</v>
      </c>
      <c r="B188" s="19" t="str">
        <f>Source!F124</f>
        <v>1.49-9201-1-3/1</v>
      </c>
      <c r="C188" s="19" t="str">
        <f>Source!G124</f>
        <v>Перевозка строительного мусора автосамосвалами грузоподъемностью до 10 т - добавляется на каждый последующий 1 км до 100 км</v>
      </c>
      <c r="D188" s="20" t="str">
        <f>Source!H124</f>
        <v>т</v>
      </c>
      <c r="E188" s="9">
        <f>Source!I124</f>
        <v>6.4000000000000001E-2</v>
      </c>
      <c r="F188" s="22"/>
      <c r="G188" s="21"/>
      <c r="H188" s="9"/>
      <c r="I188" s="9"/>
      <c r="J188" s="22"/>
      <c r="K188" s="22"/>
      <c r="Q188">
        <f>ROUND((Source!BZ124/100)*ROUND((Source!AF124*Source!AV124)*Source!I124, 2), 2)</f>
        <v>0</v>
      </c>
      <c r="R188">
        <f>Source!X124</f>
        <v>0</v>
      </c>
      <c r="S188">
        <f>ROUND((Source!CA124/100)*ROUND((Source!AF124*Source!AV124)*Source!I124, 2), 2)</f>
        <v>0</v>
      </c>
      <c r="T188">
        <f>Source!Y124</f>
        <v>0</v>
      </c>
      <c r="U188">
        <f>ROUND((175/100)*ROUND((Source!AE124*Source!AV124)*Source!I124, 2), 2)</f>
        <v>142.08000000000001</v>
      </c>
      <c r="V188">
        <f>ROUND((108/100)*ROUND(Source!CS124*Source!I124, 2), 2)</f>
        <v>87.69</v>
      </c>
    </row>
    <row r="189" spans="1:22" ht="14.25" x14ac:dyDescent="0.2">
      <c r="A189" s="19"/>
      <c r="B189" s="19"/>
      <c r="C189" s="19" t="s">
        <v>278</v>
      </c>
      <c r="D189" s="20"/>
      <c r="E189" s="9"/>
      <c r="F189" s="22">
        <f>Source!AM124</f>
        <v>43.33</v>
      </c>
      <c r="G189" s="21" t="str">
        <f>Source!DE124</f>
        <v>*48</v>
      </c>
      <c r="H189" s="9">
        <f>Source!AV124</f>
        <v>1</v>
      </c>
      <c r="I189" s="9">
        <f>IF(Source!BB124&lt;&gt; 0, Source!BB124, 1)</f>
        <v>1</v>
      </c>
      <c r="J189" s="22">
        <f>Source!Q124</f>
        <v>133.11000000000001</v>
      </c>
      <c r="K189" s="22"/>
    </row>
    <row r="190" spans="1:22" ht="14.25" x14ac:dyDescent="0.2">
      <c r="A190" s="19"/>
      <c r="B190" s="19"/>
      <c r="C190" s="19" t="s">
        <v>279</v>
      </c>
      <c r="D190" s="20"/>
      <c r="E190" s="9"/>
      <c r="F190" s="22">
        <f>Source!AN124</f>
        <v>26.43</v>
      </c>
      <c r="G190" s="21" t="str">
        <f>Source!DF124</f>
        <v>*48</v>
      </c>
      <c r="H190" s="9">
        <f>Source!AV124</f>
        <v>1</v>
      </c>
      <c r="I190" s="9">
        <f>IF(Source!BS124&lt;&gt; 0, Source!BS124, 1)</f>
        <v>1</v>
      </c>
      <c r="J190" s="28">
        <f>Source!R124</f>
        <v>81.19</v>
      </c>
      <c r="K190" s="22"/>
    </row>
    <row r="191" spans="1:22" ht="15" x14ac:dyDescent="0.25">
      <c r="A191" s="26"/>
      <c r="B191" s="26"/>
      <c r="C191" s="26"/>
      <c r="D191" s="26"/>
      <c r="E191" s="26"/>
      <c r="F191" s="26"/>
      <c r="G191" s="26"/>
      <c r="H191" s="26"/>
      <c r="I191" s="63">
        <f>J189</f>
        <v>133.11000000000001</v>
      </c>
      <c r="J191" s="63"/>
      <c r="K191" s="27">
        <f>IF(Source!I124&lt;&gt;0, ROUND(I191/Source!I124, 2), 0)</f>
        <v>2079.84</v>
      </c>
      <c r="P191" s="24">
        <f>I191</f>
        <v>133.11000000000001</v>
      </c>
    </row>
    <row r="193" spans="1:34" ht="15" x14ac:dyDescent="0.25">
      <c r="A193" s="61" t="str">
        <f>CONCATENATE("Итого по разделу: ",IF(Source!G126&lt;&gt;"Новый раздел", Source!G126, ""))</f>
        <v>Итого по разделу: Мусор</v>
      </c>
      <c r="B193" s="61"/>
      <c r="C193" s="61"/>
      <c r="D193" s="61"/>
      <c r="E193" s="61"/>
      <c r="F193" s="61"/>
      <c r="G193" s="61"/>
      <c r="H193" s="61"/>
      <c r="I193" s="64">
        <f>SUM(P178:P192)</f>
        <v>150</v>
      </c>
      <c r="J193" s="65"/>
      <c r="K193" s="30"/>
    </row>
    <row r="196" spans="1:34" ht="15" x14ac:dyDescent="0.25">
      <c r="A196" s="61" t="str">
        <f>CONCATENATE("Итого по локальной смете: ",IF(Source!G156&lt;&gt;"Новая локальная смета", Source!G156, ""))</f>
        <v xml:space="preserve">Итого по локальной смете: </v>
      </c>
      <c r="B196" s="61"/>
      <c r="C196" s="61"/>
      <c r="D196" s="61"/>
      <c r="E196" s="61"/>
      <c r="F196" s="61"/>
      <c r="G196" s="61"/>
      <c r="H196" s="61"/>
      <c r="I196" s="64">
        <f>SUM(P32:P195)</f>
        <v>525401.3899999999</v>
      </c>
      <c r="J196" s="65"/>
      <c r="K196" s="30"/>
    </row>
    <row r="199" spans="1:34" ht="15" x14ac:dyDescent="0.25">
      <c r="A199" s="61" t="str">
        <f>CONCATENATE("Итого по смете: ",IF(Source!G186&lt;&gt;"Новый объект", Source!G186, ""))</f>
        <v>Итого по смете: ГБОУ Школа №1440. Осенний б-р д. 10 корп. 3 (в ценах на 01.04.2025 г)</v>
      </c>
      <c r="B199" s="61"/>
      <c r="C199" s="61"/>
      <c r="D199" s="61"/>
      <c r="E199" s="61"/>
      <c r="F199" s="61"/>
      <c r="G199" s="61"/>
      <c r="H199" s="61"/>
      <c r="I199" s="64">
        <f>SUM(P1:P198)</f>
        <v>525401.3899999999</v>
      </c>
      <c r="J199" s="65"/>
      <c r="K199" s="30"/>
      <c r="AF199" s="31" t="str">
        <f>CONCATENATE("Итого по смете: ",IF(Source!G186&lt;&gt;"Новый объект", Source!G186, ""))</f>
        <v>Итого по смете: ГБОУ Школа №1440. Осенний б-р д. 10 корп. 3 (в ценах на 01.04.2025 г)</v>
      </c>
    </row>
    <row r="200" spans="1:34" ht="14.25" x14ac:dyDescent="0.2">
      <c r="C200" s="51" t="str">
        <f>Source!H215</f>
        <v>НДС 20%</v>
      </c>
      <c r="D200" s="51"/>
      <c r="E200" s="51"/>
      <c r="F200" s="51"/>
      <c r="G200" s="51"/>
      <c r="H200" s="51"/>
      <c r="I200" s="49">
        <f>IF(Source!F215=0, "", Source!F215)</f>
        <v>105080.28</v>
      </c>
      <c r="J200" s="49"/>
    </row>
    <row r="201" spans="1:34" ht="14.25" x14ac:dyDescent="0.2">
      <c r="C201" s="51" t="str">
        <f>Source!H216</f>
        <v>Итого с НДС</v>
      </c>
      <c r="D201" s="51"/>
      <c r="E201" s="51"/>
      <c r="F201" s="51"/>
      <c r="G201" s="51"/>
      <c r="H201" s="51"/>
      <c r="I201" s="49">
        <f>IF(Source!F216=0, "", Source!F216)</f>
        <v>630481.67000000004</v>
      </c>
      <c r="J201" s="49"/>
    </row>
    <row r="202" spans="1:34" ht="42.75" x14ac:dyDescent="0.2">
      <c r="C202" s="51" t="str">
        <f>Source!H217</f>
        <v>В случае указания на товарные знаки, фирменные наименования, патенты, модели, промышленные образцы или наименование производителя, следует читать со словами «или эквивалент»</v>
      </c>
      <c r="D202" s="51"/>
      <c r="E202" s="51"/>
      <c r="F202" s="51"/>
      <c r="G202" s="51"/>
      <c r="H202" s="51"/>
      <c r="I202" s="49" t="str">
        <f>IF(Source!F217=0, "", Source!F217)</f>
        <v/>
      </c>
      <c r="J202" s="49"/>
      <c r="AH202" s="32" t="s">
        <v>171</v>
      </c>
    </row>
    <row r="205" spans="1:34" ht="14.25" x14ac:dyDescent="0.2">
      <c r="A205" s="66" t="s">
        <v>282</v>
      </c>
      <c r="B205" s="66"/>
      <c r="C205" s="33" t="str">
        <f>IF(Source!AC12&lt;&gt;"", Source!AC12," ")</f>
        <v xml:space="preserve"> </v>
      </c>
      <c r="D205" s="33"/>
      <c r="E205" s="33"/>
      <c r="F205" s="33"/>
      <c r="G205" s="33"/>
      <c r="H205" s="10" t="str">
        <f>IF(Source!AB12&lt;&gt;"", Source!AB12," ")</f>
        <v xml:space="preserve"> </v>
      </c>
      <c r="I205" s="10"/>
      <c r="J205" s="10"/>
      <c r="K205" s="10"/>
    </row>
    <row r="206" spans="1:34" ht="14.25" x14ac:dyDescent="0.2">
      <c r="A206" s="10"/>
      <c r="B206" s="10"/>
      <c r="C206" s="67" t="s">
        <v>283</v>
      </c>
      <c r="D206" s="67"/>
      <c r="E206" s="67"/>
      <c r="F206" s="67"/>
      <c r="G206" s="67"/>
      <c r="H206" s="10"/>
      <c r="I206" s="10"/>
      <c r="J206" s="10"/>
      <c r="K206" s="10"/>
    </row>
    <row r="207" spans="1:34" ht="14.25" x14ac:dyDescent="0.2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</row>
    <row r="208" spans="1:34" ht="14.25" x14ac:dyDescent="0.2">
      <c r="A208" s="66" t="s">
        <v>284</v>
      </c>
      <c r="B208" s="66"/>
      <c r="C208" s="33" t="str">
        <f>IF(Source!AE12&lt;&gt;"", Source!AE12," ")</f>
        <v xml:space="preserve"> </v>
      </c>
      <c r="D208" s="33"/>
      <c r="E208" s="33"/>
      <c r="F208" s="33"/>
      <c r="G208" s="33"/>
      <c r="H208" s="10" t="str">
        <f>IF(Source!AD12&lt;&gt;"", Source!AD12," ")</f>
        <v xml:space="preserve"> </v>
      </c>
      <c r="I208" s="10"/>
      <c r="J208" s="10"/>
      <c r="K208" s="10"/>
    </row>
    <row r="209" spans="1:11" ht="14.25" x14ac:dyDescent="0.2">
      <c r="A209" s="10"/>
      <c r="B209" s="10"/>
      <c r="C209" s="67" t="s">
        <v>283</v>
      </c>
      <c r="D209" s="67"/>
      <c r="E209" s="67"/>
      <c r="F209" s="67"/>
      <c r="G209" s="67"/>
      <c r="H209" s="10"/>
      <c r="I209" s="10"/>
      <c r="J209" s="10"/>
      <c r="K209" s="10"/>
    </row>
  </sheetData>
  <mergeCells count="81">
    <mergeCell ref="C206:G206"/>
    <mergeCell ref="A208:B208"/>
    <mergeCell ref="C209:G209"/>
    <mergeCell ref="C200:H200"/>
    <mergeCell ref="C201:H201"/>
    <mergeCell ref="I201:J201"/>
    <mergeCell ref="C202:H202"/>
    <mergeCell ref="I202:J202"/>
    <mergeCell ref="A205:B205"/>
    <mergeCell ref="I196:J196"/>
    <mergeCell ref="A196:H196"/>
    <mergeCell ref="I199:J199"/>
    <mergeCell ref="A199:H199"/>
    <mergeCell ref="I200:J200"/>
    <mergeCell ref="A175:H175"/>
    <mergeCell ref="A178:K178"/>
    <mergeCell ref="I183:J183"/>
    <mergeCell ref="I187:J187"/>
    <mergeCell ref="I193:J193"/>
    <mergeCell ref="A193:H193"/>
    <mergeCell ref="I191:J191"/>
    <mergeCell ref="I129:J129"/>
    <mergeCell ref="I142:J142"/>
    <mergeCell ref="I150:J150"/>
    <mergeCell ref="I158:J158"/>
    <mergeCell ref="I166:J166"/>
    <mergeCell ref="I173:J173"/>
    <mergeCell ref="I175:J175"/>
    <mergeCell ref="I122:J122"/>
    <mergeCell ref="I56:J56"/>
    <mergeCell ref="I64:J64"/>
    <mergeCell ref="I71:J71"/>
    <mergeCell ref="I73:J73"/>
    <mergeCell ref="I84:J84"/>
    <mergeCell ref="I89:J89"/>
    <mergeCell ref="I98:J98"/>
    <mergeCell ref="I106:J106"/>
    <mergeCell ref="I114:J114"/>
    <mergeCell ref="F27:F29"/>
    <mergeCell ref="G27:G29"/>
    <mergeCell ref="H27:H29"/>
    <mergeCell ref="A73:H73"/>
    <mergeCell ref="A76:K76"/>
    <mergeCell ref="I27:I29"/>
    <mergeCell ref="J27:J29"/>
    <mergeCell ref="A32:K32"/>
    <mergeCell ref="A34:K34"/>
    <mergeCell ref="I42:J42"/>
    <mergeCell ref="I47:J47"/>
    <mergeCell ref="A27:A29"/>
    <mergeCell ref="B27:B29"/>
    <mergeCell ref="C27:C29"/>
    <mergeCell ref="D27:D29"/>
    <mergeCell ref="E27:E29"/>
    <mergeCell ref="F23:H23"/>
    <mergeCell ref="I23:J23"/>
    <mergeCell ref="F24:H24"/>
    <mergeCell ref="I24:J24"/>
    <mergeCell ref="F25:H25"/>
    <mergeCell ref="I25:J25"/>
    <mergeCell ref="A18:K18"/>
    <mergeCell ref="F20:H20"/>
    <mergeCell ref="I20:J20"/>
    <mergeCell ref="F22:H22"/>
    <mergeCell ref="I22:J22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A15:K15"/>
    <mergeCell ref="A16:K16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>Новый объект</v>
      </c>
      <c r="G12" t="str">
        <f>Source!G12</f>
        <v>ГБОУ Школа №1440. Осенний б-р д. 10 корп. 3 (в ценах на 01.04.2025 г)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tabSelected="1" zoomScaleNormal="100" workbookViewId="0">
      <selection activeCell="C13" sqref="C13"/>
    </sheetView>
  </sheetViews>
  <sheetFormatPr defaultRowHeight="12.75" x14ac:dyDescent="0.2"/>
  <cols>
    <col min="1" max="1" width="6.7109375" customWidth="1"/>
    <col min="2" max="2" width="75.7109375" customWidth="1"/>
    <col min="3" max="5" width="15.7109375" customWidth="1"/>
    <col min="30" max="30" width="114.7109375" hidden="1" customWidth="1"/>
    <col min="31" max="32" width="0" hidden="1" customWidth="1"/>
  </cols>
  <sheetData>
    <row r="1" spans="1:30" x14ac:dyDescent="0.2">
      <c r="A1" s="8" t="str">
        <f>Source!B1</f>
        <v>Smeta.RU  (495) 974-1589</v>
      </c>
    </row>
    <row r="2" spans="1:30" ht="14.25" x14ac:dyDescent="0.2">
      <c r="C2" s="10"/>
      <c r="D2" s="10"/>
    </row>
    <row r="3" spans="1:30" ht="15" x14ac:dyDescent="0.25">
      <c r="C3" s="10"/>
      <c r="D3" s="25" t="s">
        <v>245</v>
      </c>
    </row>
    <row r="4" spans="1:30" ht="15" x14ac:dyDescent="0.25">
      <c r="C4" s="25"/>
      <c r="D4" s="25"/>
    </row>
    <row r="5" spans="1:30" ht="15" x14ac:dyDescent="0.25">
      <c r="C5" s="82" t="s">
        <v>349</v>
      </c>
      <c r="D5" s="82"/>
      <c r="E5" s="82"/>
    </row>
    <row r="6" spans="1:30" ht="15" x14ac:dyDescent="0.25">
      <c r="C6" s="25"/>
      <c r="D6" s="25"/>
    </row>
    <row r="7" spans="1:30" ht="15" x14ac:dyDescent="0.25">
      <c r="C7" s="82" t="s">
        <v>351</v>
      </c>
      <c r="D7" s="82"/>
      <c r="E7" s="82"/>
    </row>
    <row r="8" spans="1:30" ht="15" x14ac:dyDescent="0.25">
      <c r="C8" s="25"/>
      <c r="D8" s="25"/>
    </row>
    <row r="9" spans="1:30" ht="15" x14ac:dyDescent="0.25">
      <c r="C9" s="25" t="s">
        <v>285</v>
      </c>
      <c r="D9" s="10"/>
    </row>
    <row r="10" spans="1:30" ht="14.25" x14ac:dyDescent="0.2">
      <c r="A10" s="10"/>
      <c r="B10" s="10"/>
      <c r="C10" s="10"/>
      <c r="D10" s="10"/>
      <c r="E10" s="10"/>
    </row>
    <row r="11" spans="1:30" ht="15.75" x14ac:dyDescent="0.25">
      <c r="A11" s="69" t="str">
        <f>CONCATENATE("Дефектный акт ", IF(Source!AN15&lt;&gt;"", Source!AN15," "))</f>
        <v xml:space="preserve">Дефектный акт  </v>
      </c>
      <c r="B11" s="69"/>
      <c r="C11" s="69"/>
      <c r="D11" s="69"/>
      <c r="E11" s="10"/>
    </row>
    <row r="12" spans="1:30" ht="15" x14ac:dyDescent="0.25">
      <c r="A12" s="70" t="str">
        <f>CONCATENATE("На капитальный ремонт ", Source!G12)</f>
        <v>На капитальный ремонт ГБОУ Школа №1440. Осенний б-р д. 10 корп. 3 (в ценах на 01.04.2025 г)</v>
      </c>
      <c r="B12" s="70"/>
      <c r="C12" s="70"/>
      <c r="D12" s="70"/>
      <c r="E12" s="10"/>
      <c r="AD12" s="34" t="str">
        <f>CONCATENATE("На капитальный ремонт ", Source!G12)</f>
        <v>На капитальный ремонт ГБОУ Школа №1440. Осенний б-р д. 10 корп. 3 (в ценах на 01.04.2025 г)</v>
      </c>
    </row>
    <row r="13" spans="1:30" ht="14.25" x14ac:dyDescent="0.2">
      <c r="A13" s="10"/>
      <c r="B13" s="10"/>
      <c r="C13" s="10"/>
      <c r="D13" s="10"/>
      <c r="E13" s="10"/>
    </row>
    <row r="14" spans="1:30" ht="15" x14ac:dyDescent="0.2">
      <c r="A14" s="10"/>
      <c r="B14" s="35" t="s">
        <v>286</v>
      </c>
      <c r="C14" s="10"/>
      <c r="D14" s="10"/>
      <c r="E14" s="10"/>
    </row>
    <row r="15" spans="1:30" ht="15" x14ac:dyDescent="0.2">
      <c r="A15" s="10"/>
      <c r="B15" s="35" t="s">
        <v>287</v>
      </c>
      <c r="C15" s="10"/>
      <c r="D15" s="10"/>
      <c r="E15" s="10"/>
    </row>
    <row r="16" spans="1:30" ht="15" x14ac:dyDescent="0.2">
      <c r="A16" s="10"/>
      <c r="B16" s="35" t="s">
        <v>288</v>
      </c>
      <c r="C16" s="10"/>
      <c r="D16" s="10"/>
      <c r="E16" s="10"/>
    </row>
    <row r="17" spans="1:5" ht="28.5" x14ac:dyDescent="0.2">
      <c r="A17" s="18" t="s">
        <v>289</v>
      </c>
      <c r="B17" s="18" t="s">
        <v>259</v>
      </c>
      <c r="C17" s="18" t="s">
        <v>260</v>
      </c>
      <c r="D17" s="18" t="s">
        <v>290</v>
      </c>
      <c r="E17" s="16" t="s">
        <v>291</v>
      </c>
    </row>
    <row r="18" spans="1:5" ht="14.25" x14ac:dyDescent="0.2">
      <c r="A18" s="36">
        <v>1</v>
      </c>
      <c r="B18" s="36">
        <v>2</v>
      </c>
      <c r="C18" s="36">
        <v>3</v>
      </c>
      <c r="D18" s="36">
        <v>4</v>
      </c>
      <c r="E18" s="36">
        <v>5</v>
      </c>
    </row>
    <row r="19" spans="1:5" ht="16.5" x14ac:dyDescent="0.25">
      <c r="A19" s="68" t="str">
        <f>CONCATENATE("Локальная смета: ", Source!G20)</f>
        <v>Локальная смета: Новая локальная смета</v>
      </c>
      <c r="B19" s="68"/>
      <c r="C19" s="68"/>
      <c r="D19" s="68"/>
      <c r="E19" s="68"/>
    </row>
    <row r="20" spans="1:5" ht="16.5" x14ac:dyDescent="0.25">
      <c r="A20" s="68" t="str">
        <f>CONCATENATE("Раздел: ", Source!G24)</f>
        <v>Раздел: Спортивный зал большой</v>
      </c>
      <c r="B20" s="68"/>
      <c r="C20" s="68"/>
      <c r="D20" s="68"/>
      <c r="E20" s="68"/>
    </row>
    <row r="21" spans="1:5" ht="28.5" x14ac:dyDescent="0.2">
      <c r="A21" s="41">
        <v>1</v>
      </c>
      <c r="B21" s="42" t="str">
        <f>Source!G28</f>
        <v>Установка и разборка инвентарных лесов внутренних трубчатых при высоте помещений до 6 м (без затрат по эксплуатации лесов) (леса/тура)</v>
      </c>
      <c r="C21" s="43" t="str">
        <f>Source!H28</f>
        <v>100 м2</v>
      </c>
      <c r="D21" s="44">
        <f>Source!I28</f>
        <v>0.84899999999999998</v>
      </c>
      <c r="E21" s="42"/>
    </row>
    <row r="22" spans="1:5" ht="28.5" x14ac:dyDescent="0.2">
      <c r="A22" s="41">
        <v>2</v>
      </c>
      <c r="B22" s="42" t="str">
        <f>Source!G29</f>
        <v>Леса инвентарные металлические трубчатые на хомутах со щитами ЛСПХ, 100 м2</v>
      </c>
      <c r="C22" s="43" t="str">
        <f>Source!H29</f>
        <v>маш.-ч</v>
      </c>
      <c r="D22" s="44">
        <f>Source!I29</f>
        <v>54.92</v>
      </c>
      <c r="E22" s="42"/>
    </row>
    <row r="23" spans="1:5" ht="42.75" x14ac:dyDescent="0.2">
      <c r="A23" s="41">
        <v>3</v>
      </c>
      <c r="B23" s="42" t="str">
        <f>Source!G30</f>
        <v>Внутренняя окраска водно-дисперсионными акриловыми красками по ранее окрашенным поверхностям стен - с расчисткой старой краски до 35% / краска моющаяся типа ВД-АК-210</v>
      </c>
      <c r="C23" s="43" t="str">
        <f>Source!H30</f>
        <v>100 м2</v>
      </c>
      <c r="D23" s="44">
        <f>Source!I30</f>
        <v>4.4800000000000004</v>
      </c>
      <c r="E23" s="42"/>
    </row>
    <row r="24" spans="1:5" ht="14.25" x14ac:dyDescent="0.2">
      <c r="A24" s="41">
        <v>3.1</v>
      </c>
      <c r="B24" s="42" t="str">
        <f>Source!G31</f>
        <v>Пигменты сухие для красок, охра золотистая</v>
      </c>
      <c r="C24" s="43" t="str">
        <f>Source!H31</f>
        <v>т</v>
      </c>
      <c r="D24" s="44">
        <f>Source!I31</f>
        <v>7.6160000000000004E-3</v>
      </c>
      <c r="E24" s="42"/>
    </row>
    <row r="25" spans="1:5" ht="14.25" x14ac:dyDescent="0.2">
      <c r="A25" s="41">
        <v>4</v>
      </c>
      <c r="B25" s="42" t="str">
        <f>Source!G32</f>
        <v>Покрытие полиэтиленовой пленкой поверхности полов</v>
      </c>
      <c r="C25" s="43" t="str">
        <f>Source!H32</f>
        <v>100 м2</v>
      </c>
      <c r="D25" s="44">
        <f>Source!I32</f>
        <v>2.83</v>
      </c>
      <c r="E25" s="42"/>
    </row>
    <row r="26" spans="1:5" ht="14.25" x14ac:dyDescent="0.2">
      <c r="A26" s="41">
        <v>5</v>
      </c>
      <c r="B26" s="42" t="str">
        <f>Source!G33</f>
        <v>Снятие полиэтиленовой пленки с поверхности полов</v>
      </c>
      <c r="C26" s="43" t="str">
        <f>Source!H33</f>
        <v>100 м2</v>
      </c>
      <c r="D26" s="44">
        <f>Source!I33</f>
        <v>2.83</v>
      </c>
      <c r="E26" s="42"/>
    </row>
    <row r="27" spans="1:5" ht="16.5" x14ac:dyDescent="0.25">
      <c r="A27" s="68" t="str">
        <f>CONCATENATE("Раздел: ", Source!G65)</f>
        <v>Раздел: Спортивный зал малый</v>
      </c>
      <c r="B27" s="68"/>
      <c r="C27" s="68"/>
      <c r="D27" s="68"/>
      <c r="E27" s="68"/>
    </row>
    <row r="28" spans="1:5" ht="28.5" x14ac:dyDescent="0.2">
      <c r="A28" s="41">
        <v>6</v>
      </c>
      <c r="B28" s="42" t="str">
        <f>Source!G69</f>
        <v>Установка и разборка инвентарных лесов внутренних трубчатых при высоте помещений до 6 м (без затрат по эксплуатации лесов) (леса/тура)</v>
      </c>
      <c r="C28" s="43" t="str">
        <f>Source!H69</f>
        <v>100 м2</v>
      </c>
      <c r="D28" s="44">
        <f>Source!I69</f>
        <v>0.39</v>
      </c>
      <c r="E28" s="42"/>
    </row>
    <row r="29" spans="1:5" ht="28.5" x14ac:dyDescent="0.2">
      <c r="A29" s="41">
        <v>7</v>
      </c>
      <c r="B29" s="42" t="str">
        <f>Source!G70</f>
        <v>Леса инвентарные металлические трубчатые на хомутах со щитами ЛСПХ, 100 м2</v>
      </c>
      <c r="C29" s="43" t="str">
        <f>Source!H70</f>
        <v>маш.-ч</v>
      </c>
      <c r="D29" s="44">
        <f>Source!I70</f>
        <v>101.2</v>
      </c>
      <c r="E29" s="42"/>
    </row>
    <row r="30" spans="1:5" ht="42.75" x14ac:dyDescent="0.2">
      <c r="A30" s="41">
        <v>8</v>
      </c>
      <c r="B30" s="42" t="str">
        <f>Source!G71</f>
        <v>Внутренняя окраска водно-дисперсионными акриловыми красками по ранее окрашенным поверхностям стен - с расчисткой старой краски до 35% / краска моющаяся типа ВД-АК-210</v>
      </c>
      <c r="C30" s="43" t="str">
        <f>Source!H71</f>
        <v>100 м2</v>
      </c>
      <c r="D30" s="44">
        <f>Source!I71</f>
        <v>2.9</v>
      </c>
      <c r="E30" s="42"/>
    </row>
    <row r="31" spans="1:5" ht="14.25" x14ac:dyDescent="0.2">
      <c r="A31" s="41">
        <v>8.1</v>
      </c>
      <c r="B31" s="42" t="str">
        <f>Source!G72</f>
        <v>Пигменты сухие для красок, охра золотистая</v>
      </c>
      <c r="C31" s="43" t="str">
        <f>Source!H72</f>
        <v>т</v>
      </c>
      <c r="D31" s="44">
        <f>Source!I72</f>
        <v>4.9300000000000004E-3</v>
      </c>
      <c r="E31" s="42"/>
    </row>
    <row r="32" spans="1:5" ht="42.75" x14ac:dyDescent="0.2">
      <c r="A32" s="41">
        <v>9</v>
      </c>
      <c r="B32" s="42" t="str">
        <f>Source!G73</f>
        <v>Внутренняя окраска водно-дисперсионными акриловыми красками по ранее окрашенным поверхностям потолков - с расчисткой старой краски до 35% / краска влагостойкая типа ВД-АК-120</v>
      </c>
      <c r="C32" s="43" t="str">
        <f>Source!H73</f>
        <v>100 м2</v>
      </c>
      <c r="D32" s="44">
        <f>Source!I73</f>
        <v>1.65</v>
      </c>
      <c r="E32" s="42"/>
    </row>
    <row r="33" spans="1:5" ht="28.5" x14ac:dyDescent="0.2">
      <c r="A33" s="41">
        <v>10</v>
      </c>
      <c r="B33" s="42" t="str">
        <f>Source!G74</f>
        <v>Замена электроосветительной арматуры с люминесцентными лампами с числом ламп до двух</v>
      </c>
      <c r="C33" s="43" t="str">
        <f>Source!H74</f>
        <v>10 шт.</v>
      </c>
      <c r="D33" s="44">
        <f>Source!I74</f>
        <v>4.2</v>
      </c>
      <c r="E33" s="42"/>
    </row>
    <row r="34" spans="1:5" ht="57" x14ac:dyDescent="0.2">
      <c r="A34" s="41">
        <v>10.1</v>
      </c>
      <c r="B34" s="42" t="str">
        <f>Source!G75</f>
        <v>Светильники светодиодные накладные, мощность 48 Вт, световой поток 4000 Лм, цветовая температура 4000 К, IP20, металлический корпус, опаловый рассеиватель, габаритные размеры 1237х120х54 мм, для общественных зданий</v>
      </c>
      <c r="C34" s="43" t="str">
        <f>Source!H75</f>
        <v>шт.</v>
      </c>
      <c r="D34" s="44">
        <f>Source!I75</f>
        <v>42</v>
      </c>
      <c r="E34" s="42"/>
    </row>
    <row r="35" spans="1:5" ht="28.5" x14ac:dyDescent="0.2">
      <c r="A35" s="41">
        <v>11</v>
      </c>
      <c r="B35" s="42" t="str">
        <f>Source!G76</f>
        <v>Демонтаж труб гофрированных поливинилхлоридных наружным диаметром 20 мм, проложенных открыто по стенам и потолкам</v>
      </c>
      <c r="C35" s="43" t="str">
        <f>Source!H76</f>
        <v>100 м</v>
      </c>
      <c r="D35" s="44">
        <f>Source!I76</f>
        <v>0.15</v>
      </c>
      <c r="E35" s="42"/>
    </row>
    <row r="36" spans="1:5" ht="14.25" x14ac:dyDescent="0.2">
      <c r="A36" s="41">
        <v>12</v>
      </c>
      <c r="B36" s="42" t="str">
        <f>Source!G77</f>
        <v>Демонтаж трубных проводок, первого провода сечением 6 мм2</v>
      </c>
      <c r="C36" s="43" t="str">
        <f>Source!H77</f>
        <v>100 м</v>
      </c>
      <c r="D36" s="44">
        <f>Source!I77</f>
        <v>0.28999999999999998</v>
      </c>
      <c r="E36" s="42"/>
    </row>
    <row r="37" spans="1:5" ht="42.75" x14ac:dyDescent="0.2">
      <c r="A37" s="41">
        <v>13</v>
      </c>
      <c r="B37" s="42" t="str">
        <f>Source!G78</f>
        <v>Прокладка труб гофрированных поливинилхлоридных наружным диаметром 20 мм открыто по стенам и потолкам с установкой соединительных коробок</v>
      </c>
      <c r="C37" s="43" t="str">
        <f>Source!H78</f>
        <v>100 м</v>
      </c>
      <c r="D37" s="44">
        <f>Source!I78</f>
        <v>0.15</v>
      </c>
      <c r="E37" s="42"/>
    </row>
    <row r="38" spans="1:5" ht="42.75" x14ac:dyDescent="0.2">
      <c r="A38" s="41">
        <v>13.1</v>
      </c>
      <c r="B38" s="42" t="str">
        <f>Source!G79</f>
        <v>Коробки для выполнения соединений и ответвлений электрических кабелей и проводов сечением до 4 мм2, прокладываемых в неметаллических трубах, тип КОР-73 УЗ</v>
      </c>
      <c r="C38" s="43" t="str">
        <f>Source!H79</f>
        <v>шт.</v>
      </c>
      <c r="D38" s="44">
        <f>Source!I79</f>
        <v>14.000000000000002</v>
      </c>
      <c r="E38" s="42"/>
    </row>
    <row r="39" spans="1:5" ht="42.75" x14ac:dyDescent="0.2">
      <c r="A39" s="41">
        <v>13.2</v>
      </c>
      <c r="B39" s="42" t="str">
        <f>Source!G80</f>
        <v>Коробки для выполнения соединений и ответвлений электрических кабелей и проводов сечением до 4 мм2, прокладываемых в неметаллических трубах, тип КОР-73 УЗ</v>
      </c>
      <c r="C39" s="43" t="str">
        <f>Source!H80</f>
        <v>шт.</v>
      </c>
      <c r="D39" s="44">
        <f>Source!I80</f>
        <v>-0.75</v>
      </c>
      <c r="E39" s="42"/>
    </row>
    <row r="40" spans="1:5" ht="42.75" x14ac:dyDescent="0.2">
      <c r="A40" s="41">
        <v>14</v>
      </c>
      <c r="B40" s="42" t="str">
        <f>Source!G81</f>
        <v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16 мм2 (без стоимости материалов)</v>
      </c>
      <c r="C40" s="43" t="str">
        <f>Source!H81</f>
        <v>100 м</v>
      </c>
      <c r="D40" s="44">
        <f>Source!I81</f>
        <v>0.15</v>
      </c>
      <c r="E40" s="42"/>
    </row>
    <row r="41" spans="1:5" ht="57" x14ac:dyDescent="0.2">
      <c r="A41" s="41">
        <v>14.1</v>
      </c>
      <c r="B41" s="42" t="str">
        <f>Source!G82</f>
        <v>Кабели силовые, с медными жилами, с изоляц. и оболоч.из ПВХ пластиката пониж.пожар.опасности, не распростр.горение, с пониж.дымо- и газовыделением и с низк.токсич-тью продуктов горения, напряж.1000 В, марка ВВГнг(А)-LSLTx, число жил и сечение, мм2: 3х1,5</v>
      </c>
      <c r="C41" s="43" t="str">
        <f>Source!H82</f>
        <v>км</v>
      </c>
      <c r="D41" s="44">
        <f>Source!I82</f>
        <v>1.5299999999999998E-2</v>
      </c>
      <c r="E41" s="42"/>
    </row>
    <row r="42" spans="1:5" ht="57" x14ac:dyDescent="0.2">
      <c r="A42" s="41">
        <v>15</v>
      </c>
      <c r="B42" s="42" t="str">
        <f>Source!G83</f>
        <v>Затягивание проводов и кабелей в проложенные трубы и металлические рукава, провод каждый последующий одножильный или многожильный в общей оплетке, суммарное сечение до 35 мм2 (без стоимости материалов)</v>
      </c>
      <c r="C42" s="43" t="str">
        <f>Source!H83</f>
        <v>100 м</v>
      </c>
      <c r="D42" s="44">
        <f>Source!I83</f>
        <v>0.14000000000000001</v>
      </c>
      <c r="E42" s="42"/>
    </row>
    <row r="43" spans="1:5" ht="57" x14ac:dyDescent="0.2">
      <c r="A43" s="41">
        <v>15.1</v>
      </c>
      <c r="B43" s="42" t="str">
        <f>Source!G84</f>
        <v>Кабели силовые, с медными жилами, с изоляц. и оболоч.из ПВХ пластиката пониж.пожар.опасности, не распростр.горение, с пониж.дымо- и газовыделением и с низк.токсич-тью продуктов горения, напряж.1000 В, марка ВВГнг(А)-LSLTx, число жил и сечение, мм2: 3х1,5</v>
      </c>
      <c r="C43" s="43" t="str">
        <f>Source!H84</f>
        <v>км</v>
      </c>
      <c r="D43" s="44">
        <f>Source!I84</f>
        <v>1.4279999999999999E-2</v>
      </c>
      <c r="E43" s="42"/>
    </row>
    <row r="44" spans="1:5" ht="14.25" x14ac:dyDescent="0.2">
      <c r="A44" s="41">
        <v>16</v>
      </c>
      <c r="B44" s="42" t="str">
        <f>Source!G85</f>
        <v>Покрытие полиэтиленовой пленкой поверхности полов</v>
      </c>
      <c r="C44" s="43" t="str">
        <f>Source!H85</f>
        <v>100 м2</v>
      </c>
      <c r="D44" s="44">
        <f>Source!I85</f>
        <v>1.3</v>
      </c>
      <c r="E44" s="42"/>
    </row>
    <row r="45" spans="1:5" ht="14.25" x14ac:dyDescent="0.2">
      <c r="A45" s="41">
        <v>17</v>
      </c>
      <c r="B45" s="42" t="str">
        <f>Source!G86</f>
        <v>Снятие полиэтиленовой пленки с поверхности полов</v>
      </c>
      <c r="C45" s="43" t="str">
        <f>Source!H86</f>
        <v>100 м2</v>
      </c>
      <c r="D45" s="44">
        <f>Source!I86</f>
        <v>1.3</v>
      </c>
      <c r="E45" s="42"/>
    </row>
    <row r="46" spans="1:5" ht="16.5" x14ac:dyDescent="0.25">
      <c r="A46" s="68" t="str">
        <f>CONCATENATE("Раздел: ", Source!G118)</f>
        <v>Раздел: Мусор</v>
      </c>
      <c r="B46" s="68"/>
      <c r="C46" s="68"/>
      <c r="D46" s="68"/>
      <c r="E46" s="68"/>
    </row>
    <row r="47" spans="1:5" ht="28.5" x14ac:dyDescent="0.2">
      <c r="A47" s="41">
        <v>18</v>
      </c>
      <c r="B47" s="42" t="str">
        <f>Source!G122</f>
        <v>Механизированная погрузка строительного мусора в автомобили-самосвалы</v>
      </c>
      <c r="C47" s="43" t="str">
        <f>Source!H122</f>
        <v>т</v>
      </c>
      <c r="D47" s="44">
        <f>Source!I122</f>
        <v>6.4000000000000001E-2</v>
      </c>
      <c r="E47" s="42"/>
    </row>
    <row r="48" spans="1:5" ht="28.5" x14ac:dyDescent="0.2">
      <c r="A48" s="41">
        <v>19</v>
      </c>
      <c r="B48" s="42" t="str">
        <f>Source!G123</f>
        <v>Перевозка строительного мусора автосамосвалами грузоподъемностью до 10 т на расстояние 1 км - при механизированной погрузке</v>
      </c>
      <c r="C48" s="43" t="str">
        <f>Source!H123</f>
        <v>т</v>
      </c>
      <c r="D48" s="44">
        <f>Source!I123</f>
        <v>6.4000000000000001E-2</v>
      </c>
      <c r="E48" s="42"/>
    </row>
    <row r="49" spans="1:5" ht="28.5" x14ac:dyDescent="0.2">
      <c r="A49" s="37">
        <v>20</v>
      </c>
      <c r="B49" s="38" t="str">
        <f>Source!G124</f>
        <v>Перевозка строительного мусора автосамосвалами грузоподъемностью до 10 т - добавляется на каждый последующий 1 км до 100 км</v>
      </c>
      <c r="C49" s="39" t="str">
        <f>Source!H124</f>
        <v>т</v>
      </c>
      <c r="D49" s="40">
        <f>Source!I124</f>
        <v>6.4000000000000001E-2</v>
      </c>
      <c r="E49" s="38"/>
    </row>
    <row r="52" spans="1:5" ht="15" x14ac:dyDescent="0.25">
      <c r="A52" s="30" t="s">
        <v>292</v>
      </c>
      <c r="B52" s="30"/>
      <c r="C52" s="30" t="s">
        <v>293</v>
      </c>
      <c r="D52" s="30"/>
      <c r="E52" s="30"/>
    </row>
  </sheetData>
  <mergeCells count="8">
    <mergeCell ref="A27:E27"/>
    <mergeCell ref="A46:E46"/>
    <mergeCell ref="A11:D11"/>
    <mergeCell ref="A12:D12"/>
    <mergeCell ref="A19:E19"/>
    <mergeCell ref="A20:E20"/>
    <mergeCell ref="C5:E5"/>
    <mergeCell ref="C7:E7"/>
  </mergeCells>
  <pageMargins left="0.4" right="0.2" top="0.2" bottom="0.4" header="0.2" footer="0.2"/>
  <pageSetup paperSize="9" scale="77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5"/>
  <sheetViews>
    <sheetView workbookViewId="0"/>
  </sheetViews>
  <sheetFormatPr defaultRowHeight="12.75" x14ac:dyDescent="0.2"/>
  <sheetData>
    <row r="1" spans="1:28" x14ac:dyDescent="0.2">
      <c r="A1" t="s">
        <v>322</v>
      </c>
      <c r="B1" t="s">
        <v>324</v>
      </c>
      <c r="C1" t="s">
        <v>325</v>
      </c>
      <c r="D1" t="s">
        <v>326</v>
      </c>
      <c r="E1" t="s">
        <v>327</v>
      </c>
      <c r="F1" t="s">
        <v>328</v>
      </c>
      <c r="G1" t="s">
        <v>329</v>
      </c>
      <c r="H1" t="s">
        <v>330</v>
      </c>
      <c r="I1" t="s">
        <v>331</v>
      </c>
      <c r="J1" t="s">
        <v>332</v>
      </c>
      <c r="K1" t="s">
        <v>333</v>
      </c>
      <c r="L1" t="s">
        <v>334</v>
      </c>
      <c r="M1" t="s">
        <v>335</v>
      </c>
      <c r="N1" t="s">
        <v>336</v>
      </c>
      <c r="O1" t="s">
        <v>323</v>
      </c>
    </row>
    <row r="2" spans="1:28" x14ac:dyDescent="0.2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0</v>
      </c>
      <c r="I2">
        <v>1</v>
      </c>
      <c r="J2">
        <v>0</v>
      </c>
      <c r="K2">
        <v>1</v>
      </c>
      <c r="L2">
        <v>75705739</v>
      </c>
      <c r="M2">
        <v>0</v>
      </c>
      <c r="N2">
        <v>0</v>
      </c>
      <c r="O2">
        <v>0</v>
      </c>
    </row>
    <row r="4" spans="1:28" x14ac:dyDescent="0.2">
      <c r="A4" t="s">
        <v>294</v>
      </c>
      <c r="B4" t="s">
        <v>295</v>
      </c>
      <c r="C4" t="s">
        <v>296</v>
      </c>
      <c r="D4" t="s">
        <v>297</v>
      </c>
      <c r="E4" t="s">
        <v>298</v>
      </c>
      <c r="F4" t="s">
        <v>299</v>
      </c>
      <c r="G4" t="s">
        <v>300</v>
      </c>
      <c r="H4" t="s">
        <v>301</v>
      </c>
      <c r="I4" t="s">
        <v>302</v>
      </c>
      <c r="J4" t="s">
        <v>303</v>
      </c>
      <c r="K4" t="s">
        <v>304</v>
      </c>
      <c r="L4" t="s">
        <v>305</v>
      </c>
      <c r="M4" t="s">
        <v>306</v>
      </c>
      <c r="N4" t="s">
        <v>307</v>
      </c>
      <c r="O4" t="s">
        <v>308</v>
      </c>
      <c r="P4" t="s">
        <v>309</v>
      </c>
      <c r="Q4" t="s">
        <v>310</v>
      </c>
      <c r="R4" t="s">
        <v>311</v>
      </c>
      <c r="S4" t="s">
        <v>312</v>
      </c>
      <c r="T4" t="s">
        <v>313</v>
      </c>
      <c r="U4" t="s">
        <v>317</v>
      </c>
      <c r="V4" t="s">
        <v>318</v>
      </c>
      <c r="W4" t="s">
        <v>319</v>
      </c>
      <c r="X4" t="s">
        <v>320</v>
      </c>
      <c r="Y4" t="s">
        <v>321</v>
      </c>
      <c r="Z4" t="s">
        <v>314</v>
      </c>
      <c r="AA4" t="s">
        <v>315</v>
      </c>
      <c r="AB4" t="s">
        <v>316</v>
      </c>
    </row>
    <row r="6" spans="1:28" x14ac:dyDescent="0.2">
      <c r="A6">
        <f>Source!A20</f>
        <v>3</v>
      </c>
      <c r="B6">
        <v>20</v>
      </c>
      <c r="G6" t="str">
        <f>Source!G20</f>
        <v>Новая локальная смета</v>
      </c>
    </row>
    <row r="7" spans="1:28" x14ac:dyDescent="0.2">
      <c r="A7">
        <f>Source!A24</f>
        <v>4</v>
      </c>
      <c r="B7">
        <v>24</v>
      </c>
      <c r="G7" t="str">
        <f>Source!G24</f>
        <v>Спортивный зал большой</v>
      </c>
    </row>
    <row r="8" spans="1:28" x14ac:dyDescent="0.2">
      <c r="A8">
        <v>20</v>
      </c>
      <c r="B8">
        <v>2</v>
      </c>
      <c r="C8">
        <v>3</v>
      </c>
      <c r="D8">
        <v>0</v>
      </c>
      <c r="E8">
        <f>SmtRes!AV2</f>
        <v>0</v>
      </c>
      <c r="F8" t="str">
        <f>SmtRes!I2</f>
        <v>21.1-9-51</v>
      </c>
      <c r="G8" t="str">
        <f>SmtRes!K2</f>
        <v>Доски хвойных пород, обрезные, длина 2-6,5 м, сорт II, толщина 25-32 мм</v>
      </c>
      <c r="H8" t="str">
        <f>SmtRes!O2</f>
        <v>м3</v>
      </c>
      <c r="I8">
        <f>SmtRes!Y2*Source!I28</f>
        <v>6.7920000000000003E-3</v>
      </c>
      <c r="J8">
        <f>SmtRes!AO2</f>
        <v>1</v>
      </c>
      <c r="K8">
        <f>SmtRes!AE2</f>
        <v>11988.68</v>
      </c>
      <c r="L8">
        <f>SmtRes!DB2</f>
        <v>95.91</v>
      </c>
      <c r="M8">
        <f>ROUND(ROUND(L8*Source!I28, 6)*1, 2)</f>
        <v>81.430000000000007</v>
      </c>
      <c r="N8">
        <f>SmtRes!AA2</f>
        <v>11988.68</v>
      </c>
      <c r="O8">
        <f>ROUND(ROUND(L8*Source!I28, 6)*SmtRes!DA2, 2)</f>
        <v>81.430000000000007</v>
      </c>
      <c r="P8">
        <f>SmtRes!AG2</f>
        <v>0</v>
      </c>
      <c r="Q8">
        <f>SmtRes!DC2</f>
        <v>0</v>
      </c>
      <c r="R8">
        <f>ROUND(ROUND(Q8*Source!I28, 6)*1, 2)</f>
        <v>0</v>
      </c>
      <c r="S8">
        <f>SmtRes!AC2</f>
        <v>0</v>
      </c>
      <c r="T8">
        <f>ROUND(ROUND(Q8*Source!I28, 6)*SmtRes!AK2, 2)</f>
        <v>0</v>
      </c>
      <c r="U8">
        <v>3</v>
      </c>
      <c r="Z8">
        <f>SmtRes!X2</f>
        <v>-1635218338</v>
      </c>
      <c r="AA8">
        <v>-620723599</v>
      </c>
      <c r="AB8">
        <v>-620723599</v>
      </c>
    </row>
    <row r="9" spans="1:28" x14ac:dyDescent="0.2">
      <c r="A9">
        <f>Source!A29</f>
        <v>17</v>
      </c>
      <c r="B9">
        <v>29</v>
      </c>
      <c r="C9">
        <v>2</v>
      </c>
      <c r="D9">
        <f>Source!BI29</f>
        <v>4</v>
      </c>
      <c r="E9">
        <f>Source!FS29</f>
        <v>0</v>
      </c>
      <c r="F9" t="str">
        <f>Source!F29</f>
        <v>22.1-4-70</v>
      </c>
      <c r="G9" t="str">
        <f>Source!G29</f>
        <v>Леса инвентарные металлические трубчатые на хомутах со щитами ЛСПХ, 100 м2</v>
      </c>
      <c r="H9" t="str">
        <f>Source!H29</f>
        <v>маш.-ч</v>
      </c>
      <c r="I9">
        <f>Source!I29</f>
        <v>54.92</v>
      </c>
      <c r="J9">
        <v>1</v>
      </c>
      <c r="K9">
        <f>Source!AD29</f>
        <v>5.72</v>
      </c>
      <c r="M9">
        <f>ROUND(K9*I9, 2)</f>
        <v>314.14</v>
      </c>
      <c r="N9">
        <f>Source!AD29*IF(Source!BB29&lt;&gt; 0, Source!BB29, 1)</f>
        <v>5.72</v>
      </c>
      <c r="O9">
        <f>ROUND(N9*I9, 2)</f>
        <v>314.14</v>
      </c>
      <c r="P9">
        <f>Source!AE29</f>
        <v>4.0999999999999996</v>
      </c>
      <c r="R9">
        <f>ROUND(P9*I9, 2)</f>
        <v>225.17</v>
      </c>
      <c r="S9">
        <f>Source!AE29*IF(Source!BS29&lt;&gt; 0, Source!BS29, 1)</f>
        <v>4.0999999999999996</v>
      </c>
      <c r="T9">
        <f>ROUND(S9*I9, 2)</f>
        <v>225.17</v>
      </c>
      <c r="U9">
        <v>2</v>
      </c>
      <c r="Z9">
        <f>Source!GF29</f>
        <v>1735689810</v>
      </c>
      <c r="AA9">
        <v>1514387371</v>
      </c>
      <c r="AB9">
        <v>1514387371</v>
      </c>
    </row>
    <row r="10" spans="1:28" x14ac:dyDescent="0.2">
      <c r="A10">
        <v>20</v>
      </c>
      <c r="B10">
        <v>10</v>
      </c>
      <c r="C10">
        <v>3</v>
      </c>
      <c r="D10">
        <v>0</v>
      </c>
      <c r="E10">
        <f>SmtRes!AV10</f>
        <v>0</v>
      </c>
      <c r="F10" t="str">
        <f>SmtRes!I10</f>
        <v>21.1-6-221</v>
      </c>
      <c r="G10" t="str">
        <f>SmtRes!K10</f>
        <v>Грунтовка водно-дисперсионная акриловая укрепляющая для минеральных поверхностей, типа ВД-АК-0110</v>
      </c>
      <c r="H10" t="str">
        <f>SmtRes!O10</f>
        <v>кг</v>
      </c>
      <c r="I10">
        <f>SmtRes!Y10*Source!I30</f>
        <v>62.720000000000006</v>
      </c>
      <c r="J10">
        <f>SmtRes!AO10</f>
        <v>1</v>
      </c>
      <c r="K10">
        <f>SmtRes!AE10</f>
        <v>80.599999999999994</v>
      </c>
      <c r="L10">
        <f>SmtRes!DB10</f>
        <v>1128.4000000000001</v>
      </c>
      <c r="M10">
        <f>ROUND(ROUND(L10*Source!I30, 6)*1, 2)</f>
        <v>5055.2299999999996</v>
      </c>
      <c r="N10">
        <f>SmtRes!AA10</f>
        <v>80.599999999999994</v>
      </c>
      <c r="O10">
        <f>ROUND(ROUND(L10*Source!I30, 6)*SmtRes!DA10, 2)</f>
        <v>5055.2299999999996</v>
      </c>
      <c r="P10">
        <f>SmtRes!AG10</f>
        <v>0</v>
      </c>
      <c r="Q10">
        <f>SmtRes!DC10</f>
        <v>0</v>
      </c>
      <c r="R10">
        <f>ROUND(ROUND(Q10*Source!I30, 6)*1, 2)</f>
        <v>0</v>
      </c>
      <c r="S10">
        <f>SmtRes!AC10</f>
        <v>0</v>
      </c>
      <c r="T10">
        <f>ROUND(ROUND(Q10*Source!I30, 6)*SmtRes!AK10, 2)</f>
        <v>0</v>
      </c>
      <c r="U10">
        <v>3</v>
      </c>
      <c r="Z10">
        <f>SmtRes!X10</f>
        <v>2089374929</v>
      </c>
      <c r="AA10">
        <v>-172959861</v>
      </c>
      <c r="AB10">
        <v>-172959861</v>
      </c>
    </row>
    <row r="11" spans="1:28" x14ac:dyDescent="0.2">
      <c r="A11">
        <v>20</v>
      </c>
      <c r="B11">
        <v>9</v>
      </c>
      <c r="C11">
        <v>3</v>
      </c>
      <c r="D11">
        <v>0</v>
      </c>
      <c r="E11">
        <f>SmtRes!AV9</f>
        <v>0</v>
      </c>
      <c r="F11" t="str">
        <f>SmtRes!I9</f>
        <v>21.1-6-219</v>
      </c>
      <c r="G11" t="str">
        <f>SmtRes!K9</f>
        <v>Краски водно-дисперсионные акриловые износостойкие, интерьерные, моющиеся, типа ВД-АК-210, белые</v>
      </c>
      <c r="H11" t="str">
        <f>SmtRes!O9</f>
        <v>кг</v>
      </c>
      <c r="I11">
        <f>SmtRes!Y9*Source!I30</f>
        <v>111.10400000000001</v>
      </c>
      <c r="J11">
        <f>SmtRes!AO9</f>
        <v>1</v>
      </c>
      <c r="K11">
        <f>SmtRes!AE9</f>
        <v>215.72</v>
      </c>
      <c r="L11">
        <f>SmtRes!DB9</f>
        <v>5349.86</v>
      </c>
      <c r="M11">
        <f>ROUND(ROUND(L11*Source!I30, 6)*1, 2)</f>
        <v>23967.37</v>
      </c>
      <c r="N11">
        <f>SmtRes!AA9</f>
        <v>215.72</v>
      </c>
      <c r="O11">
        <f>ROUND(ROUND(L11*Source!I30, 6)*SmtRes!DA9, 2)</f>
        <v>23967.37</v>
      </c>
      <c r="P11">
        <f>SmtRes!AG9</f>
        <v>0</v>
      </c>
      <c r="Q11">
        <f>SmtRes!DC9</f>
        <v>0</v>
      </c>
      <c r="R11">
        <f>ROUND(ROUND(Q11*Source!I30, 6)*1, 2)</f>
        <v>0</v>
      </c>
      <c r="S11">
        <f>SmtRes!AC9</f>
        <v>0</v>
      </c>
      <c r="T11">
        <f>ROUND(ROUND(Q11*Source!I30, 6)*SmtRes!AK9, 2)</f>
        <v>0</v>
      </c>
      <c r="U11">
        <v>3</v>
      </c>
      <c r="Z11">
        <f>SmtRes!X9</f>
        <v>-1799487693</v>
      </c>
      <c r="AA11">
        <v>1845104999</v>
      </c>
      <c r="AB11">
        <v>1845104999</v>
      </c>
    </row>
    <row r="12" spans="1:28" x14ac:dyDescent="0.2">
      <c r="A12">
        <v>20</v>
      </c>
      <c r="B12">
        <v>7</v>
      </c>
      <c r="C12">
        <v>3</v>
      </c>
      <c r="D12">
        <v>0</v>
      </c>
      <c r="E12">
        <f>SmtRes!AV7</f>
        <v>0</v>
      </c>
      <c r="F12" t="str">
        <f>SmtRes!I7</f>
        <v>21.1-25-404</v>
      </c>
      <c r="G12" t="str">
        <f>SmtRes!K7</f>
        <v>Шпатлевка водно-дисперсионная акриловая</v>
      </c>
      <c r="H12" t="str">
        <f>SmtRes!O7</f>
        <v>т</v>
      </c>
      <c r="I12">
        <f>SmtRes!Y7*Source!I30</f>
        <v>2.8672000000000003E-2</v>
      </c>
      <c r="J12">
        <f>SmtRes!AO7</f>
        <v>1</v>
      </c>
      <c r="K12">
        <f>SmtRes!AE7</f>
        <v>76204.789999999994</v>
      </c>
      <c r="L12">
        <f>SmtRes!DB7</f>
        <v>487.71</v>
      </c>
      <c r="M12">
        <f>ROUND(ROUND(L12*Source!I30, 6)*1, 2)</f>
        <v>2184.94</v>
      </c>
      <c r="N12">
        <f>SmtRes!AA7</f>
        <v>76204.789999999994</v>
      </c>
      <c r="O12">
        <f>ROUND(ROUND(L12*Source!I30, 6)*SmtRes!DA7, 2)</f>
        <v>2184.94</v>
      </c>
      <c r="P12">
        <f>SmtRes!AG7</f>
        <v>0</v>
      </c>
      <c r="Q12">
        <f>SmtRes!DC7</f>
        <v>0</v>
      </c>
      <c r="R12">
        <f>ROUND(ROUND(Q12*Source!I30, 6)*1, 2)</f>
        <v>0</v>
      </c>
      <c r="S12">
        <f>SmtRes!AC7</f>
        <v>0</v>
      </c>
      <c r="T12">
        <f>ROUND(ROUND(Q12*Source!I30, 6)*SmtRes!AK7, 2)</f>
        <v>0</v>
      </c>
      <c r="U12">
        <v>3</v>
      </c>
      <c r="Z12">
        <f>SmtRes!X7</f>
        <v>1133369200</v>
      </c>
      <c r="AA12">
        <v>358603207</v>
      </c>
      <c r="AB12">
        <v>358603207</v>
      </c>
    </row>
    <row r="13" spans="1:28" x14ac:dyDescent="0.2">
      <c r="A13">
        <v>20</v>
      </c>
      <c r="B13">
        <v>6</v>
      </c>
      <c r="C13">
        <v>3</v>
      </c>
      <c r="D13">
        <v>0</v>
      </c>
      <c r="E13">
        <f>SmtRes!AV6</f>
        <v>0</v>
      </c>
      <c r="F13" t="str">
        <f>SmtRes!I6</f>
        <v>21.1-25-388</v>
      </c>
      <c r="G13" t="str">
        <f>SmtRes!K6</f>
        <v>Шкурка шлифовальная на бумажной основе</v>
      </c>
      <c r="H13" t="str">
        <f>SmtRes!O6</f>
        <v>м2</v>
      </c>
      <c r="I13">
        <f>SmtRes!Y6*Source!I30</f>
        <v>3.5840000000000005</v>
      </c>
      <c r="J13">
        <f>SmtRes!AO6</f>
        <v>1</v>
      </c>
      <c r="K13">
        <f>SmtRes!AE6</f>
        <v>338.51</v>
      </c>
      <c r="L13">
        <f>SmtRes!DB6</f>
        <v>270.81</v>
      </c>
      <c r="M13">
        <f>ROUND(ROUND(L13*Source!I30, 6)*1, 2)</f>
        <v>1213.23</v>
      </c>
      <c r="N13">
        <f>SmtRes!AA6</f>
        <v>338.51</v>
      </c>
      <c r="O13">
        <f>ROUND(ROUND(L13*Source!I30, 6)*SmtRes!DA6, 2)</f>
        <v>1213.23</v>
      </c>
      <c r="P13">
        <f>SmtRes!AG6</f>
        <v>0</v>
      </c>
      <c r="Q13">
        <f>SmtRes!DC6</f>
        <v>0</v>
      </c>
      <c r="R13">
        <f>ROUND(ROUND(Q13*Source!I30, 6)*1, 2)</f>
        <v>0</v>
      </c>
      <c r="S13">
        <f>SmtRes!AC6</f>
        <v>0</v>
      </c>
      <c r="T13">
        <f>ROUND(ROUND(Q13*Source!I30, 6)*SmtRes!AK6, 2)</f>
        <v>0</v>
      </c>
      <c r="U13">
        <v>3</v>
      </c>
      <c r="Z13">
        <f>SmtRes!X6</f>
        <v>-668698448</v>
      </c>
      <c r="AA13">
        <v>1781192509</v>
      </c>
      <c r="AB13">
        <v>1781192509</v>
      </c>
    </row>
    <row r="14" spans="1:28" x14ac:dyDescent="0.2">
      <c r="A14">
        <v>20</v>
      </c>
      <c r="B14">
        <v>5</v>
      </c>
      <c r="C14">
        <v>3</v>
      </c>
      <c r="D14">
        <v>0</v>
      </c>
      <c r="E14">
        <f>SmtRes!AV5</f>
        <v>0</v>
      </c>
      <c r="F14" t="str">
        <f>SmtRes!I5</f>
        <v>21.1-25-13</v>
      </c>
      <c r="G14" t="str">
        <f>SmtRes!K5</f>
        <v>Вода</v>
      </c>
      <c r="H14" t="str">
        <f>SmtRes!O5</f>
        <v>м3</v>
      </c>
      <c r="I14">
        <f>SmtRes!Y5*Source!I30</f>
        <v>1.0752000000000002</v>
      </c>
      <c r="J14">
        <f>SmtRes!AO5</f>
        <v>1</v>
      </c>
      <c r="K14">
        <f>SmtRes!AE5</f>
        <v>49.83</v>
      </c>
      <c r="L14">
        <f>SmtRes!DB5</f>
        <v>11.96</v>
      </c>
      <c r="M14">
        <f>ROUND(ROUND(L14*Source!I30, 6)*1, 2)</f>
        <v>53.58</v>
      </c>
      <c r="N14">
        <f>SmtRes!AA5</f>
        <v>49.83</v>
      </c>
      <c r="O14">
        <f>ROUND(ROUND(L14*Source!I30, 6)*SmtRes!DA5, 2)</f>
        <v>53.58</v>
      </c>
      <c r="P14">
        <f>SmtRes!AG5</f>
        <v>0</v>
      </c>
      <c r="Q14">
        <f>SmtRes!DC5</f>
        <v>0</v>
      </c>
      <c r="R14">
        <f>ROUND(ROUND(Q14*Source!I30, 6)*1, 2)</f>
        <v>0</v>
      </c>
      <c r="S14">
        <f>SmtRes!AC5</f>
        <v>0</v>
      </c>
      <c r="T14">
        <f>ROUND(ROUND(Q14*Source!I30, 6)*SmtRes!AK5, 2)</f>
        <v>0</v>
      </c>
      <c r="U14">
        <v>3</v>
      </c>
      <c r="Z14">
        <f>SmtRes!X5</f>
        <v>973433911</v>
      </c>
      <c r="AA14">
        <v>1405492101</v>
      </c>
      <c r="AB14">
        <v>1405492101</v>
      </c>
    </row>
    <row r="15" spans="1:28" x14ac:dyDescent="0.2">
      <c r="A15">
        <v>20</v>
      </c>
      <c r="B15">
        <v>4</v>
      </c>
      <c r="C15">
        <v>3</v>
      </c>
      <c r="D15">
        <v>0</v>
      </c>
      <c r="E15">
        <f>SmtRes!AV4</f>
        <v>0</v>
      </c>
      <c r="F15" t="str">
        <f>SmtRes!I4</f>
        <v>21.1-20-7</v>
      </c>
      <c r="G15" t="str">
        <f>SmtRes!K4</f>
        <v>Ветошь</v>
      </c>
      <c r="H15" t="str">
        <f>SmtRes!O4</f>
        <v>кг</v>
      </c>
      <c r="I15">
        <f>SmtRes!Y4*Source!I30</f>
        <v>1.6128</v>
      </c>
      <c r="J15">
        <f>SmtRes!AO4</f>
        <v>1</v>
      </c>
      <c r="K15">
        <f>SmtRes!AE4</f>
        <v>26.09</v>
      </c>
      <c r="L15">
        <f>SmtRes!DB4</f>
        <v>9.39</v>
      </c>
      <c r="M15">
        <f>ROUND(ROUND(L15*Source!I30, 6)*1, 2)</f>
        <v>42.07</v>
      </c>
      <c r="N15">
        <f>SmtRes!AA4</f>
        <v>26.09</v>
      </c>
      <c r="O15">
        <f>ROUND(ROUND(L15*Source!I30, 6)*SmtRes!DA4, 2)</f>
        <v>42.07</v>
      </c>
      <c r="P15">
        <f>SmtRes!AG4</f>
        <v>0</v>
      </c>
      <c r="Q15">
        <f>SmtRes!DC4</f>
        <v>0</v>
      </c>
      <c r="R15">
        <f>ROUND(ROUND(Q15*Source!I30, 6)*1, 2)</f>
        <v>0</v>
      </c>
      <c r="S15">
        <f>SmtRes!AC4</f>
        <v>0</v>
      </c>
      <c r="T15">
        <f>ROUND(ROUND(Q15*Source!I30, 6)*SmtRes!AK4, 2)</f>
        <v>0</v>
      </c>
      <c r="U15">
        <v>3</v>
      </c>
      <c r="Z15">
        <f>SmtRes!X4</f>
        <v>1118017035</v>
      </c>
      <c r="AA15">
        <v>777677002</v>
      </c>
      <c r="AB15">
        <v>777677002</v>
      </c>
    </row>
    <row r="16" spans="1:28" x14ac:dyDescent="0.2">
      <c r="A16">
        <f>Source!A31</f>
        <v>18</v>
      </c>
      <c r="B16">
        <v>31</v>
      </c>
      <c r="C16">
        <v>3</v>
      </c>
      <c r="D16">
        <f>Source!BI31</f>
        <v>4</v>
      </c>
      <c r="E16">
        <f>Source!FS31</f>
        <v>0</v>
      </c>
      <c r="F16" t="str">
        <f>Source!F31</f>
        <v>21.1-6-103</v>
      </c>
      <c r="G16" t="str">
        <f>Source!G31</f>
        <v>Пигменты сухие для красок, охра золотистая</v>
      </c>
      <c r="H16" t="str">
        <f>Source!H31</f>
        <v>т</v>
      </c>
      <c r="I16">
        <f>Source!I31</f>
        <v>7.6160000000000004E-3</v>
      </c>
      <c r="J16">
        <v>1</v>
      </c>
      <c r="K16">
        <f>Source!AC31</f>
        <v>198992.34</v>
      </c>
      <c r="M16">
        <f>ROUND(K16*I16, 2)</f>
        <v>1515.53</v>
      </c>
      <c r="N16">
        <f>Source!AC31*IF(Source!BC31&lt;&gt; 0, Source!BC31, 1)</f>
        <v>198992.34</v>
      </c>
      <c r="O16">
        <f>ROUND(N16*I16, 2)</f>
        <v>1515.53</v>
      </c>
      <c r="P16">
        <f>Source!AE31</f>
        <v>0</v>
      </c>
      <c r="R16">
        <f>ROUND(P16*I16, 2)</f>
        <v>0</v>
      </c>
      <c r="S16">
        <f>Source!AE31*IF(Source!BS31&lt;&gt; 0, Source!BS31, 1)</f>
        <v>0</v>
      </c>
      <c r="T16">
        <f>ROUND(S16*I16, 2)</f>
        <v>0</v>
      </c>
      <c r="U16">
        <v>3</v>
      </c>
      <c r="Z16">
        <f>Source!GF31</f>
        <v>-27926426</v>
      </c>
      <c r="AA16">
        <v>-1908676296</v>
      </c>
      <c r="AB16">
        <v>-1908676296</v>
      </c>
    </row>
    <row r="17" spans="1:28" x14ac:dyDescent="0.2">
      <c r="A17">
        <v>20</v>
      </c>
      <c r="B17">
        <v>13</v>
      </c>
      <c r="C17">
        <v>3</v>
      </c>
      <c r="D17">
        <v>0</v>
      </c>
      <c r="E17">
        <f>SmtRes!AV13</f>
        <v>0</v>
      </c>
      <c r="F17" t="str">
        <f>SmtRes!I13</f>
        <v>21.1-25-257</v>
      </c>
      <c r="G17" t="str">
        <f>SmtRes!K13</f>
        <v>Пленка полиэтиленовая, толщина 80 мкм</v>
      </c>
      <c r="H17" t="str">
        <f>SmtRes!O13</f>
        <v>м2</v>
      </c>
      <c r="I17">
        <f>SmtRes!Y13*Source!I32</f>
        <v>317.52600000000001</v>
      </c>
      <c r="J17">
        <f>SmtRes!AO13</f>
        <v>1</v>
      </c>
      <c r="K17">
        <f>SmtRes!AE13</f>
        <v>10.62</v>
      </c>
      <c r="L17">
        <f>SmtRes!DB13</f>
        <v>1191.56</v>
      </c>
      <c r="M17">
        <f>ROUND(ROUND(L17*Source!I32, 6)*1, 2)</f>
        <v>3372.11</v>
      </c>
      <c r="N17">
        <f>SmtRes!AA13</f>
        <v>10.62</v>
      </c>
      <c r="O17">
        <f>ROUND(ROUND(L17*Source!I32, 6)*SmtRes!DA13, 2)</f>
        <v>3372.11</v>
      </c>
      <c r="P17">
        <f>SmtRes!AG13</f>
        <v>0</v>
      </c>
      <c r="Q17">
        <f>SmtRes!DC13</f>
        <v>0</v>
      </c>
      <c r="R17">
        <f>ROUND(ROUND(Q17*Source!I32, 6)*1, 2)</f>
        <v>0</v>
      </c>
      <c r="S17">
        <f>SmtRes!AC13</f>
        <v>0</v>
      </c>
      <c r="T17">
        <f>ROUND(ROUND(Q17*Source!I32, 6)*SmtRes!AK13, 2)</f>
        <v>0</v>
      </c>
      <c r="U17">
        <v>3</v>
      </c>
      <c r="Z17">
        <f>SmtRes!X13</f>
        <v>1627923774</v>
      </c>
      <c r="AA17">
        <v>-745564717</v>
      </c>
      <c r="AB17">
        <v>-745564717</v>
      </c>
    </row>
    <row r="18" spans="1:28" x14ac:dyDescent="0.2">
      <c r="A18">
        <v>20</v>
      </c>
      <c r="B18">
        <v>12</v>
      </c>
      <c r="C18">
        <v>3</v>
      </c>
      <c r="D18">
        <v>0</v>
      </c>
      <c r="E18">
        <f>SmtRes!AV12</f>
        <v>0</v>
      </c>
      <c r="F18" t="str">
        <f>SmtRes!I12</f>
        <v>21.1-25-152</v>
      </c>
      <c r="G18" t="str">
        <f>SmtRes!K12</f>
        <v>Лента-скотч малярный, ширина 50 мм</v>
      </c>
      <c r="H18" t="str">
        <f>SmtRes!O12</f>
        <v>м</v>
      </c>
      <c r="I18">
        <f>SmtRes!Y12*Source!I32</f>
        <v>297.15000000000003</v>
      </c>
      <c r="J18">
        <f>SmtRes!AO12</f>
        <v>1</v>
      </c>
      <c r="K18">
        <f>SmtRes!AE12</f>
        <v>2.2400000000000002</v>
      </c>
      <c r="L18">
        <f>SmtRes!DB12</f>
        <v>235.2</v>
      </c>
      <c r="M18">
        <f>ROUND(ROUND(L18*Source!I32, 6)*1, 2)</f>
        <v>665.62</v>
      </c>
      <c r="N18">
        <f>SmtRes!AA12</f>
        <v>2.2400000000000002</v>
      </c>
      <c r="O18">
        <f>ROUND(ROUND(L18*Source!I32, 6)*SmtRes!DA12, 2)</f>
        <v>665.62</v>
      </c>
      <c r="P18">
        <f>SmtRes!AG12</f>
        <v>0</v>
      </c>
      <c r="Q18">
        <f>SmtRes!DC12</f>
        <v>0</v>
      </c>
      <c r="R18">
        <f>ROUND(ROUND(Q18*Source!I32, 6)*1, 2)</f>
        <v>0</v>
      </c>
      <c r="S18">
        <f>SmtRes!AC12</f>
        <v>0</v>
      </c>
      <c r="T18">
        <f>ROUND(ROUND(Q18*Source!I32, 6)*SmtRes!AK12, 2)</f>
        <v>0</v>
      </c>
      <c r="U18">
        <v>3</v>
      </c>
      <c r="Z18">
        <f>SmtRes!X12</f>
        <v>1792308677</v>
      </c>
      <c r="AA18">
        <v>-2134427384</v>
      </c>
      <c r="AB18">
        <v>-2134427384</v>
      </c>
    </row>
    <row r="19" spans="1:28" x14ac:dyDescent="0.2">
      <c r="A19">
        <f>Source!A65</f>
        <v>4</v>
      </c>
      <c r="B19">
        <v>65</v>
      </c>
      <c r="G19" t="str">
        <f>Source!G65</f>
        <v>Спортивный зал малый</v>
      </c>
    </row>
    <row r="20" spans="1:28" x14ac:dyDescent="0.2">
      <c r="A20">
        <v>20</v>
      </c>
      <c r="B20">
        <v>17</v>
      </c>
      <c r="C20">
        <v>3</v>
      </c>
      <c r="D20">
        <v>0</v>
      </c>
      <c r="E20">
        <f>SmtRes!AV17</f>
        <v>0</v>
      </c>
      <c r="F20" t="str">
        <f>SmtRes!I17</f>
        <v>21.1-9-51</v>
      </c>
      <c r="G20" t="str">
        <f>SmtRes!K17</f>
        <v>Доски хвойных пород, обрезные, длина 2-6,5 м, сорт II, толщина 25-32 мм</v>
      </c>
      <c r="H20" t="str">
        <f>SmtRes!O17</f>
        <v>м3</v>
      </c>
      <c r="I20">
        <f>SmtRes!Y17*Source!I69</f>
        <v>3.1200000000000004E-3</v>
      </c>
      <c r="J20">
        <f>SmtRes!AO17</f>
        <v>1</v>
      </c>
      <c r="K20">
        <f>SmtRes!AE17</f>
        <v>11988.68</v>
      </c>
      <c r="L20">
        <f>SmtRes!DB17</f>
        <v>95.91</v>
      </c>
      <c r="M20">
        <f>ROUND(ROUND(L20*Source!I69, 6)*1, 2)</f>
        <v>37.4</v>
      </c>
      <c r="N20">
        <f>SmtRes!AA17</f>
        <v>11988.68</v>
      </c>
      <c r="O20">
        <f>ROUND(ROUND(L20*Source!I69, 6)*SmtRes!DA17, 2)</f>
        <v>37.4</v>
      </c>
      <c r="P20">
        <f>SmtRes!AG17</f>
        <v>0</v>
      </c>
      <c r="Q20">
        <f>SmtRes!DC17</f>
        <v>0</v>
      </c>
      <c r="R20">
        <f>ROUND(ROUND(Q20*Source!I69, 6)*1, 2)</f>
        <v>0</v>
      </c>
      <c r="S20">
        <f>SmtRes!AC17</f>
        <v>0</v>
      </c>
      <c r="T20">
        <f>ROUND(ROUND(Q20*Source!I69, 6)*SmtRes!AK17, 2)</f>
        <v>0</v>
      </c>
      <c r="U20">
        <v>3</v>
      </c>
      <c r="Z20">
        <f>SmtRes!X17</f>
        <v>-1635218338</v>
      </c>
      <c r="AA20">
        <v>-620723599</v>
      </c>
      <c r="AB20">
        <v>-620723599</v>
      </c>
    </row>
    <row r="21" spans="1:28" x14ac:dyDescent="0.2">
      <c r="A21">
        <f>Source!A70</f>
        <v>17</v>
      </c>
      <c r="B21">
        <v>70</v>
      </c>
      <c r="C21">
        <v>2</v>
      </c>
      <c r="D21">
        <f>Source!BI70</f>
        <v>4</v>
      </c>
      <c r="E21">
        <f>Source!FS70</f>
        <v>0</v>
      </c>
      <c r="F21" t="str">
        <f>Source!F70</f>
        <v>22.1-4-70</v>
      </c>
      <c r="G21" t="str">
        <f>Source!G70</f>
        <v>Леса инвентарные металлические трубчатые на хомутах со щитами ЛСПХ, 100 м2</v>
      </c>
      <c r="H21" t="str">
        <f>Source!H70</f>
        <v>маш.-ч</v>
      </c>
      <c r="I21">
        <f>Source!I70</f>
        <v>101.2</v>
      </c>
      <c r="J21">
        <v>1</v>
      </c>
      <c r="K21">
        <f>Source!AD70</f>
        <v>5.72</v>
      </c>
      <c r="M21">
        <f>ROUND(K21*I21, 2)</f>
        <v>578.86</v>
      </c>
      <c r="N21">
        <f>Source!AD70*IF(Source!BB70&lt;&gt; 0, Source!BB70, 1)</f>
        <v>5.72</v>
      </c>
      <c r="O21">
        <f>ROUND(N21*I21, 2)</f>
        <v>578.86</v>
      </c>
      <c r="P21">
        <f>Source!AE70</f>
        <v>4.0999999999999996</v>
      </c>
      <c r="R21">
        <f>ROUND(P21*I21, 2)</f>
        <v>414.92</v>
      </c>
      <c r="S21">
        <f>Source!AE70*IF(Source!BS70&lt;&gt; 0, Source!BS70, 1)</f>
        <v>4.0999999999999996</v>
      </c>
      <c r="T21">
        <f>ROUND(S21*I21, 2)</f>
        <v>414.92</v>
      </c>
      <c r="U21">
        <v>2</v>
      </c>
      <c r="Z21">
        <f>Source!GF70</f>
        <v>1735689810</v>
      </c>
      <c r="AA21">
        <v>1514387371</v>
      </c>
      <c r="AB21">
        <v>1514387371</v>
      </c>
    </row>
    <row r="22" spans="1:28" x14ac:dyDescent="0.2">
      <c r="A22">
        <v>20</v>
      </c>
      <c r="B22">
        <v>25</v>
      </c>
      <c r="C22">
        <v>3</v>
      </c>
      <c r="D22">
        <v>0</v>
      </c>
      <c r="E22">
        <f>SmtRes!AV25</f>
        <v>0</v>
      </c>
      <c r="F22" t="str">
        <f>SmtRes!I25</f>
        <v>21.1-6-221</v>
      </c>
      <c r="G22" t="str">
        <f>SmtRes!K25</f>
        <v>Грунтовка водно-дисперсионная акриловая укрепляющая для минеральных поверхностей, типа ВД-АК-0110</v>
      </c>
      <c r="H22" t="str">
        <f>SmtRes!O25</f>
        <v>кг</v>
      </c>
      <c r="I22">
        <f>SmtRes!Y25*Source!I71</f>
        <v>40.6</v>
      </c>
      <c r="J22">
        <f>SmtRes!AO25</f>
        <v>1</v>
      </c>
      <c r="K22">
        <f>SmtRes!AE25</f>
        <v>80.599999999999994</v>
      </c>
      <c r="L22">
        <f>SmtRes!DB25</f>
        <v>1128.4000000000001</v>
      </c>
      <c r="M22">
        <f>ROUND(ROUND(L22*Source!I71, 6)*1, 2)</f>
        <v>3272.36</v>
      </c>
      <c r="N22">
        <f>SmtRes!AA25</f>
        <v>80.599999999999994</v>
      </c>
      <c r="O22">
        <f>ROUND(ROUND(L22*Source!I71, 6)*SmtRes!DA25, 2)</f>
        <v>3272.36</v>
      </c>
      <c r="P22">
        <f>SmtRes!AG25</f>
        <v>0</v>
      </c>
      <c r="Q22">
        <f>SmtRes!DC25</f>
        <v>0</v>
      </c>
      <c r="R22">
        <f>ROUND(ROUND(Q22*Source!I71, 6)*1, 2)</f>
        <v>0</v>
      </c>
      <c r="S22">
        <f>SmtRes!AC25</f>
        <v>0</v>
      </c>
      <c r="T22">
        <f>ROUND(ROUND(Q22*Source!I71, 6)*SmtRes!AK25, 2)</f>
        <v>0</v>
      </c>
      <c r="U22">
        <v>3</v>
      </c>
      <c r="Z22">
        <f>SmtRes!X25</f>
        <v>2089374929</v>
      </c>
      <c r="AA22">
        <v>-172959861</v>
      </c>
      <c r="AB22">
        <v>-172959861</v>
      </c>
    </row>
    <row r="23" spans="1:28" x14ac:dyDescent="0.2">
      <c r="A23">
        <v>20</v>
      </c>
      <c r="B23">
        <v>24</v>
      </c>
      <c r="C23">
        <v>3</v>
      </c>
      <c r="D23">
        <v>0</v>
      </c>
      <c r="E23">
        <f>SmtRes!AV24</f>
        <v>0</v>
      </c>
      <c r="F23" t="str">
        <f>SmtRes!I24</f>
        <v>21.1-6-219</v>
      </c>
      <c r="G23" t="str">
        <f>SmtRes!K24</f>
        <v>Краски водно-дисперсионные акриловые износостойкие, интерьерные, моющиеся, типа ВД-АК-210, белые</v>
      </c>
      <c r="H23" t="str">
        <f>SmtRes!O24</f>
        <v>кг</v>
      </c>
      <c r="I23">
        <f>SmtRes!Y24*Source!I71</f>
        <v>71.92</v>
      </c>
      <c r="J23">
        <f>SmtRes!AO24</f>
        <v>1</v>
      </c>
      <c r="K23">
        <f>SmtRes!AE24</f>
        <v>215.72</v>
      </c>
      <c r="L23">
        <f>SmtRes!DB24</f>
        <v>5349.86</v>
      </c>
      <c r="M23">
        <f>ROUND(ROUND(L23*Source!I71, 6)*1, 2)</f>
        <v>15514.59</v>
      </c>
      <c r="N23">
        <f>SmtRes!AA24</f>
        <v>215.72</v>
      </c>
      <c r="O23">
        <f>ROUND(ROUND(L23*Source!I71, 6)*SmtRes!DA24, 2)</f>
        <v>15514.59</v>
      </c>
      <c r="P23">
        <f>SmtRes!AG24</f>
        <v>0</v>
      </c>
      <c r="Q23">
        <f>SmtRes!DC24</f>
        <v>0</v>
      </c>
      <c r="R23">
        <f>ROUND(ROUND(Q23*Source!I71, 6)*1, 2)</f>
        <v>0</v>
      </c>
      <c r="S23">
        <f>SmtRes!AC24</f>
        <v>0</v>
      </c>
      <c r="T23">
        <f>ROUND(ROUND(Q23*Source!I71, 6)*SmtRes!AK24, 2)</f>
        <v>0</v>
      </c>
      <c r="U23">
        <v>3</v>
      </c>
      <c r="Z23">
        <f>SmtRes!X24</f>
        <v>-1799487693</v>
      </c>
      <c r="AA23">
        <v>1845104999</v>
      </c>
      <c r="AB23">
        <v>1845104999</v>
      </c>
    </row>
    <row r="24" spans="1:28" x14ac:dyDescent="0.2">
      <c r="A24">
        <v>20</v>
      </c>
      <c r="B24">
        <v>22</v>
      </c>
      <c r="C24">
        <v>3</v>
      </c>
      <c r="D24">
        <v>0</v>
      </c>
      <c r="E24">
        <f>SmtRes!AV22</f>
        <v>0</v>
      </c>
      <c r="F24" t="str">
        <f>SmtRes!I22</f>
        <v>21.1-25-404</v>
      </c>
      <c r="G24" t="str">
        <f>SmtRes!K22</f>
        <v>Шпатлевка водно-дисперсионная акриловая</v>
      </c>
      <c r="H24" t="str">
        <f>SmtRes!O22</f>
        <v>т</v>
      </c>
      <c r="I24">
        <f>SmtRes!Y22*Source!I71</f>
        <v>1.856E-2</v>
      </c>
      <c r="J24">
        <f>SmtRes!AO22</f>
        <v>1</v>
      </c>
      <c r="K24">
        <f>SmtRes!AE22</f>
        <v>76204.789999999994</v>
      </c>
      <c r="L24">
        <f>SmtRes!DB22</f>
        <v>487.71</v>
      </c>
      <c r="M24">
        <f>ROUND(ROUND(L24*Source!I71, 6)*1, 2)</f>
        <v>1414.36</v>
      </c>
      <c r="N24">
        <f>SmtRes!AA22</f>
        <v>76204.789999999994</v>
      </c>
      <c r="O24">
        <f>ROUND(ROUND(L24*Source!I71, 6)*SmtRes!DA22, 2)</f>
        <v>1414.36</v>
      </c>
      <c r="P24">
        <f>SmtRes!AG22</f>
        <v>0</v>
      </c>
      <c r="Q24">
        <f>SmtRes!DC22</f>
        <v>0</v>
      </c>
      <c r="R24">
        <f>ROUND(ROUND(Q24*Source!I71, 6)*1, 2)</f>
        <v>0</v>
      </c>
      <c r="S24">
        <f>SmtRes!AC22</f>
        <v>0</v>
      </c>
      <c r="T24">
        <f>ROUND(ROUND(Q24*Source!I71, 6)*SmtRes!AK22, 2)</f>
        <v>0</v>
      </c>
      <c r="U24">
        <v>3</v>
      </c>
      <c r="Z24">
        <f>SmtRes!X22</f>
        <v>1133369200</v>
      </c>
      <c r="AA24">
        <v>358603207</v>
      </c>
      <c r="AB24">
        <v>358603207</v>
      </c>
    </row>
    <row r="25" spans="1:28" x14ac:dyDescent="0.2">
      <c r="A25">
        <v>20</v>
      </c>
      <c r="B25">
        <v>21</v>
      </c>
      <c r="C25">
        <v>3</v>
      </c>
      <c r="D25">
        <v>0</v>
      </c>
      <c r="E25">
        <f>SmtRes!AV21</f>
        <v>0</v>
      </c>
      <c r="F25" t="str">
        <f>SmtRes!I21</f>
        <v>21.1-25-388</v>
      </c>
      <c r="G25" t="str">
        <f>SmtRes!K21</f>
        <v>Шкурка шлифовальная на бумажной основе</v>
      </c>
      <c r="H25" t="str">
        <f>SmtRes!O21</f>
        <v>м2</v>
      </c>
      <c r="I25">
        <f>SmtRes!Y21*Source!I71</f>
        <v>2.3199999999999998</v>
      </c>
      <c r="J25">
        <f>SmtRes!AO21</f>
        <v>1</v>
      </c>
      <c r="K25">
        <f>SmtRes!AE21</f>
        <v>338.51</v>
      </c>
      <c r="L25">
        <f>SmtRes!DB21</f>
        <v>270.81</v>
      </c>
      <c r="M25">
        <f>ROUND(ROUND(L25*Source!I71, 6)*1, 2)</f>
        <v>785.35</v>
      </c>
      <c r="N25">
        <f>SmtRes!AA21</f>
        <v>338.51</v>
      </c>
      <c r="O25">
        <f>ROUND(ROUND(L25*Source!I71, 6)*SmtRes!DA21, 2)</f>
        <v>785.35</v>
      </c>
      <c r="P25">
        <f>SmtRes!AG21</f>
        <v>0</v>
      </c>
      <c r="Q25">
        <f>SmtRes!DC21</f>
        <v>0</v>
      </c>
      <c r="R25">
        <f>ROUND(ROUND(Q25*Source!I71, 6)*1, 2)</f>
        <v>0</v>
      </c>
      <c r="S25">
        <f>SmtRes!AC21</f>
        <v>0</v>
      </c>
      <c r="T25">
        <f>ROUND(ROUND(Q25*Source!I71, 6)*SmtRes!AK21, 2)</f>
        <v>0</v>
      </c>
      <c r="U25">
        <v>3</v>
      </c>
      <c r="Z25">
        <f>SmtRes!X21</f>
        <v>-668698448</v>
      </c>
      <c r="AA25">
        <v>1781192509</v>
      </c>
      <c r="AB25">
        <v>1781192509</v>
      </c>
    </row>
    <row r="26" spans="1:28" x14ac:dyDescent="0.2">
      <c r="A26">
        <v>20</v>
      </c>
      <c r="B26">
        <v>20</v>
      </c>
      <c r="C26">
        <v>3</v>
      </c>
      <c r="D26">
        <v>0</v>
      </c>
      <c r="E26">
        <f>SmtRes!AV20</f>
        <v>0</v>
      </c>
      <c r="F26" t="str">
        <f>SmtRes!I20</f>
        <v>21.1-25-13</v>
      </c>
      <c r="G26" t="str">
        <f>SmtRes!K20</f>
        <v>Вода</v>
      </c>
      <c r="H26" t="str">
        <f>SmtRes!O20</f>
        <v>м3</v>
      </c>
      <c r="I26">
        <f>SmtRes!Y20*Source!I71</f>
        <v>0.69599999999999995</v>
      </c>
      <c r="J26">
        <f>SmtRes!AO20</f>
        <v>1</v>
      </c>
      <c r="K26">
        <f>SmtRes!AE20</f>
        <v>49.83</v>
      </c>
      <c r="L26">
        <f>SmtRes!DB20</f>
        <v>11.96</v>
      </c>
      <c r="M26">
        <f>ROUND(ROUND(L26*Source!I71, 6)*1, 2)</f>
        <v>34.68</v>
      </c>
      <c r="N26">
        <f>SmtRes!AA20</f>
        <v>49.83</v>
      </c>
      <c r="O26">
        <f>ROUND(ROUND(L26*Source!I71, 6)*SmtRes!DA20, 2)</f>
        <v>34.68</v>
      </c>
      <c r="P26">
        <f>SmtRes!AG20</f>
        <v>0</v>
      </c>
      <c r="Q26">
        <f>SmtRes!DC20</f>
        <v>0</v>
      </c>
      <c r="R26">
        <f>ROUND(ROUND(Q26*Source!I71, 6)*1, 2)</f>
        <v>0</v>
      </c>
      <c r="S26">
        <f>SmtRes!AC20</f>
        <v>0</v>
      </c>
      <c r="T26">
        <f>ROUND(ROUND(Q26*Source!I71, 6)*SmtRes!AK20, 2)</f>
        <v>0</v>
      </c>
      <c r="U26">
        <v>3</v>
      </c>
      <c r="Z26">
        <f>SmtRes!X20</f>
        <v>973433911</v>
      </c>
      <c r="AA26">
        <v>1405492101</v>
      </c>
      <c r="AB26">
        <v>1405492101</v>
      </c>
    </row>
    <row r="27" spans="1:28" x14ac:dyDescent="0.2">
      <c r="A27">
        <v>20</v>
      </c>
      <c r="B27">
        <v>19</v>
      </c>
      <c r="C27">
        <v>3</v>
      </c>
      <c r="D27">
        <v>0</v>
      </c>
      <c r="E27">
        <f>SmtRes!AV19</f>
        <v>0</v>
      </c>
      <c r="F27" t="str">
        <f>SmtRes!I19</f>
        <v>21.1-20-7</v>
      </c>
      <c r="G27" t="str">
        <f>SmtRes!K19</f>
        <v>Ветошь</v>
      </c>
      <c r="H27" t="str">
        <f>SmtRes!O19</f>
        <v>кг</v>
      </c>
      <c r="I27">
        <f>SmtRes!Y19*Source!I71</f>
        <v>1.044</v>
      </c>
      <c r="J27">
        <f>SmtRes!AO19</f>
        <v>1</v>
      </c>
      <c r="K27">
        <f>SmtRes!AE19</f>
        <v>26.09</v>
      </c>
      <c r="L27">
        <f>SmtRes!DB19</f>
        <v>9.39</v>
      </c>
      <c r="M27">
        <f>ROUND(ROUND(L27*Source!I71, 6)*1, 2)</f>
        <v>27.23</v>
      </c>
      <c r="N27">
        <f>SmtRes!AA19</f>
        <v>26.09</v>
      </c>
      <c r="O27">
        <f>ROUND(ROUND(L27*Source!I71, 6)*SmtRes!DA19, 2)</f>
        <v>27.23</v>
      </c>
      <c r="P27">
        <f>SmtRes!AG19</f>
        <v>0</v>
      </c>
      <c r="Q27">
        <f>SmtRes!DC19</f>
        <v>0</v>
      </c>
      <c r="R27">
        <f>ROUND(ROUND(Q27*Source!I71, 6)*1, 2)</f>
        <v>0</v>
      </c>
      <c r="S27">
        <f>SmtRes!AC19</f>
        <v>0</v>
      </c>
      <c r="T27">
        <f>ROUND(ROUND(Q27*Source!I71, 6)*SmtRes!AK19, 2)</f>
        <v>0</v>
      </c>
      <c r="U27">
        <v>3</v>
      </c>
      <c r="Z27">
        <f>SmtRes!X19</f>
        <v>1118017035</v>
      </c>
      <c r="AA27">
        <v>777677002</v>
      </c>
      <c r="AB27">
        <v>777677002</v>
      </c>
    </row>
    <row r="28" spans="1:28" x14ac:dyDescent="0.2">
      <c r="A28">
        <f>Source!A72</f>
        <v>18</v>
      </c>
      <c r="B28">
        <v>72</v>
      </c>
      <c r="C28">
        <v>3</v>
      </c>
      <c r="D28">
        <f>Source!BI72</f>
        <v>4</v>
      </c>
      <c r="E28">
        <f>Source!FS72</f>
        <v>0</v>
      </c>
      <c r="F28" t="str">
        <f>Source!F72</f>
        <v>21.1-6-103</v>
      </c>
      <c r="G28" t="str">
        <f>Source!G72</f>
        <v>Пигменты сухие для красок, охра золотистая</v>
      </c>
      <c r="H28" t="str">
        <f>Source!H72</f>
        <v>т</v>
      </c>
      <c r="I28">
        <f>Source!I72</f>
        <v>4.9300000000000004E-3</v>
      </c>
      <c r="J28">
        <v>1</v>
      </c>
      <c r="K28">
        <f>Source!AC72</f>
        <v>198992.34</v>
      </c>
      <c r="M28">
        <f>ROUND(K28*I28, 2)</f>
        <v>981.03</v>
      </c>
      <c r="N28">
        <f>Source!AC72*IF(Source!BC72&lt;&gt; 0, Source!BC72, 1)</f>
        <v>198992.34</v>
      </c>
      <c r="O28">
        <f>ROUND(N28*I28, 2)</f>
        <v>981.03</v>
      </c>
      <c r="P28">
        <f>Source!AE72</f>
        <v>0</v>
      </c>
      <c r="R28">
        <f>ROUND(P28*I28, 2)</f>
        <v>0</v>
      </c>
      <c r="S28">
        <f>Source!AE72*IF(Source!BS72&lt;&gt; 0, Source!BS72, 1)</f>
        <v>0</v>
      </c>
      <c r="T28">
        <f>ROUND(S28*I28, 2)</f>
        <v>0</v>
      </c>
      <c r="U28">
        <v>3</v>
      </c>
      <c r="Z28">
        <f>Source!GF72</f>
        <v>-27926426</v>
      </c>
      <c r="AA28">
        <v>-1908676296</v>
      </c>
      <c r="AB28">
        <v>-1908676296</v>
      </c>
    </row>
    <row r="29" spans="1:28" x14ac:dyDescent="0.2">
      <c r="A29">
        <v>20</v>
      </c>
      <c r="B29">
        <v>32</v>
      </c>
      <c r="C29">
        <v>3</v>
      </c>
      <c r="D29">
        <v>0</v>
      </c>
      <c r="E29">
        <f>SmtRes!AV32</f>
        <v>0</v>
      </c>
      <c r="F29" t="str">
        <f>SmtRes!I32</f>
        <v>21.1-6-221</v>
      </c>
      <c r="G29" t="str">
        <f>SmtRes!K32</f>
        <v>Грунтовка водно-дисперсионная акриловая укрепляющая для минеральных поверхностей, типа ВД-АК-0110</v>
      </c>
      <c r="H29" t="str">
        <f>SmtRes!O32</f>
        <v>кг</v>
      </c>
      <c r="I29">
        <f>SmtRes!Y32*Source!I73</f>
        <v>23.099999999999998</v>
      </c>
      <c r="J29">
        <f>SmtRes!AO32</f>
        <v>1</v>
      </c>
      <c r="K29">
        <f>SmtRes!AE32</f>
        <v>80.599999999999994</v>
      </c>
      <c r="L29">
        <f>SmtRes!DB32</f>
        <v>1128.4000000000001</v>
      </c>
      <c r="M29">
        <f>ROUND(ROUND(L29*Source!I73, 6)*1, 2)</f>
        <v>1861.86</v>
      </c>
      <c r="N29">
        <f>SmtRes!AA32</f>
        <v>80.599999999999994</v>
      </c>
      <c r="O29">
        <f>ROUND(ROUND(L29*Source!I73, 6)*SmtRes!DA32, 2)</f>
        <v>1861.86</v>
      </c>
      <c r="P29">
        <f>SmtRes!AG32</f>
        <v>0</v>
      </c>
      <c r="Q29">
        <f>SmtRes!DC32</f>
        <v>0</v>
      </c>
      <c r="R29">
        <f>ROUND(ROUND(Q29*Source!I73, 6)*1, 2)</f>
        <v>0</v>
      </c>
      <c r="S29">
        <f>SmtRes!AC32</f>
        <v>0</v>
      </c>
      <c r="T29">
        <f>ROUND(ROUND(Q29*Source!I73, 6)*SmtRes!AK32, 2)</f>
        <v>0</v>
      </c>
      <c r="U29">
        <v>3</v>
      </c>
      <c r="Z29">
        <f>SmtRes!X32</f>
        <v>2089374929</v>
      </c>
      <c r="AA29">
        <v>-172959861</v>
      </c>
      <c r="AB29">
        <v>-172959861</v>
      </c>
    </row>
    <row r="30" spans="1:28" x14ac:dyDescent="0.2">
      <c r="A30">
        <v>20</v>
      </c>
      <c r="B30">
        <v>31</v>
      </c>
      <c r="C30">
        <v>3</v>
      </c>
      <c r="D30">
        <v>0</v>
      </c>
      <c r="E30">
        <f>SmtRes!AV31</f>
        <v>0</v>
      </c>
      <c r="F30" t="str">
        <f>SmtRes!I31</f>
        <v>21.1-6-218</v>
      </c>
      <c r="G30" t="str">
        <f>SmtRes!K31</f>
        <v>Краски водно-дисперсионные акриловые износостойкие, интерьерные и фасадные, влагостойкие, типа ВД-АК-120, белые</v>
      </c>
      <c r="H30" t="str">
        <f>SmtRes!O31</f>
        <v>кг</v>
      </c>
      <c r="I30">
        <f>SmtRes!Y31*Source!I73</f>
        <v>40.92</v>
      </c>
      <c r="J30">
        <f>SmtRes!AO31</f>
        <v>1</v>
      </c>
      <c r="K30">
        <f>SmtRes!AE31</f>
        <v>157.52000000000001</v>
      </c>
      <c r="L30">
        <f>SmtRes!DB31</f>
        <v>3906.5</v>
      </c>
      <c r="M30">
        <f>ROUND(ROUND(L30*Source!I73, 6)*1, 2)</f>
        <v>6445.73</v>
      </c>
      <c r="N30">
        <f>SmtRes!AA31</f>
        <v>157.52000000000001</v>
      </c>
      <c r="O30">
        <f>ROUND(ROUND(L30*Source!I73, 6)*SmtRes!DA31, 2)</f>
        <v>6445.73</v>
      </c>
      <c r="P30">
        <f>SmtRes!AG31</f>
        <v>0</v>
      </c>
      <c r="Q30">
        <f>SmtRes!DC31</f>
        <v>0</v>
      </c>
      <c r="R30">
        <f>ROUND(ROUND(Q30*Source!I73, 6)*1, 2)</f>
        <v>0</v>
      </c>
      <c r="S30">
        <f>SmtRes!AC31</f>
        <v>0</v>
      </c>
      <c r="T30">
        <f>ROUND(ROUND(Q30*Source!I73, 6)*SmtRes!AK31, 2)</f>
        <v>0</v>
      </c>
      <c r="U30">
        <v>3</v>
      </c>
      <c r="Z30">
        <f>SmtRes!X31</f>
        <v>-959966110</v>
      </c>
      <c r="AA30">
        <v>265603619</v>
      </c>
      <c r="AB30">
        <v>265603619</v>
      </c>
    </row>
    <row r="31" spans="1:28" x14ac:dyDescent="0.2">
      <c r="A31">
        <v>20</v>
      </c>
      <c r="B31">
        <v>30</v>
      </c>
      <c r="C31">
        <v>3</v>
      </c>
      <c r="D31">
        <v>0</v>
      </c>
      <c r="E31">
        <f>SmtRes!AV30</f>
        <v>0</v>
      </c>
      <c r="F31" t="str">
        <f>SmtRes!I30</f>
        <v>21.1-25-404</v>
      </c>
      <c r="G31" t="str">
        <f>SmtRes!K30</f>
        <v>Шпатлевка водно-дисперсионная акриловая</v>
      </c>
      <c r="H31" t="str">
        <f>SmtRes!O30</f>
        <v>т</v>
      </c>
      <c r="I31">
        <f>SmtRes!Y30*Source!I73</f>
        <v>1.1219999999999999E-2</v>
      </c>
      <c r="J31">
        <f>SmtRes!AO30</f>
        <v>1</v>
      </c>
      <c r="K31">
        <f>SmtRes!AE30</f>
        <v>76204.789999999994</v>
      </c>
      <c r="L31">
        <f>SmtRes!DB30</f>
        <v>518.19000000000005</v>
      </c>
      <c r="M31">
        <f>ROUND(ROUND(L31*Source!I73, 6)*1, 2)</f>
        <v>855.01</v>
      </c>
      <c r="N31">
        <f>SmtRes!AA30</f>
        <v>76204.789999999994</v>
      </c>
      <c r="O31">
        <f>ROUND(ROUND(L31*Source!I73, 6)*SmtRes!DA30, 2)</f>
        <v>855.01</v>
      </c>
      <c r="P31">
        <f>SmtRes!AG30</f>
        <v>0</v>
      </c>
      <c r="Q31">
        <f>SmtRes!DC30</f>
        <v>0</v>
      </c>
      <c r="R31">
        <f>ROUND(ROUND(Q31*Source!I73, 6)*1, 2)</f>
        <v>0</v>
      </c>
      <c r="S31">
        <f>SmtRes!AC30</f>
        <v>0</v>
      </c>
      <c r="T31">
        <f>ROUND(ROUND(Q31*Source!I73, 6)*SmtRes!AK30, 2)</f>
        <v>0</v>
      </c>
      <c r="U31">
        <v>3</v>
      </c>
      <c r="Z31">
        <f>SmtRes!X30</f>
        <v>1133369200</v>
      </c>
      <c r="AA31">
        <v>358603207</v>
      </c>
      <c r="AB31">
        <v>358603207</v>
      </c>
    </row>
    <row r="32" spans="1:28" x14ac:dyDescent="0.2">
      <c r="A32">
        <v>20</v>
      </c>
      <c r="B32">
        <v>29</v>
      </c>
      <c r="C32">
        <v>3</v>
      </c>
      <c r="D32">
        <v>0</v>
      </c>
      <c r="E32">
        <f>SmtRes!AV29</f>
        <v>0</v>
      </c>
      <c r="F32" t="str">
        <f>SmtRes!I29</f>
        <v>21.1-25-388</v>
      </c>
      <c r="G32" t="str">
        <f>SmtRes!K29</f>
        <v>Шкурка шлифовальная на бумажной основе</v>
      </c>
      <c r="H32" t="str">
        <f>SmtRes!O29</f>
        <v>м2</v>
      </c>
      <c r="I32">
        <f>SmtRes!Y29*Source!I73</f>
        <v>2.64</v>
      </c>
      <c r="J32">
        <f>SmtRes!AO29</f>
        <v>1</v>
      </c>
      <c r="K32">
        <f>SmtRes!AE29</f>
        <v>338.51</v>
      </c>
      <c r="L32">
        <f>SmtRes!DB29</f>
        <v>541.62</v>
      </c>
      <c r="M32">
        <f>ROUND(ROUND(L32*Source!I73, 6)*1, 2)</f>
        <v>893.67</v>
      </c>
      <c r="N32">
        <f>SmtRes!AA29</f>
        <v>338.51</v>
      </c>
      <c r="O32">
        <f>ROUND(ROUND(L32*Source!I73, 6)*SmtRes!DA29, 2)</f>
        <v>893.67</v>
      </c>
      <c r="P32">
        <f>SmtRes!AG29</f>
        <v>0</v>
      </c>
      <c r="Q32">
        <f>SmtRes!DC29</f>
        <v>0</v>
      </c>
      <c r="R32">
        <f>ROUND(ROUND(Q32*Source!I73, 6)*1, 2)</f>
        <v>0</v>
      </c>
      <c r="S32">
        <f>SmtRes!AC29</f>
        <v>0</v>
      </c>
      <c r="T32">
        <f>ROUND(ROUND(Q32*Source!I73, 6)*SmtRes!AK29, 2)</f>
        <v>0</v>
      </c>
      <c r="U32">
        <v>3</v>
      </c>
      <c r="Z32">
        <f>SmtRes!X29</f>
        <v>-668698448</v>
      </c>
      <c r="AA32">
        <v>1781192509</v>
      </c>
      <c r="AB32">
        <v>1781192509</v>
      </c>
    </row>
    <row r="33" spans="1:28" x14ac:dyDescent="0.2">
      <c r="A33">
        <v>20</v>
      </c>
      <c r="B33">
        <v>28</v>
      </c>
      <c r="C33">
        <v>3</v>
      </c>
      <c r="D33">
        <v>0</v>
      </c>
      <c r="E33">
        <f>SmtRes!AV28</f>
        <v>0</v>
      </c>
      <c r="F33" t="str">
        <f>SmtRes!I28</f>
        <v>21.1-25-13</v>
      </c>
      <c r="G33" t="str">
        <f>SmtRes!K28</f>
        <v>Вода</v>
      </c>
      <c r="H33" t="str">
        <f>SmtRes!O28</f>
        <v>м3</v>
      </c>
      <c r="I33">
        <f>SmtRes!Y28*Source!I73</f>
        <v>0.39599999999999996</v>
      </c>
      <c r="J33">
        <f>SmtRes!AO28</f>
        <v>1</v>
      </c>
      <c r="K33">
        <f>SmtRes!AE28</f>
        <v>49.83</v>
      </c>
      <c r="L33">
        <f>SmtRes!DB28</f>
        <v>11.96</v>
      </c>
      <c r="M33">
        <f>ROUND(ROUND(L33*Source!I73, 6)*1, 2)</f>
        <v>19.73</v>
      </c>
      <c r="N33">
        <f>SmtRes!AA28</f>
        <v>49.83</v>
      </c>
      <c r="O33">
        <f>ROUND(ROUND(L33*Source!I73, 6)*SmtRes!DA28, 2)</f>
        <v>19.73</v>
      </c>
      <c r="P33">
        <f>SmtRes!AG28</f>
        <v>0</v>
      </c>
      <c r="Q33">
        <f>SmtRes!DC28</f>
        <v>0</v>
      </c>
      <c r="R33">
        <f>ROUND(ROUND(Q33*Source!I73, 6)*1, 2)</f>
        <v>0</v>
      </c>
      <c r="S33">
        <f>SmtRes!AC28</f>
        <v>0</v>
      </c>
      <c r="T33">
        <f>ROUND(ROUND(Q33*Source!I73, 6)*SmtRes!AK28, 2)</f>
        <v>0</v>
      </c>
      <c r="U33">
        <v>3</v>
      </c>
      <c r="Z33">
        <f>SmtRes!X28</f>
        <v>973433911</v>
      </c>
      <c r="AA33">
        <v>1405492101</v>
      </c>
      <c r="AB33">
        <v>1405492101</v>
      </c>
    </row>
    <row r="34" spans="1:28" x14ac:dyDescent="0.2">
      <c r="A34">
        <v>20</v>
      </c>
      <c r="B34">
        <v>27</v>
      </c>
      <c r="C34">
        <v>3</v>
      </c>
      <c r="D34">
        <v>0</v>
      </c>
      <c r="E34">
        <f>SmtRes!AV27</f>
        <v>0</v>
      </c>
      <c r="F34" t="str">
        <f>SmtRes!I27</f>
        <v>21.1-20-7</v>
      </c>
      <c r="G34" t="str">
        <f>SmtRes!K27</f>
        <v>Ветошь</v>
      </c>
      <c r="H34" t="str">
        <f>SmtRes!O27</f>
        <v>кг</v>
      </c>
      <c r="I34">
        <f>SmtRes!Y27*Source!I73</f>
        <v>0.59399999999999997</v>
      </c>
      <c r="J34">
        <f>SmtRes!AO27</f>
        <v>1</v>
      </c>
      <c r="K34">
        <f>SmtRes!AE27</f>
        <v>26.09</v>
      </c>
      <c r="L34">
        <f>SmtRes!DB27</f>
        <v>9.39</v>
      </c>
      <c r="M34">
        <f>ROUND(ROUND(L34*Source!I73, 6)*1, 2)</f>
        <v>15.49</v>
      </c>
      <c r="N34">
        <f>SmtRes!AA27</f>
        <v>26.09</v>
      </c>
      <c r="O34">
        <f>ROUND(ROUND(L34*Source!I73, 6)*SmtRes!DA27, 2)</f>
        <v>15.49</v>
      </c>
      <c r="P34">
        <f>SmtRes!AG27</f>
        <v>0</v>
      </c>
      <c r="Q34">
        <f>SmtRes!DC27</f>
        <v>0</v>
      </c>
      <c r="R34">
        <f>ROUND(ROUND(Q34*Source!I73, 6)*1, 2)</f>
        <v>0</v>
      </c>
      <c r="S34">
        <f>SmtRes!AC27</f>
        <v>0</v>
      </c>
      <c r="T34">
        <f>ROUND(ROUND(Q34*Source!I73, 6)*SmtRes!AK27, 2)</f>
        <v>0</v>
      </c>
      <c r="U34">
        <v>3</v>
      </c>
      <c r="Z34">
        <f>SmtRes!X27</f>
        <v>1118017035</v>
      </c>
      <c r="AA34">
        <v>777677002</v>
      </c>
      <c r="AB34">
        <v>777677002</v>
      </c>
    </row>
    <row r="35" spans="1:28" x14ac:dyDescent="0.2">
      <c r="A35">
        <f>Source!A75</f>
        <v>18</v>
      </c>
      <c r="B35">
        <v>75</v>
      </c>
      <c r="C35">
        <v>3</v>
      </c>
      <c r="D35">
        <f>Source!BI75</f>
        <v>4</v>
      </c>
      <c r="E35">
        <f>Source!FS75</f>
        <v>0</v>
      </c>
      <c r="F35" t="str">
        <f>Source!F75</f>
        <v>21.22-8-41</v>
      </c>
      <c r="G35" t="str">
        <f>Source!G75</f>
        <v>Светильники светодиодные накладные, мощность 48 Вт, световой поток 4000 Лм, цветовая температура 4000 К, IP20, металлический корпус, опаловый рассеиватель, габаритные размеры 1237х120х54 мм, для общественных зданий</v>
      </c>
      <c r="H35" t="str">
        <f>Source!H75</f>
        <v>шт.</v>
      </c>
      <c r="I35">
        <f>Source!I75</f>
        <v>42</v>
      </c>
      <c r="J35">
        <v>1</v>
      </c>
      <c r="K35">
        <f>Source!AC75</f>
        <v>2194</v>
      </c>
      <c r="M35">
        <f>ROUND(K35*I35, 2)</f>
        <v>92148</v>
      </c>
      <c r="N35">
        <f>Source!AC75*IF(Source!BC75&lt;&gt; 0, Source!BC75, 1)</f>
        <v>2194</v>
      </c>
      <c r="O35">
        <f>ROUND(N35*I35, 2)</f>
        <v>92148</v>
      </c>
      <c r="P35">
        <f>Source!AE75</f>
        <v>0</v>
      </c>
      <c r="R35">
        <f>ROUND(P35*I35, 2)</f>
        <v>0</v>
      </c>
      <c r="S35">
        <f>Source!AE75*IF(Source!BS75&lt;&gt; 0, Source!BS75, 1)</f>
        <v>0</v>
      </c>
      <c r="T35">
        <f>ROUND(S35*I35, 2)</f>
        <v>0</v>
      </c>
      <c r="U35">
        <v>3</v>
      </c>
      <c r="Z35">
        <f>Source!GF75</f>
        <v>1349499332</v>
      </c>
      <c r="AA35">
        <v>224632697</v>
      </c>
      <c r="AB35">
        <v>224632697</v>
      </c>
    </row>
    <row r="36" spans="1:28" x14ac:dyDescent="0.2">
      <c r="A36">
        <v>20</v>
      </c>
      <c r="B36">
        <v>36</v>
      </c>
      <c r="C36">
        <v>2</v>
      </c>
      <c r="D36">
        <v>0</v>
      </c>
      <c r="E36">
        <f>SmtRes!AV36</f>
        <v>0</v>
      </c>
      <c r="F36" t="str">
        <f>SmtRes!I36</f>
        <v>22.1-30-56</v>
      </c>
      <c r="G36" t="str">
        <f>SmtRes!K36</f>
        <v>Шуруповерты</v>
      </c>
      <c r="H36" t="str">
        <f>SmtRes!O36</f>
        <v>маш.-ч</v>
      </c>
      <c r="I36">
        <f>SmtRes!Y36*Source!I76</f>
        <v>7.1999999999999995E-2</v>
      </c>
      <c r="J36">
        <f>SmtRes!AO36</f>
        <v>1</v>
      </c>
      <c r="K36">
        <f>SmtRes!AF36</f>
        <v>7.44</v>
      </c>
      <c r="L36">
        <f>SmtRes!DB36</f>
        <v>3.57</v>
      </c>
      <c r="M36">
        <f>ROUND(ROUND(L36*Source!I76, 6)*1, 2)</f>
        <v>0.54</v>
      </c>
      <c r="N36">
        <f>SmtRes!AB36</f>
        <v>7.44</v>
      </c>
      <c r="O36">
        <f>ROUND(ROUND(L36*Source!I76, 6)*SmtRes!DA36, 2)</f>
        <v>0.54</v>
      </c>
      <c r="P36">
        <f>SmtRes!AG36</f>
        <v>0.01</v>
      </c>
      <c r="Q36">
        <f>SmtRes!DC36</f>
        <v>0</v>
      </c>
      <c r="R36">
        <f>ROUND(ROUND(Q36*Source!I76, 6)*1, 2)</f>
        <v>0</v>
      </c>
      <c r="S36">
        <f>SmtRes!AC36</f>
        <v>0.01</v>
      </c>
      <c r="T36">
        <f>ROUND(ROUND(Q36*Source!I76, 6)*SmtRes!AK36, 2)</f>
        <v>0</v>
      </c>
      <c r="U36">
        <v>2</v>
      </c>
      <c r="Z36">
        <f>SmtRes!X36</f>
        <v>-247555338</v>
      </c>
      <c r="AA36">
        <v>-1795244417</v>
      </c>
      <c r="AB36">
        <v>-1795244417</v>
      </c>
    </row>
    <row r="37" spans="1:28" x14ac:dyDescent="0.2">
      <c r="A37">
        <v>20</v>
      </c>
      <c r="B37">
        <v>48</v>
      </c>
      <c r="C37">
        <v>3</v>
      </c>
      <c r="D37">
        <v>0</v>
      </c>
      <c r="E37">
        <f>SmtRes!AV48</f>
        <v>0</v>
      </c>
      <c r="F37" t="str">
        <f>SmtRes!I48</f>
        <v>21.7-3-2</v>
      </c>
      <c r="G37" t="str">
        <f>SmtRes!K48</f>
        <v>Буры с победитовым наконечником, с хвостовиком SDS-plus, размеры 10х160 мм</v>
      </c>
      <c r="H37" t="str">
        <f>SmtRes!O48</f>
        <v>шт.</v>
      </c>
      <c r="I37">
        <f>SmtRes!Y48*Source!I78</f>
        <v>0.22499999999999998</v>
      </c>
      <c r="J37">
        <f>SmtRes!AO48</f>
        <v>1</v>
      </c>
      <c r="K37">
        <f>SmtRes!AE48</f>
        <v>335.08</v>
      </c>
      <c r="L37">
        <f>SmtRes!DB48</f>
        <v>502.62</v>
      </c>
      <c r="M37">
        <f>ROUND(ROUND(L37*Source!I78, 6)*1, 2)</f>
        <v>75.39</v>
      </c>
      <c r="N37">
        <f>SmtRes!AA48</f>
        <v>335.08</v>
      </c>
      <c r="O37">
        <f>ROUND(ROUND(L37*Source!I78, 6)*SmtRes!DA48, 2)</f>
        <v>75.39</v>
      </c>
      <c r="P37">
        <f>SmtRes!AG48</f>
        <v>0</v>
      </c>
      <c r="Q37">
        <f>SmtRes!DC48</f>
        <v>0</v>
      </c>
      <c r="R37">
        <f>ROUND(ROUND(Q37*Source!I78, 6)*1, 2)</f>
        <v>0</v>
      </c>
      <c r="S37">
        <f>SmtRes!AC48</f>
        <v>0</v>
      </c>
      <c r="T37">
        <f>ROUND(ROUND(Q37*Source!I78, 6)*SmtRes!AK48, 2)</f>
        <v>0</v>
      </c>
      <c r="U37">
        <v>3</v>
      </c>
      <c r="Z37">
        <f>SmtRes!X48</f>
        <v>1369286595</v>
      </c>
      <c r="AA37">
        <v>-397931394</v>
      </c>
      <c r="AB37">
        <v>-397931394</v>
      </c>
    </row>
    <row r="38" spans="1:28" x14ac:dyDescent="0.2">
      <c r="A38">
        <v>20</v>
      </c>
      <c r="B38">
        <v>45</v>
      </c>
      <c r="C38">
        <v>3</v>
      </c>
      <c r="D38">
        <v>0</v>
      </c>
      <c r="E38">
        <f>SmtRes!AV45</f>
        <v>0</v>
      </c>
      <c r="F38" t="str">
        <f>SmtRes!I45</f>
        <v>21.21-5-358</v>
      </c>
      <c r="G38" t="str">
        <f>SmtRes!K45</f>
        <v>Держатели пластиковые с защелкой для крепления труб, рукавов и гибких вводов диаметром 20 мм</v>
      </c>
      <c r="H38" t="str">
        <f>SmtRes!O45</f>
        <v>100 шт.</v>
      </c>
      <c r="I38">
        <f>SmtRes!Y45*Source!I78</f>
        <v>0.15</v>
      </c>
      <c r="J38">
        <f>SmtRes!AO45</f>
        <v>1</v>
      </c>
      <c r="K38">
        <f>SmtRes!AE45</f>
        <v>403.69</v>
      </c>
      <c r="L38">
        <f>SmtRes!DB45</f>
        <v>403.69</v>
      </c>
      <c r="M38">
        <f>ROUND(ROUND(L38*Source!I78, 6)*1, 2)</f>
        <v>60.55</v>
      </c>
      <c r="N38">
        <f>SmtRes!AA45</f>
        <v>403.69</v>
      </c>
      <c r="O38">
        <f>ROUND(ROUND(L38*Source!I78, 6)*SmtRes!DA45, 2)</f>
        <v>60.55</v>
      </c>
      <c r="P38">
        <f>SmtRes!AG45</f>
        <v>0</v>
      </c>
      <c r="Q38">
        <f>SmtRes!DC45</f>
        <v>0</v>
      </c>
      <c r="R38">
        <f>ROUND(ROUND(Q38*Source!I78, 6)*1, 2)</f>
        <v>0</v>
      </c>
      <c r="S38">
        <f>SmtRes!AC45</f>
        <v>0</v>
      </c>
      <c r="T38">
        <f>ROUND(ROUND(Q38*Source!I78, 6)*SmtRes!AK45, 2)</f>
        <v>0</v>
      </c>
      <c r="U38">
        <v>3</v>
      </c>
      <c r="Z38">
        <f>SmtRes!X45</f>
        <v>-1743513445</v>
      </c>
      <c r="AA38">
        <v>1418553493</v>
      </c>
      <c r="AB38">
        <v>1418553493</v>
      </c>
    </row>
    <row r="39" spans="1:28" x14ac:dyDescent="0.2">
      <c r="A39">
        <v>20</v>
      </c>
      <c r="B39">
        <v>44</v>
      </c>
      <c r="C39">
        <v>3</v>
      </c>
      <c r="D39">
        <v>0</v>
      </c>
      <c r="E39">
        <f>SmtRes!AV44</f>
        <v>0</v>
      </c>
      <c r="F39" t="str">
        <f>SmtRes!I44</f>
        <v>21.12-5-136</v>
      </c>
      <c r="G39" t="str">
        <f>SmtRes!K44</f>
        <v>Трубы электротехнические гофрированные, поливинилхлоридные, негорючие, с зондом, наружный диаметр 20 мм</v>
      </c>
      <c r="H39" t="str">
        <f>SmtRes!O44</f>
        <v>м</v>
      </c>
      <c r="I39">
        <f>SmtRes!Y44*Source!I78</f>
        <v>15.299999999999999</v>
      </c>
      <c r="J39">
        <f>SmtRes!AO44</f>
        <v>1</v>
      </c>
      <c r="K39">
        <f>SmtRes!AE44</f>
        <v>26.18</v>
      </c>
      <c r="L39">
        <f>SmtRes!DB44</f>
        <v>2670.36</v>
      </c>
      <c r="M39">
        <f>ROUND(ROUND(L39*Source!I78, 6)*1, 2)</f>
        <v>400.55</v>
      </c>
      <c r="N39">
        <f>SmtRes!AA44</f>
        <v>26.18</v>
      </c>
      <c r="O39">
        <f>ROUND(ROUND(L39*Source!I78, 6)*SmtRes!DA44, 2)</f>
        <v>400.55</v>
      </c>
      <c r="P39">
        <f>SmtRes!AG44</f>
        <v>0</v>
      </c>
      <c r="Q39">
        <f>SmtRes!DC44</f>
        <v>0</v>
      </c>
      <c r="R39">
        <f>ROUND(ROUND(Q39*Source!I78, 6)*1, 2)</f>
        <v>0</v>
      </c>
      <c r="S39">
        <f>SmtRes!AC44</f>
        <v>0</v>
      </c>
      <c r="T39">
        <f>ROUND(ROUND(Q39*Source!I78, 6)*SmtRes!AK44, 2)</f>
        <v>0</v>
      </c>
      <c r="U39">
        <v>3</v>
      </c>
      <c r="Z39">
        <f>SmtRes!X44</f>
        <v>959910289</v>
      </c>
      <c r="AA39">
        <v>-309151344</v>
      </c>
      <c r="AB39">
        <v>-309151344</v>
      </c>
    </row>
    <row r="40" spans="1:28" x14ac:dyDescent="0.2">
      <c r="A40">
        <v>20</v>
      </c>
      <c r="B40">
        <v>43</v>
      </c>
      <c r="C40">
        <v>3</v>
      </c>
      <c r="D40">
        <v>0</v>
      </c>
      <c r="E40">
        <f>SmtRes!AV43</f>
        <v>0</v>
      </c>
      <c r="F40" t="str">
        <f>SmtRes!I43</f>
        <v>21.1-11-198</v>
      </c>
      <c r="G40" t="str">
        <f>SmtRes!K43</f>
        <v>Дюбели пластмассовые</v>
      </c>
      <c r="H40" t="str">
        <f>SmtRes!O43</f>
        <v>шт.</v>
      </c>
      <c r="I40">
        <f>SmtRes!Y43*Source!I78</f>
        <v>18</v>
      </c>
      <c r="J40">
        <f>SmtRes!AO43</f>
        <v>1</v>
      </c>
      <c r="K40">
        <f>SmtRes!AE43</f>
        <v>2.31</v>
      </c>
      <c r="L40">
        <f>SmtRes!DB43</f>
        <v>277.2</v>
      </c>
      <c r="M40">
        <f>ROUND(ROUND(L40*Source!I78, 6)*1, 2)</f>
        <v>41.58</v>
      </c>
      <c r="N40">
        <f>SmtRes!AA43</f>
        <v>2.31</v>
      </c>
      <c r="O40">
        <f>ROUND(ROUND(L40*Source!I78, 6)*SmtRes!DA43, 2)</f>
        <v>41.58</v>
      </c>
      <c r="P40">
        <f>SmtRes!AG43</f>
        <v>0</v>
      </c>
      <c r="Q40">
        <f>SmtRes!DC43</f>
        <v>0</v>
      </c>
      <c r="R40">
        <f>ROUND(ROUND(Q40*Source!I78, 6)*1, 2)</f>
        <v>0</v>
      </c>
      <c r="S40">
        <f>SmtRes!AC43</f>
        <v>0</v>
      </c>
      <c r="T40">
        <f>ROUND(ROUND(Q40*Source!I78, 6)*SmtRes!AK43, 2)</f>
        <v>0</v>
      </c>
      <c r="U40">
        <v>3</v>
      </c>
      <c r="Z40">
        <f>SmtRes!X43</f>
        <v>1799219779</v>
      </c>
      <c r="AA40">
        <v>-223804902</v>
      </c>
      <c r="AB40">
        <v>-223804902</v>
      </c>
    </row>
    <row r="41" spans="1:28" x14ac:dyDescent="0.2">
      <c r="A41">
        <v>20</v>
      </c>
      <c r="B41">
        <v>42</v>
      </c>
      <c r="C41">
        <v>3</v>
      </c>
      <c r="D41">
        <v>0</v>
      </c>
      <c r="E41">
        <f>SmtRes!AV42</f>
        <v>0</v>
      </c>
      <c r="F41" t="str">
        <f>SmtRes!I42</f>
        <v>21.1-11-108</v>
      </c>
      <c r="G41" t="str">
        <f>SmtRes!K42</f>
        <v>Шурупы - саморезы, размер 3,5х45 мм</v>
      </c>
      <c r="H41" t="str">
        <f>SmtRes!O42</f>
        <v>т</v>
      </c>
      <c r="I41">
        <f>SmtRes!Y42*Source!I78</f>
        <v>3.3300000000000002E-4</v>
      </c>
      <c r="J41">
        <f>SmtRes!AO42</f>
        <v>1</v>
      </c>
      <c r="K41">
        <f>SmtRes!AE42</f>
        <v>199923.02</v>
      </c>
      <c r="L41">
        <f>SmtRes!DB42</f>
        <v>443.83</v>
      </c>
      <c r="M41">
        <f>ROUND(ROUND(L41*Source!I78, 6)*1, 2)</f>
        <v>66.569999999999993</v>
      </c>
      <c r="N41">
        <f>SmtRes!AA42</f>
        <v>199923.02</v>
      </c>
      <c r="O41">
        <f>ROUND(ROUND(L41*Source!I78, 6)*SmtRes!DA42, 2)</f>
        <v>66.569999999999993</v>
      </c>
      <c r="P41">
        <f>SmtRes!AG42</f>
        <v>0</v>
      </c>
      <c r="Q41">
        <f>SmtRes!DC42</f>
        <v>0</v>
      </c>
      <c r="R41">
        <f>ROUND(ROUND(Q41*Source!I78, 6)*1, 2)</f>
        <v>0</v>
      </c>
      <c r="S41">
        <f>SmtRes!AC42</f>
        <v>0</v>
      </c>
      <c r="T41">
        <f>ROUND(ROUND(Q41*Source!I78, 6)*SmtRes!AK42, 2)</f>
        <v>0</v>
      </c>
      <c r="U41">
        <v>3</v>
      </c>
      <c r="Z41">
        <f>SmtRes!X42</f>
        <v>1667586132</v>
      </c>
      <c r="AA41">
        <v>-1884685051</v>
      </c>
      <c r="AB41">
        <v>-1884685051</v>
      </c>
    </row>
    <row r="42" spans="1:28" x14ac:dyDescent="0.2">
      <c r="A42">
        <v>20</v>
      </c>
      <c r="B42">
        <v>41</v>
      </c>
      <c r="C42">
        <v>2</v>
      </c>
      <c r="D42">
        <v>0</v>
      </c>
      <c r="E42">
        <f>SmtRes!AV41</f>
        <v>0</v>
      </c>
      <c r="F42" t="str">
        <f>SmtRes!I41</f>
        <v>22.1-30-56</v>
      </c>
      <c r="G42" t="str">
        <f>SmtRes!K41</f>
        <v>Шуруповерты</v>
      </c>
      <c r="H42" t="str">
        <f>SmtRes!O41</f>
        <v>маш.-ч</v>
      </c>
      <c r="I42">
        <f>SmtRes!Y41*Source!I78</f>
        <v>7.1999999999999995E-2</v>
      </c>
      <c r="J42">
        <f>SmtRes!AO41</f>
        <v>1</v>
      </c>
      <c r="K42">
        <f>SmtRes!AF41</f>
        <v>7.44</v>
      </c>
      <c r="L42">
        <f>SmtRes!DB41</f>
        <v>3.57</v>
      </c>
      <c r="M42">
        <f>ROUND(ROUND(L42*Source!I78, 6)*1, 2)</f>
        <v>0.54</v>
      </c>
      <c r="N42">
        <f>SmtRes!AB41</f>
        <v>7.44</v>
      </c>
      <c r="O42">
        <f>ROUND(ROUND(L42*Source!I78, 6)*SmtRes!DA41, 2)</f>
        <v>0.54</v>
      </c>
      <c r="P42">
        <f>SmtRes!AG41</f>
        <v>0.01</v>
      </c>
      <c r="Q42">
        <f>SmtRes!DC41</f>
        <v>0</v>
      </c>
      <c r="R42">
        <f>ROUND(ROUND(Q42*Source!I78, 6)*1, 2)</f>
        <v>0</v>
      </c>
      <c r="S42">
        <f>SmtRes!AC41</f>
        <v>0.01</v>
      </c>
      <c r="T42">
        <f>ROUND(ROUND(Q42*Source!I78, 6)*SmtRes!AK41, 2)</f>
        <v>0</v>
      </c>
      <c r="U42">
        <v>2</v>
      </c>
      <c r="Z42">
        <f>SmtRes!X41</f>
        <v>-247555338</v>
      </c>
      <c r="AA42">
        <v>-1795244417</v>
      </c>
      <c r="AB42">
        <v>-1795244417</v>
      </c>
    </row>
    <row r="43" spans="1:28" x14ac:dyDescent="0.2">
      <c r="A43">
        <v>20</v>
      </c>
      <c r="B43">
        <v>40</v>
      </c>
      <c r="C43">
        <v>2</v>
      </c>
      <c r="D43">
        <v>0</v>
      </c>
      <c r="E43">
        <f>SmtRes!AV40</f>
        <v>0</v>
      </c>
      <c r="F43" t="str">
        <f>SmtRes!I40</f>
        <v>22.1-30-103</v>
      </c>
      <c r="G43" t="str">
        <f>SmtRes!K40</f>
        <v>Перфораторы электрические, мощность до 800 Вт</v>
      </c>
      <c r="H43" t="str">
        <f>SmtRes!O40</f>
        <v>маш.-ч</v>
      </c>
      <c r="I43">
        <f>SmtRes!Y40*Source!I78</f>
        <v>0.72749999999999992</v>
      </c>
      <c r="J43">
        <f>SmtRes!AO40</f>
        <v>1</v>
      </c>
      <c r="K43">
        <f>SmtRes!AF40</f>
        <v>10.7</v>
      </c>
      <c r="L43">
        <f>SmtRes!DB40</f>
        <v>51.9</v>
      </c>
      <c r="M43">
        <f>ROUND(ROUND(L43*Source!I78, 6)*1, 2)</f>
        <v>7.79</v>
      </c>
      <c r="N43">
        <f>SmtRes!AB40</f>
        <v>10.7</v>
      </c>
      <c r="O43">
        <f>ROUND(ROUND(L43*Source!I78, 6)*SmtRes!DA40, 2)</f>
        <v>7.79</v>
      </c>
      <c r="P43">
        <f>SmtRes!AG40</f>
        <v>1.91</v>
      </c>
      <c r="Q43">
        <f>SmtRes!DC40</f>
        <v>9.26</v>
      </c>
      <c r="R43">
        <f>ROUND(ROUND(Q43*Source!I78, 6)*1, 2)</f>
        <v>1.39</v>
      </c>
      <c r="S43">
        <f>SmtRes!AC40</f>
        <v>1.91</v>
      </c>
      <c r="T43">
        <f>ROUND(ROUND(Q43*Source!I78, 6)*SmtRes!AK40, 2)</f>
        <v>1.39</v>
      </c>
      <c r="U43">
        <v>2</v>
      </c>
      <c r="Z43">
        <f>SmtRes!X40</f>
        <v>-684189830</v>
      </c>
      <c r="AA43">
        <v>-1048187902</v>
      </c>
      <c r="AB43">
        <v>-1048187902</v>
      </c>
    </row>
    <row r="44" spans="1:28" x14ac:dyDescent="0.2">
      <c r="A44">
        <f>Source!A79</f>
        <v>18</v>
      </c>
      <c r="B44">
        <v>79</v>
      </c>
      <c r="C44">
        <v>3</v>
      </c>
      <c r="D44">
        <f>Source!BI79</f>
        <v>4</v>
      </c>
      <c r="E44">
        <f>Source!FS79</f>
        <v>0</v>
      </c>
      <c r="F44" t="str">
        <f>Source!F79</f>
        <v>21.21-5-61</v>
      </c>
      <c r="G44" t="str">
        <f>Source!G79</f>
        <v>Коробки для выполнения соединений и ответвлений электрических кабелей и проводов сечением до 4 мм2, прокладываемых в неметаллических трубах, тип КОР-73 УЗ</v>
      </c>
      <c r="H44" t="str">
        <f>Source!H79</f>
        <v>шт.</v>
      </c>
      <c r="I44">
        <f>Source!I79</f>
        <v>14.000000000000002</v>
      </c>
      <c r="J44">
        <v>1</v>
      </c>
      <c r="K44">
        <f>Source!AC79</f>
        <v>63.77</v>
      </c>
      <c r="M44">
        <f>ROUND(K44*I44, 2)</f>
        <v>892.78</v>
      </c>
      <c r="N44">
        <f>Source!AC79*IF(Source!BC79&lt;&gt; 0, Source!BC79, 1)</f>
        <v>63.77</v>
      </c>
      <c r="O44">
        <f>ROUND(N44*I44, 2)</f>
        <v>892.78</v>
      </c>
      <c r="P44">
        <f>Source!AE79</f>
        <v>0</v>
      </c>
      <c r="R44">
        <f>ROUND(P44*I44, 2)</f>
        <v>0</v>
      </c>
      <c r="S44">
        <f>Source!AE79*IF(Source!BS79&lt;&gt; 0, Source!BS79, 1)</f>
        <v>0</v>
      </c>
      <c r="T44">
        <f>ROUND(S44*I44, 2)</f>
        <v>0</v>
      </c>
      <c r="U44">
        <v>3</v>
      </c>
      <c r="Z44">
        <f>Source!GF79</f>
        <v>510472555</v>
      </c>
      <c r="AA44">
        <v>-583133546</v>
      </c>
      <c r="AB44">
        <v>-583133546</v>
      </c>
    </row>
    <row r="45" spans="1:28" x14ac:dyDescent="0.2">
      <c r="A45">
        <f>Source!A82</f>
        <v>18</v>
      </c>
      <c r="B45">
        <v>82</v>
      </c>
      <c r="C45">
        <v>3</v>
      </c>
      <c r="D45">
        <f>Source!BI82</f>
        <v>4</v>
      </c>
      <c r="E45">
        <f>Source!FS82</f>
        <v>0</v>
      </c>
      <c r="F45" t="str">
        <f>Source!F82</f>
        <v>21.23-8-269</v>
      </c>
      <c r="G45" t="str">
        <f>Source!G82</f>
        <v>Кабели силовые, с медными жилами, с изоляц. и оболоч.из ПВХ пластиката пониж.пожар.опасности, не распростр.горение, с пониж.дымо- и газовыделением и с низк.токсич-тью продуктов горения, напряж.1000 В, марка ВВГнг(А)-LSLTx, число жил и сечение, мм2: 3х1,5</v>
      </c>
      <c r="H45" t="str">
        <f>Source!H82</f>
        <v>км</v>
      </c>
      <c r="I45">
        <f>Source!I82</f>
        <v>1.5299999999999998E-2</v>
      </c>
      <c r="J45">
        <v>1</v>
      </c>
      <c r="K45">
        <f>Source!AC82</f>
        <v>89703.17</v>
      </c>
      <c r="M45">
        <f>ROUND(K45*I45, 2)</f>
        <v>1372.46</v>
      </c>
      <c r="N45">
        <f>Source!AC82*IF(Source!BC82&lt;&gt; 0, Source!BC82, 1)</f>
        <v>89703.17</v>
      </c>
      <c r="O45">
        <f>ROUND(N45*I45, 2)</f>
        <v>1372.46</v>
      </c>
      <c r="P45">
        <f>Source!AE82</f>
        <v>0</v>
      </c>
      <c r="R45">
        <f>ROUND(P45*I45, 2)</f>
        <v>0</v>
      </c>
      <c r="S45">
        <f>Source!AE82*IF(Source!BS82&lt;&gt; 0, Source!BS82, 1)</f>
        <v>0</v>
      </c>
      <c r="T45">
        <f>ROUND(S45*I45, 2)</f>
        <v>0</v>
      </c>
      <c r="U45">
        <v>3</v>
      </c>
      <c r="Z45">
        <f>Source!GF82</f>
        <v>-1673733971</v>
      </c>
      <c r="AA45">
        <v>1278610396</v>
      </c>
      <c r="AB45">
        <v>1278610396</v>
      </c>
    </row>
    <row r="46" spans="1:28" x14ac:dyDescent="0.2">
      <c r="A46">
        <f>Source!A84</f>
        <v>18</v>
      </c>
      <c r="B46">
        <v>84</v>
      </c>
      <c r="C46">
        <v>3</v>
      </c>
      <c r="D46">
        <f>Source!BI84</f>
        <v>4</v>
      </c>
      <c r="E46">
        <f>Source!FS84</f>
        <v>0</v>
      </c>
      <c r="F46" t="str">
        <f>Source!F84</f>
        <v>21.23-8-269</v>
      </c>
      <c r="G46" t="str">
        <f>Source!G84</f>
        <v>Кабели силовые, с медными жилами, с изоляц. и оболоч.из ПВХ пластиката пониж.пожар.опасности, не распростр.горение, с пониж.дымо- и газовыделением и с низк.токсич-тью продуктов горения, напряж.1000 В, марка ВВГнг(А)-LSLTx, число жил и сечение, мм2: 3х1,5</v>
      </c>
      <c r="H46" t="str">
        <f>Source!H84</f>
        <v>км</v>
      </c>
      <c r="I46">
        <f>Source!I84</f>
        <v>1.4279999999999999E-2</v>
      </c>
      <c r="J46">
        <v>1</v>
      </c>
      <c r="K46">
        <f>Source!AC84</f>
        <v>89703.17</v>
      </c>
      <c r="M46">
        <f>ROUND(K46*I46, 2)</f>
        <v>1280.96</v>
      </c>
      <c r="N46">
        <f>Source!AC84*IF(Source!BC84&lt;&gt; 0, Source!BC84, 1)</f>
        <v>89703.17</v>
      </c>
      <c r="O46">
        <f>ROUND(N46*I46, 2)</f>
        <v>1280.96</v>
      </c>
      <c r="P46">
        <f>Source!AE84</f>
        <v>0</v>
      </c>
      <c r="R46">
        <f>ROUND(P46*I46, 2)</f>
        <v>0</v>
      </c>
      <c r="S46">
        <f>Source!AE84*IF(Source!BS84&lt;&gt; 0, Source!BS84, 1)</f>
        <v>0</v>
      </c>
      <c r="T46">
        <f>ROUND(S46*I46, 2)</f>
        <v>0</v>
      </c>
      <c r="U46">
        <v>3</v>
      </c>
      <c r="Z46">
        <f>Source!GF84</f>
        <v>-1673733971</v>
      </c>
      <c r="AA46">
        <v>1278610396</v>
      </c>
      <c r="AB46">
        <v>1278610396</v>
      </c>
    </row>
    <row r="47" spans="1:28" x14ac:dyDescent="0.2">
      <c r="A47">
        <v>20</v>
      </c>
      <c r="B47">
        <v>55</v>
      </c>
      <c r="C47">
        <v>3</v>
      </c>
      <c r="D47">
        <v>0</v>
      </c>
      <c r="E47">
        <f>SmtRes!AV55</f>
        <v>0</v>
      </c>
      <c r="F47" t="str">
        <f>SmtRes!I55</f>
        <v>21.1-25-257</v>
      </c>
      <c r="G47" t="str">
        <f>SmtRes!K55</f>
        <v>Пленка полиэтиленовая, толщина 80 мкм</v>
      </c>
      <c r="H47" t="str">
        <f>SmtRes!O55</f>
        <v>м2</v>
      </c>
      <c r="I47">
        <f>SmtRes!Y55*Source!I85</f>
        <v>145.86000000000001</v>
      </c>
      <c r="J47">
        <f>SmtRes!AO55</f>
        <v>1</v>
      </c>
      <c r="K47">
        <f>SmtRes!AE55</f>
        <v>10.62</v>
      </c>
      <c r="L47">
        <f>SmtRes!DB55</f>
        <v>1191.56</v>
      </c>
      <c r="M47">
        <f>ROUND(ROUND(L47*Source!I85, 6)*1, 2)</f>
        <v>1549.03</v>
      </c>
      <c r="N47">
        <f>SmtRes!AA55</f>
        <v>10.62</v>
      </c>
      <c r="O47">
        <f>ROUND(ROUND(L47*Source!I85, 6)*SmtRes!DA55, 2)</f>
        <v>1549.03</v>
      </c>
      <c r="P47">
        <f>SmtRes!AG55</f>
        <v>0</v>
      </c>
      <c r="Q47">
        <f>SmtRes!DC55</f>
        <v>0</v>
      </c>
      <c r="R47">
        <f>ROUND(ROUND(Q47*Source!I85, 6)*1, 2)</f>
        <v>0</v>
      </c>
      <c r="S47">
        <f>SmtRes!AC55</f>
        <v>0</v>
      </c>
      <c r="T47">
        <f>ROUND(ROUND(Q47*Source!I85, 6)*SmtRes!AK55, 2)</f>
        <v>0</v>
      </c>
      <c r="U47">
        <v>3</v>
      </c>
      <c r="Z47">
        <f>SmtRes!X55</f>
        <v>1627923774</v>
      </c>
      <c r="AA47">
        <v>-745564717</v>
      </c>
      <c r="AB47">
        <v>-745564717</v>
      </c>
    </row>
    <row r="48" spans="1:28" x14ac:dyDescent="0.2">
      <c r="A48">
        <v>20</v>
      </c>
      <c r="B48">
        <v>54</v>
      </c>
      <c r="C48">
        <v>3</v>
      </c>
      <c r="D48">
        <v>0</v>
      </c>
      <c r="E48">
        <f>SmtRes!AV54</f>
        <v>0</v>
      </c>
      <c r="F48" t="str">
        <f>SmtRes!I54</f>
        <v>21.1-25-152</v>
      </c>
      <c r="G48" t="str">
        <f>SmtRes!K54</f>
        <v>Лента-скотч малярный, ширина 50 мм</v>
      </c>
      <c r="H48" t="str">
        <f>SmtRes!O54</f>
        <v>м</v>
      </c>
      <c r="I48">
        <f>SmtRes!Y54*Source!I85</f>
        <v>136.5</v>
      </c>
      <c r="J48">
        <f>SmtRes!AO54</f>
        <v>1</v>
      </c>
      <c r="K48">
        <f>SmtRes!AE54</f>
        <v>2.2400000000000002</v>
      </c>
      <c r="L48">
        <f>SmtRes!DB54</f>
        <v>235.2</v>
      </c>
      <c r="M48">
        <f>ROUND(ROUND(L48*Source!I85, 6)*1, 2)</f>
        <v>305.76</v>
      </c>
      <c r="N48">
        <f>SmtRes!AA54</f>
        <v>2.2400000000000002</v>
      </c>
      <c r="O48">
        <f>ROUND(ROUND(L48*Source!I85, 6)*SmtRes!DA54, 2)</f>
        <v>305.76</v>
      </c>
      <c r="P48">
        <f>SmtRes!AG54</f>
        <v>0</v>
      </c>
      <c r="Q48">
        <f>SmtRes!DC54</f>
        <v>0</v>
      </c>
      <c r="R48">
        <f>ROUND(ROUND(Q48*Source!I85, 6)*1, 2)</f>
        <v>0</v>
      </c>
      <c r="S48">
        <f>SmtRes!AC54</f>
        <v>0</v>
      </c>
      <c r="T48">
        <f>ROUND(ROUND(Q48*Source!I85, 6)*SmtRes!AK54, 2)</f>
        <v>0</v>
      </c>
      <c r="U48">
        <v>3</v>
      </c>
      <c r="Z48">
        <f>SmtRes!X54</f>
        <v>1792308677</v>
      </c>
      <c r="AA48">
        <v>-2134427384</v>
      </c>
      <c r="AB48">
        <v>-2134427384</v>
      </c>
    </row>
    <row r="49" spans="1:28" x14ac:dyDescent="0.2">
      <c r="A49">
        <f>Source!A118</f>
        <v>4</v>
      </c>
      <c r="B49">
        <v>118</v>
      </c>
      <c r="G49" t="str">
        <f>Source!G118</f>
        <v>Мусор</v>
      </c>
    </row>
    <row r="50" spans="1:28" x14ac:dyDescent="0.2">
      <c r="A50">
        <v>20</v>
      </c>
      <c r="B50">
        <v>58</v>
      </c>
      <c r="C50">
        <v>2</v>
      </c>
      <c r="D50">
        <v>0</v>
      </c>
      <c r="E50">
        <f>SmtRes!AV58</f>
        <v>0</v>
      </c>
      <c r="F50" t="str">
        <f>SmtRes!I58</f>
        <v>22.1-1-5</v>
      </c>
      <c r="G50" t="str">
        <f>SmtRes!K58</f>
        <v>Экскаваторы на гусеничном ходу гидравлические, объем ковша до 0,65 м3</v>
      </c>
      <c r="H50" t="str">
        <f>SmtRes!O58</f>
        <v>маш.-ч</v>
      </c>
      <c r="I50">
        <f>SmtRes!Y58*Source!I122</f>
        <v>3.4367999999999998E-3</v>
      </c>
      <c r="J50">
        <f>SmtRes!AO58</f>
        <v>1</v>
      </c>
      <c r="K50">
        <f>SmtRes!AF58</f>
        <v>2195.02</v>
      </c>
      <c r="L50">
        <f>SmtRes!DB58</f>
        <v>117.87</v>
      </c>
      <c r="M50">
        <f>ROUND(ROUND(L50*Source!I122, 6)*1, 2)</f>
        <v>7.54</v>
      </c>
      <c r="N50">
        <f>SmtRes!AB58</f>
        <v>2195.02</v>
      </c>
      <c r="O50">
        <f>ROUND(ROUND(L50*Source!I122, 6)*SmtRes!DA58, 2)</f>
        <v>7.54</v>
      </c>
      <c r="P50">
        <f>SmtRes!AG58</f>
        <v>940.44</v>
      </c>
      <c r="Q50">
        <f>SmtRes!DC58</f>
        <v>50.5</v>
      </c>
      <c r="R50">
        <f>ROUND(ROUND(Q50*Source!I122, 6)*1, 2)</f>
        <v>3.23</v>
      </c>
      <c r="S50">
        <f>SmtRes!AC58</f>
        <v>940.44</v>
      </c>
      <c r="T50">
        <f>ROUND(ROUND(Q50*Source!I122, 6)*SmtRes!AK58, 2)</f>
        <v>3.23</v>
      </c>
      <c r="U50">
        <v>2</v>
      </c>
      <c r="Z50">
        <f>SmtRes!X58</f>
        <v>-1415669716</v>
      </c>
      <c r="AA50">
        <v>-355280745</v>
      </c>
      <c r="AB50">
        <v>-355280745</v>
      </c>
    </row>
    <row r="51" spans="1:28" x14ac:dyDescent="0.2">
      <c r="A51">
        <v>20</v>
      </c>
      <c r="B51">
        <v>60</v>
      </c>
      <c r="C51">
        <v>2</v>
      </c>
      <c r="D51">
        <v>0</v>
      </c>
      <c r="E51">
        <f>SmtRes!AV60</f>
        <v>0</v>
      </c>
      <c r="F51" t="str">
        <f>SmtRes!I60</f>
        <v>22.1-18-13</v>
      </c>
      <c r="G51" t="str">
        <f>SmtRes!K60</f>
        <v>Автомобили-самосвалы, грузоподъемность до 10 т</v>
      </c>
      <c r="H51" t="str">
        <f>SmtRes!O60</f>
        <v>маш.-ч</v>
      </c>
      <c r="I51">
        <f>SmtRes!Y60*Source!I123</f>
        <v>1.152E-3</v>
      </c>
      <c r="J51">
        <f>SmtRes!AO60</f>
        <v>1</v>
      </c>
      <c r="K51">
        <f>SmtRes!AF60</f>
        <v>1566.41</v>
      </c>
      <c r="L51">
        <f>SmtRes!DB60</f>
        <v>28.2</v>
      </c>
      <c r="M51">
        <f>ROUND(ROUND(L51*Source!I123, 6)*1, 2)</f>
        <v>1.8</v>
      </c>
      <c r="N51">
        <f>SmtRes!AB60</f>
        <v>1566.41</v>
      </c>
      <c r="O51">
        <f>ROUND(ROUND(L51*Source!I123, 6)*SmtRes!DA60, 2)</f>
        <v>1.8</v>
      </c>
      <c r="P51">
        <f>SmtRes!AG60</f>
        <v>619.79</v>
      </c>
      <c r="Q51">
        <f>SmtRes!DC60</f>
        <v>11.16</v>
      </c>
      <c r="R51">
        <f>ROUND(ROUND(Q51*Source!I123, 6)*1, 2)</f>
        <v>0.71</v>
      </c>
      <c r="S51">
        <f>SmtRes!AC60</f>
        <v>619.79</v>
      </c>
      <c r="T51">
        <f>ROUND(ROUND(Q51*Source!I123, 6)*SmtRes!AK60, 2)</f>
        <v>0.71</v>
      </c>
      <c r="U51">
        <v>2</v>
      </c>
      <c r="Z51">
        <f>SmtRes!X60</f>
        <v>822486257</v>
      </c>
      <c r="AA51">
        <v>1779266029</v>
      </c>
      <c r="AB51">
        <v>1779266029</v>
      </c>
    </row>
    <row r="52" spans="1:28" x14ac:dyDescent="0.2">
      <c r="A52">
        <v>20</v>
      </c>
      <c r="B52">
        <v>59</v>
      </c>
      <c r="C52">
        <v>2</v>
      </c>
      <c r="D52">
        <v>0</v>
      </c>
      <c r="E52">
        <f>SmtRes!AV59</f>
        <v>0</v>
      </c>
      <c r="F52" t="str">
        <f>SmtRes!I59</f>
        <v>22.1-18-12</v>
      </c>
      <c r="G52" t="str">
        <f>SmtRes!K59</f>
        <v>Автомобили-самосвалы, грузоподъемность до 7 т</v>
      </c>
      <c r="H52" t="str">
        <f>SmtRes!O59</f>
        <v>маш.-ч</v>
      </c>
      <c r="I52">
        <f>SmtRes!Y59*Source!I123</f>
        <v>1.2800000000000001E-3</v>
      </c>
      <c r="J52">
        <f>SmtRes!AO59</f>
        <v>1</v>
      </c>
      <c r="K52">
        <f>SmtRes!AF59</f>
        <v>1552.57</v>
      </c>
      <c r="L52">
        <f>SmtRes!DB59</f>
        <v>31.05</v>
      </c>
      <c r="M52">
        <f>ROUND(ROUND(L52*Source!I123, 6)*1, 2)</f>
        <v>1.99</v>
      </c>
      <c r="N52">
        <f>SmtRes!AB59</f>
        <v>1552.57</v>
      </c>
      <c r="O52">
        <f>ROUND(ROUND(L52*Source!I123, 6)*SmtRes!DA59, 2)</f>
        <v>1.99</v>
      </c>
      <c r="P52">
        <f>SmtRes!AG59</f>
        <v>619.16</v>
      </c>
      <c r="Q52">
        <f>SmtRes!DC59</f>
        <v>12.38</v>
      </c>
      <c r="R52">
        <f>ROUND(ROUND(Q52*Source!I123, 6)*1, 2)</f>
        <v>0.79</v>
      </c>
      <c r="S52">
        <f>SmtRes!AC59</f>
        <v>619.16</v>
      </c>
      <c r="T52">
        <f>ROUND(ROUND(Q52*Source!I123, 6)*SmtRes!AK59, 2)</f>
        <v>0.79</v>
      </c>
      <c r="U52">
        <v>2</v>
      </c>
      <c r="Z52">
        <f>SmtRes!X59</f>
        <v>9060937</v>
      </c>
      <c r="AA52">
        <v>406812087</v>
      </c>
      <c r="AB52">
        <v>406812087</v>
      </c>
    </row>
    <row r="53" spans="1:28" x14ac:dyDescent="0.2">
      <c r="A53">
        <v>20</v>
      </c>
      <c r="B53">
        <v>62</v>
      </c>
      <c r="C53">
        <v>2</v>
      </c>
      <c r="D53">
        <v>0</v>
      </c>
      <c r="E53">
        <f>SmtRes!AV62</f>
        <v>0</v>
      </c>
      <c r="F53" t="str">
        <f>SmtRes!I62</f>
        <v>22.1-18-13</v>
      </c>
      <c r="G53" t="str">
        <f>SmtRes!K62</f>
        <v>Автомобили-самосвалы, грузоподъемность до 10 т</v>
      </c>
      <c r="H53" t="str">
        <f>SmtRes!O62</f>
        <v>маш.-ч</v>
      </c>
      <c r="I53">
        <f>SmtRes!Y62*Source!I124</f>
        <v>2.4576000000000001E-2</v>
      </c>
      <c r="J53">
        <f>SmtRes!AO62</f>
        <v>1</v>
      </c>
      <c r="K53">
        <f>SmtRes!AF62</f>
        <v>1566.41</v>
      </c>
      <c r="L53">
        <f>SmtRes!DB62</f>
        <v>601.44000000000005</v>
      </c>
      <c r="M53">
        <f>ROUND(ROUND(L53*Source!I124, 6)*1, 2)</f>
        <v>38.49</v>
      </c>
      <c r="N53">
        <f>SmtRes!AB62</f>
        <v>1566.41</v>
      </c>
      <c r="O53">
        <f>ROUND(ROUND(L53*Source!I124, 6)*SmtRes!DA62, 2)</f>
        <v>38.49</v>
      </c>
      <c r="P53">
        <f>SmtRes!AG62</f>
        <v>619.79</v>
      </c>
      <c r="Q53">
        <f>SmtRes!DC62</f>
        <v>238.08</v>
      </c>
      <c r="R53">
        <f>ROUND(ROUND(Q53*Source!I124, 6)*1, 2)</f>
        <v>15.24</v>
      </c>
      <c r="S53">
        <f>SmtRes!AC62</f>
        <v>619.79</v>
      </c>
      <c r="T53">
        <f>ROUND(ROUND(Q53*Source!I124, 6)*SmtRes!AK62, 2)</f>
        <v>15.24</v>
      </c>
      <c r="U53">
        <v>2</v>
      </c>
      <c r="Z53">
        <f>SmtRes!X62</f>
        <v>822486257</v>
      </c>
      <c r="AA53">
        <v>1779266029</v>
      </c>
      <c r="AB53">
        <v>1779266029</v>
      </c>
    </row>
    <row r="54" spans="1:28" x14ac:dyDescent="0.2">
      <c r="A54">
        <v>20</v>
      </c>
      <c r="B54">
        <v>61</v>
      </c>
      <c r="C54">
        <v>2</v>
      </c>
      <c r="D54">
        <v>0</v>
      </c>
      <c r="E54">
        <f>SmtRes!AV61</f>
        <v>0</v>
      </c>
      <c r="F54" t="str">
        <f>SmtRes!I61</f>
        <v>22.1-18-12</v>
      </c>
      <c r="G54" t="str">
        <f>SmtRes!K61</f>
        <v>Автомобили-самосвалы, грузоподъемность до 7 т</v>
      </c>
      <c r="H54" t="str">
        <f>SmtRes!O61</f>
        <v>маш.-ч</v>
      </c>
      <c r="I54">
        <f>SmtRes!Y61*Source!I124</f>
        <v>3.0720000000000001E-2</v>
      </c>
      <c r="J54">
        <f>SmtRes!AO61</f>
        <v>1</v>
      </c>
      <c r="K54">
        <f>SmtRes!AF61</f>
        <v>1552.57</v>
      </c>
      <c r="L54">
        <f>SmtRes!DB61</f>
        <v>745.44</v>
      </c>
      <c r="M54">
        <f>ROUND(ROUND(L54*Source!I124, 6)*1, 2)</f>
        <v>47.71</v>
      </c>
      <c r="N54">
        <f>SmtRes!AB61</f>
        <v>1552.57</v>
      </c>
      <c r="O54">
        <f>ROUND(ROUND(L54*Source!I124, 6)*SmtRes!DA61, 2)</f>
        <v>47.71</v>
      </c>
      <c r="P54">
        <f>SmtRes!AG61</f>
        <v>619.16</v>
      </c>
      <c r="Q54">
        <f>SmtRes!DC61</f>
        <v>297.12</v>
      </c>
      <c r="R54">
        <f>ROUND(ROUND(Q54*Source!I124, 6)*1, 2)</f>
        <v>19.02</v>
      </c>
      <c r="S54">
        <f>SmtRes!AC61</f>
        <v>619.16</v>
      </c>
      <c r="T54">
        <f>ROUND(ROUND(Q54*Source!I124, 6)*SmtRes!AK61, 2)</f>
        <v>19.02</v>
      </c>
      <c r="U54">
        <v>2</v>
      </c>
      <c r="Z54">
        <f>SmtRes!X61</f>
        <v>9060937</v>
      </c>
      <c r="AA54">
        <v>406812087</v>
      </c>
      <c r="AB54">
        <v>406812087</v>
      </c>
    </row>
    <row r="55" spans="1:28" x14ac:dyDescent="0.2">
      <c r="A55">
        <v>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57"/>
  <sheetViews>
    <sheetView workbookViewId="0"/>
  </sheetViews>
  <sheetFormatPr defaultRowHeight="12.75" x14ac:dyDescent="0.2"/>
  <cols>
    <col min="1" max="1" width="18.7109375" customWidth="1"/>
    <col min="2" max="2" width="40.7109375" customWidth="1"/>
    <col min="3" max="6" width="12.7109375" customWidth="1"/>
    <col min="15" max="15" width="54.28515625" hidden="1" customWidth="1"/>
    <col min="16" max="18" width="0" hidden="1" customWidth="1"/>
  </cols>
  <sheetData>
    <row r="2" spans="1:17" ht="16.5" x14ac:dyDescent="0.2">
      <c r="A2" s="73" t="s">
        <v>337</v>
      </c>
      <c r="B2" s="74"/>
      <c r="C2" s="74"/>
      <c r="D2" s="74"/>
      <c r="E2" s="74"/>
      <c r="F2" s="74"/>
    </row>
    <row r="3" spans="1:17" ht="33" x14ac:dyDescent="0.2">
      <c r="A3" s="73" t="str">
        <f>CONCATENATE("Объект: ",IF(Source!G186&lt;&gt;"Новый объект", Source!G186, ""))</f>
        <v>Объект: ГБОУ Школа №1440. Осенний б-р д. 10 корп. 3 (в ценах на 01.04.2025 г)</v>
      </c>
      <c r="B3" s="74"/>
      <c r="C3" s="74"/>
      <c r="D3" s="74"/>
      <c r="E3" s="74"/>
      <c r="F3" s="74"/>
      <c r="O3" s="45" t="s">
        <v>338</v>
      </c>
    </row>
    <row r="4" spans="1:17" x14ac:dyDescent="0.2">
      <c r="A4" s="59" t="s">
        <v>339</v>
      </c>
      <c r="B4" s="59" t="s">
        <v>340</v>
      </c>
      <c r="C4" s="59" t="s">
        <v>260</v>
      </c>
      <c r="D4" s="59" t="s">
        <v>341</v>
      </c>
      <c r="E4" s="76" t="s">
        <v>342</v>
      </c>
      <c r="F4" s="77"/>
    </row>
    <row r="5" spans="1:17" x14ac:dyDescent="0.2">
      <c r="A5" s="60"/>
      <c r="B5" s="60"/>
      <c r="C5" s="60"/>
      <c r="D5" s="60"/>
      <c r="E5" s="78"/>
      <c r="F5" s="79"/>
    </row>
    <row r="6" spans="1:17" ht="14.25" x14ac:dyDescent="0.2">
      <c r="A6" s="75"/>
      <c r="B6" s="75"/>
      <c r="C6" s="75"/>
      <c r="D6" s="75"/>
      <c r="E6" s="18" t="s">
        <v>343</v>
      </c>
      <c r="F6" s="18" t="s">
        <v>344</v>
      </c>
    </row>
    <row r="7" spans="1:17" ht="14.25" x14ac:dyDescent="0.2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</row>
    <row r="8" spans="1:17" ht="16.5" x14ac:dyDescent="0.2">
      <c r="A8" s="73" t="str">
        <f>CONCATENATE("Локальная смета: ",IF(Source!G22&lt;&gt;"Новая локальная смета", Source!G22, ""))</f>
        <v xml:space="preserve">Локальная смета: </v>
      </c>
      <c r="B8" s="74"/>
      <c r="C8" s="74"/>
      <c r="D8" s="74"/>
      <c r="E8" s="74"/>
      <c r="F8" s="74"/>
    </row>
    <row r="9" spans="1:17" ht="16.5" x14ac:dyDescent="0.2">
      <c r="A9" s="73" t="str">
        <f>CONCATENATE("Раздел: ",IF(Source!G26&lt;&gt;"Новый раздел", Source!G26, ""))</f>
        <v>Раздел: Спортивный зал большой</v>
      </c>
      <c r="B9" s="74"/>
      <c r="C9" s="74"/>
      <c r="D9" s="74"/>
      <c r="E9" s="74"/>
      <c r="F9" s="74"/>
    </row>
    <row r="10" spans="1:17" ht="14.25" x14ac:dyDescent="0.2">
      <c r="A10" s="71" t="s">
        <v>345</v>
      </c>
      <c r="B10" s="72"/>
      <c r="C10" s="72"/>
      <c r="D10" s="72"/>
      <c r="E10" s="72"/>
      <c r="F10" s="72"/>
    </row>
    <row r="11" spans="1:17" ht="42.75" x14ac:dyDescent="0.2">
      <c r="A11" s="46" t="s">
        <v>24</v>
      </c>
      <c r="B11" s="38" t="s">
        <v>25</v>
      </c>
      <c r="C11" s="38" t="s">
        <v>26</v>
      </c>
      <c r="D11" s="39">
        <f>ROUND(SUMIF(RV_DATA!AA8:AA18, 1514387371, RV_DATA!I8:I18), 6)</f>
        <v>54.92</v>
      </c>
      <c r="E11" s="47">
        <f>ROUND(RV_DATA!K9, 6)</f>
        <v>5.72</v>
      </c>
      <c r="F11" s="47">
        <f>ROUND(SUMIF(RV_DATA!AA8:AA18, 1514387371, RV_DATA!M8:M18), 6)</f>
        <v>314.14</v>
      </c>
      <c r="Q11">
        <v>2</v>
      </c>
    </row>
    <row r="12" spans="1:17" ht="15" x14ac:dyDescent="0.25">
      <c r="A12" s="80" t="s">
        <v>346</v>
      </c>
      <c r="B12" s="80"/>
      <c r="C12" s="80"/>
      <c r="D12" s="80"/>
      <c r="E12" s="81">
        <f>SUMIF(Q11:Q11, 2, F11:F11)</f>
        <v>314.14</v>
      </c>
      <c r="F12" s="81"/>
    </row>
    <row r="13" spans="1:17" ht="14.25" x14ac:dyDescent="0.2">
      <c r="A13" s="71" t="s">
        <v>347</v>
      </c>
      <c r="B13" s="72"/>
      <c r="C13" s="72"/>
      <c r="D13" s="72"/>
      <c r="E13" s="72"/>
      <c r="F13" s="72"/>
    </row>
    <row r="14" spans="1:17" ht="14.25" x14ac:dyDescent="0.2">
      <c r="A14" s="46" t="s">
        <v>181</v>
      </c>
      <c r="B14" s="38" t="s">
        <v>183</v>
      </c>
      <c r="C14" s="38" t="s">
        <v>184</v>
      </c>
      <c r="D14" s="39">
        <f>ROUND(SUMIF(RV_DATA!AA8:AA18, 777677002, RV_DATA!I8:I18), 6)</f>
        <v>1.6128</v>
      </c>
      <c r="E14" s="47">
        <f>ROUND(RV_DATA!K15, 6)</f>
        <v>26.09</v>
      </c>
      <c r="F14" s="47">
        <f>ROUND(SUMIF(RV_DATA!AA8:AA18, 777677002, RV_DATA!M8:M18), 6)</f>
        <v>42.07</v>
      </c>
      <c r="Q14">
        <v>3</v>
      </c>
    </row>
    <row r="15" spans="1:17" ht="14.25" x14ac:dyDescent="0.2">
      <c r="A15" s="46" t="s">
        <v>185</v>
      </c>
      <c r="B15" s="38" t="s">
        <v>187</v>
      </c>
      <c r="C15" s="38" t="s">
        <v>180</v>
      </c>
      <c r="D15" s="39">
        <f>ROUND(SUMIF(RV_DATA!AA8:AA18, 1405492101, RV_DATA!I8:I18), 6)</f>
        <v>1.0751999999999999</v>
      </c>
      <c r="E15" s="47">
        <f>ROUND(RV_DATA!K14, 6)</f>
        <v>49.83</v>
      </c>
      <c r="F15" s="47">
        <f>ROUND(SUMIF(RV_DATA!AA8:AA18, 1405492101, RV_DATA!M8:M18), 6)</f>
        <v>53.58</v>
      </c>
      <c r="Q15">
        <v>3</v>
      </c>
    </row>
    <row r="16" spans="1:17" ht="14.25" x14ac:dyDescent="0.2">
      <c r="A16" s="46" t="s">
        <v>201</v>
      </c>
      <c r="B16" s="38" t="s">
        <v>203</v>
      </c>
      <c r="C16" s="38" t="s">
        <v>204</v>
      </c>
      <c r="D16" s="39">
        <f>ROUND(SUMIF(RV_DATA!AA8:AA18, -2134427384, RV_DATA!I8:I18), 6)</f>
        <v>297.14999999999998</v>
      </c>
      <c r="E16" s="47">
        <f>ROUND(RV_DATA!K18, 6)</f>
        <v>2.2400000000000002</v>
      </c>
      <c r="F16" s="47">
        <f>ROUND(SUMIF(RV_DATA!AA8:AA18, -2134427384, RV_DATA!M8:M18), 6)</f>
        <v>665.62</v>
      </c>
      <c r="Q16">
        <v>3</v>
      </c>
    </row>
    <row r="17" spans="1:17" ht="28.5" x14ac:dyDescent="0.2">
      <c r="A17" s="46" t="s">
        <v>205</v>
      </c>
      <c r="B17" s="38" t="s">
        <v>207</v>
      </c>
      <c r="C17" s="38" t="s">
        <v>191</v>
      </c>
      <c r="D17" s="39">
        <f>ROUND(SUMIF(RV_DATA!AA8:AA18, -745564717, RV_DATA!I8:I18), 6)</f>
        <v>317.52600000000001</v>
      </c>
      <c r="E17" s="47">
        <f>ROUND(RV_DATA!K17, 6)</f>
        <v>10.62</v>
      </c>
      <c r="F17" s="47">
        <f>ROUND(SUMIF(RV_DATA!AA8:AA18, -745564717, RV_DATA!M8:M18), 6)</f>
        <v>3372.11</v>
      </c>
      <c r="Q17">
        <v>3</v>
      </c>
    </row>
    <row r="18" spans="1:17" ht="28.5" x14ac:dyDescent="0.2">
      <c r="A18" s="46" t="s">
        <v>188</v>
      </c>
      <c r="B18" s="38" t="s">
        <v>190</v>
      </c>
      <c r="C18" s="38" t="s">
        <v>191</v>
      </c>
      <c r="D18" s="39">
        <f>ROUND(SUMIF(RV_DATA!AA8:AA18, 1781192509, RV_DATA!I8:I18), 6)</f>
        <v>3.5840000000000001</v>
      </c>
      <c r="E18" s="47">
        <f>ROUND(RV_DATA!K13, 6)</f>
        <v>338.51</v>
      </c>
      <c r="F18" s="47">
        <f>ROUND(SUMIF(RV_DATA!AA8:AA18, 1781192509, RV_DATA!M8:M18), 6)</f>
        <v>1213.23</v>
      </c>
      <c r="Q18">
        <v>3</v>
      </c>
    </row>
    <row r="19" spans="1:17" ht="28.5" x14ac:dyDescent="0.2">
      <c r="A19" s="46" t="s">
        <v>192</v>
      </c>
      <c r="B19" s="38" t="s">
        <v>194</v>
      </c>
      <c r="C19" s="38" t="s">
        <v>35</v>
      </c>
      <c r="D19" s="39">
        <f>ROUND(SUMIF(RV_DATA!AA8:AA18, 358603207, RV_DATA!I8:I18), 6)</f>
        <v>2.8672E-2</v>
      </c>
      <c r="E19" s="47">
        <f>ROUND(RV_DATA!K12, 6)</f>
        <v>76204.789999999994</v>
      </c>
      <c r="F19" s="47">
        <f>ROUND(SUMIF(RV_DATA!AA8:AA18, 358603207, RV_DATA!M8:M18), 6)</f>
        <v>2184.94</v>
      </c>
      <c r="Q19">
        <v>3</v>
      </c>
    </row>
    <row r="20" spans="1:17" ht="28.5" x14ac:dyDescent="0.2">
      <c r="A20" s="46" t="s">
        <v>33</v>
      </c>
      <c r="B20" s="38" t="s">
        <v>34</v>
      </c>
      <c r="C20" s="38" t="s">
        <v>35</v>
      </c>
      <c r="D20" s="39">
        <f>ROUND(SUMIF(RV_DATA!AA8:AA18, -1908676296, RV_DATA!I8:I18), 6)</f>
        <v>7.6160000000000004E-3</v>
      </c>
      <c r="E20" s="47">
        <f>ROUND(RV_DATA!K16, 6)</f>
        <v>198992.34</v>
      </c>
      <c r="F20" s="47">
        <f>ROUND(SUMIF(RV_DATA!AA8:AA18, -1908676296, RV_DATA!M8:M18), 6)</f>
        <v>1515.53</v>
      </c>
      <c r="Q20">
        <v>3</v>
      </c>
    </row>
    <row r="21" spans="1:17" ht="57" x14ac:dyDescent="0.2">
      <c r="A21" s="46" t="s">
        <v>195</v>
      </c>
      <c r="B21" s="38" t="s">
        <v>197</v>
      </c>
      <c r="C21" s="38" t="s">
        <v>184</v>
      </c>
      <c r="D21" s="39">
        <f>ROUND(SUMIF(RV_DATA!AA8:AA18, 1845104999, RV_DATA!I8:I18), 6)</f>
        <v>111.104</v>
      </c>
      <c r="E21" s="47">
        <f>ROUND(RV_DATA!K11, 6)</f>
        <v>215.72</v>
      </c>
      <c r="F21" s="47">
        <f>ROUND(SUMIF(RV_DATA!AA8:AA18, 1845104999, RV_DATA!M8:M18), 6)</f>
        <v>23967.37</v>
      </c>
      <c r="Q21">
        <v>3</v>
      </c>
    </row>
    <row r="22" spans="1:17" ht="57" x14ac:dyDescent="0.2">
      <c r="A22" s="46" t="s">
        <v>198</v>
      </c>
      <c r="B22" s="38" t="s">
        <v>200</v>
      </c>
      <c r="C22" s="38" t="s">
        <v>184</v>
      </c>
      <c r="D22" s="39">
        <f>ROUND(SUMIF(RV_DATA!AA8:AA18, -172959861, RV_DATA!I8:I18), 6)</f>
        <v>62.72</v>
      </c>
      <c r="E22" s="47">
        <f>ROUND(RV_DATA!K10, 6)</f>
        <v>80.599999999999994</v>
      </c>
      <c r="F22" s="47">
        <f>ROUND(SUMIF(RV_DATA!AA8:AA18, -172959861, RV_DATA!M8:M18), 6)</f>
        <v>5055.2299999999996</v>
      </c>
      <c r="Q22">
        <v>3</v>
      </c>
    </row>
    <row r="23" spans="1:17" ht="28.5" x14ac:dyDescent="0.2">
      <c r="A23" s="46" t="s">
        <v>177</v>
      </c>
      <c r="B23" s="38" t="s">
        <v>179</v>
      </c>
      <c r="C23" s="38" t="s">
        <v>180</v>
      </c>
      <c r="D23" s="39">
        <f>ROUND(SUMIF(RV_DATA!AA8:AA18, -620723599, RV_DATA!I8:I18), 6)</f>
        <v>6.7920000000000003E-3</v>
      </c>
      <c r="E23" s="47">
        <f>ROUND(RV_DATA!K8, 6)</f>
        <v>11988.68</v>
      </c>
      <c r="F23" s="47">
        <f>ROUND(SUMIF(RV_DATA!AA8:AA18, -620723599, RV_DATA!M8:M18), 6)</f>
        <v>81.430000000000007</v>
      </c>
      <c r="Q23">
        <v>3</v>
      </c>
    </row>
    <row r="24" spans="1:17" ht="15" x14ac:dyDescent="0.25">
      <c r="A24" s="80" t="s">
        <v>348</v>
      </c>
      <c r="B24" s="80"/>
      <c r="C24" s="80"/>
      <c r="D24" s="80"/>
      <c r="E24" s="81">
        <f>SUMIF(Q14:Q23, 3, F14:F23)</f>
        <v>38151.109999999993</v>
      </c>
      <c r="F24" s="81"/>
    </row>
    <row r="25" spans="1:17" ht="16.5" x14ac:dyDescent="0.2">
      <c r="A25" s="73" t="str">
        <f>CONCATENATE("Раздел: ",IF(Source!G67&lt;&gt;"Новый раздел", Source!G67, ""))</f>
        <v>Раздел: Спортивный зал малый</v>
      </c>
      <c r="B25" s="74"/>
      <c r="C25" s="74"/>
      <c r="D25" s="74"/>
      <c r="E25" s="74"/>
      <c r="F25" s="74"/>
    </row>
    <row r="26" spans="1:17" ht="14.25" x14ac:dyDescent="0.2">
      <c r="A26" s="71" t="s">
        <v>345</v>
      </c>
      <c r="B26" s="72"/>
      <c r="C26" s="72"/>
      <c r="D26" s="72"/>
      <c r="E26" s="72"/>
      <c r="F26" s="72"/>
    </row>
    <row r="27" spans="1:17" ht="28.5" x14ac:dyDescent="0.2">
      <c r="A27" s="46" t="s">
        <v>216</v>
      </c>
      <c r="B27" s="38" t="s">
        <v>218</v>
      </c>
      <c r="C27" s="38" t="s">
        <v>26</v>
      </c>
      <c r="D27" s="39">
        <f>ROUND(SUMIF(RV_DATA!AA20:AA48, -1048187902, RV_DATA!I20:I48), 6)</f>
        <v>0.72750000000000004</v>
      </c>
      <c r="E27" s="47">
        <f>ROUND(RV_DATA!K43, 6)</f>
        <v>10.7</v>
      </c>
      <c r="F27" s="47">
        <f>ROUND(SUMIF(RV_DATA!AA20:AA48, -1048187902, RV_DATA!M20:M48), 6)</f>
        <v>7.79</v>
      </c>
      <c r="Q27">
        <v>2</v>
      </c>
    </row>
    <row r="28" spans="1:17" ht="14.25" x14ac:dyDescent="0.2">
      <c r="A28" s="46" t="s">
        <v>213</v>
      </c>
      <c r="B28" s="38" t="s">
        <v>215</v>
      </c>
      <c r="C28" s="38" t="s">
        <v>26</v>
      </c>
      <c r="D28" s="39">
        <f>ROUND(SUMIF(RV_DATA!AA20:AA48, -1795244417, RV_DATA!I20:I48), 6)</f>
        <v>0.14399999999999999</v>
      </c>
      <c r="E28" s="47">
        <f>ROUND(RV_DATA!K36, 6)</f>
        <v>7.44</v>
      </c>
      <c r="F28" s="47">
        <f>ROUND(SUMIF(RV_DATA!AA20:AA48, -1795244417, RV_DATA!M20:M48), 6)</f>
        <v>1.08</v>
      </c>
      <c r="Q28">
        <v>2</v>
      </c>
    </row>
    <row r="29" spans="1:17" ht="42.75" x14ac:dyDescent="0.2">
      <c r="A29" s="46" t="s">
        <v>24</v>
      </c>
      <c r="B29" s="38" t="s">
        <v>25</v>
      </c>
      <c r="C29" s="38" t="s">
        <v>26</v>
      </c>
      <c r="D29" s="39">
        <f>ROUND(SUMIF(RV_DATA!AA20:AA48, 1514387371, RV_DATA!I20:I48), 6)</f>
        <v>101.2</v>
      </c>
      <c r="E29" s="47">
        <f>ROUND(RV_DATA!K21, 6)</f>
        <v>5.72</v>
      </c>
      <c r="F29" s="47">
        <f>ROUND(SUMIF(RV_DATA!AA20:AA48, 1514387371, RV_DATA!M20:M48), 6)</f>
        <v>578.86</v>
      </c>
      <c r="Q29">
        <v>2</v>
      </c>
    </row>
    <row r="30" spans="1:17" ht="15" x14ac:dyDescent="0.25">
      <c r="A30" s="80" t="s">
        <v>346</v>
      </c>
      <c r="B30" s="80"/>
      <c r="C30" s="80"/>
      <c r="D30" s="80"/>
      <c r="E30" s="81">
        <f>SUMIF(Q27:Q29, 2, F27:F29)</f>
        <v>587.73</v>
      </c>
      <c r="F30" s="81"/>
    </row>
    <row r="31" spans="1:17" ht="14.25" x14ac:dyDescent="0.2">
      <c r="A31" s="71" t="s">
        <v>347</v>
      </c>
      <c r="B31" s="72"/>
      <c r="C31" s="72"/>
      <c r="D31" s="72"/>
      <c r="E31" s="72"/>
      <c r="F31" s="72"/>
    </row>
    <row r="32" spans="1:17" ht="14.25" x14ac:dyDescent="0.2">
      <c r="A32" s="46" t="s">
        <v>219</v>
      </c>
      <c r="B32" s="38" t="s">
        <v>221</v>
      </c>
      <c r="C32" s="38" t="s">
        <v>35</v>
      </c>
      <c r="D32" s="39">
        <f>ROUND(SUMIF(RV_DATA!AA20:AA48, -1884685051, RV_DATA!I20:I48), 6)</f>
        <v>3.3300000000000002E-4</v>
      </c>
      <c r="E32" s="47">
        <f>ROUND(RV_DATA!K41, 6)</f>
        <v>199923.02</v>
      </c>
      <c r="F32" s="47">
        <f>ROUND(SUMIF(RV_DATA!AA20:AA48, -1884685051, RV_DATA!M20:M48), 6)</f>
        <v>66.569999999999993</v>
      </c>
      <c r="Q32">
        <v>3</v>
      </c>
    </row>
    <row r="33" spans="1:17" ht="14.25" x14ac:dyDescent="0.2">
      <c r="A33" s="46" t="s">
        <v>222</v>
      </c>
      <c r="B33" s="38" t="s">
        <v>224</v>
      </c>
      <c r="C33" s="38" t="s">
        <v>116</v>
      </c>
      <c r="D33" s="39">
        <f>ROUND(SUMIF(RV_DATA!AA20:AA48, -223804902, RV_DATA!I20:I48), 6)</f>
        <v>18</v>
      </c>
      <c r="E33" s="47">
        <f>ROUND(RV_DATA!K40, 6)</f>
        <v>2.31</v>
      </c>
      <c r="F33" s="47">
        <f>ROUND(SUMIF(RV_DATA!AA20:AA48, -223804902, RV_DATA!M20:M48), 6)</f>
        <v>41.58</v>
      </c>
      <c r="Q33">
        <v>3</v>
      </c>
    </row>
    <row r="34" spans="1:17" ht="14.25" x14ac:dyDescent="0.2">
      <c r="A34" s="46" t="s">
        <v>181</v>
      </c>
      <c r="B34" s="38" t="s">
        <v>183</v>
      </c>
      <c r="C34" s="38" t="s">
        <v>184</v>
      </c>
      <c r="D34" s="39">
        <f>ROUND(SUMIF(RV_DATA!AA20:AA48, 777677002, RV_DATA!I20:I48), 6)</f>
        <v>1.6379999999999999</v>
      </c>
      <c r="E34" s="47">
        <f>ROUND(RV_DATA!K27, 6)</f>
        <v>26.09</v>
      </c>
      <c r="F34" s="47">
        <f>ROUND(SUMIF(RV_DATA!AA20:AA48, 777677002, RV_DATA!M20:M48), 6)</f>
        <v>42.72</v>
      </c>
      <c r="Q34">
        <v>3</v>
      </c>
    </row>
    <row r="35" spans="1:17" ht="14.25" x14ac:dyDescent="0.2">
      <c r="A35" s="46" t="s">
        <v>185</v>
      </c>
      <c r="B35" s="38" t="s">
        <v>187</v>
      </c>
      <c r="C35" s="38" t="s">
        <v>180</v>
      </c>
      <c r="D35" s="39">
        <f>ROUND(SUMIF(RV_DATA!AA20:AA48, 1405492101, RV_DATA!I20:I48), 6)</f>
        <v>1.0920000000000001</v>
      </c>
      <c r="E35" s="47">
        <f>ROUND(RV_DATA!K26, 6)</f>
        <v>49.83</v>
      </c>
      <c r="F35" s="47">
        <f>ROUND(SUMIF(RV_DATA!AA20:AA48, 1405492101, RV_DATA!M20:M48), 6)</f>
        <v>54.41</v>
      </c>
      <c r="Q35">
        <v>3</v>
      </c>
    </row>
    <row r="36" spans="1:17" ht="57" x14ac:dyDescent="0.2">
      <c r="A36" s="46" t="s">
        <v>225</v>
      </c>
      <c r="B36" s="38" t="s">
        <v>227</v>
      </c>
      <c r="C36" s="38" t="s">
        <v>204</v>
      </c>
      <c r="D36" s="39">
        <f>ROUND(SUMIF(RV_DATA!AA20:AA48, -309151344, RV_DATA!I20:I48), 6)</f>
        <v>15.3</v>
      </c>
      <c r="E36" s="47">
        <f>ROUND(RV_DATA!K39, 6)</f>
        <v>26.18</v>
      </c>
      <c r="F36" s="47">
        <f>ROUND(SUMIF(RV_DATA!AA20:AA48, -309151344, RV_DATA!M20:M48), 6)</f>
        <v>400.55</v>
      </c>
      <c r="Q36">
        <v>3</v>
      </c>
    </row>
    <row r="37" spans="1:17" ht="14.25" x14ac:dyDescent="0.2">
      <c r="A37" s="46" t="s">
        <v>201</v>
      </c>
      <c r="B37" s="38" t="s">
        <v>203</v>
      </c>
      <c r="C37" s="38" t="s">
        <v>204</v>
      </c>
      <c r="D37" s="39">
        <f>ROUND(SUMIF(RV_DATA!AA20:AA48, -2134427384, RV_DATA!I20:I48), 6)</f>
        <v>136.5</v>
      </c>
      <c r="E37" s="47">
        <f>ROUND(RV_DATA!K48, 6)</f>
        <v>2.2400000000000002</v>
      </c>
      <c r="F37" s="47">
        <f>ROUND(SUMIF(RV_DATA!AA20:AA48, -2134427384, RV_DATA!M20:M48), 6)</f>
        <v>305.76</v>
      </c>
      <c r="Q37">
        <v>3</v>
      </c>
    </row>
    <row r="38" spans="1:17" ht="28.5" x14ac:dyDescent="0.2">
      <c r="A38" s="46" t="s">
        <v>205</v>
      </c>
      <c r="B38" s="38" t="s">
        <v>207</v>
      </c>
      <c r="C38" s="38" t="s">
        <v>191</v>
      </c>
      <c r="D38" s="39">
        <f>ROUND(SUMIF(RV_DATA!AA20:AA48, -745564717, RV_DATA!I20:I48), 6)</f>
        <v>145.86000000000001</v>
      </c>
      <c r="E38" s="47">
        <f>ROUND(RV_DATA!K47, 6)</f>
        <v>10.62</v>
      </c>
      <c r="F38" s="47">
        <f>ROUND(SUMIF(RV_DATA!AA20:AA48, -745564717, RV_DATA!M20:M48), 6)</f>
        <v>1549.03</v>
      </c>
      <c r="Q38">
        <v>3</v>
      </c>
    </row>
    <row r="39" spans="1:17" ht="28.5" x14ac:dyDescent="0.2">
      <c r="A39" s="46" t="s">
        <v>188</v>
      </c>
      <c r="B39" s="38" t="s">
        <v>190</v>
      </c>
      <c r="C39" s="38" t="s">
        <v>191</v>
      </c>
      <c r="D39" s="39">
        <f>ROUND(SUMIF(RV_DATA!AA20:AA48, 1781192509, RV_DATA!I20:I48), 6)</f>
        <v>4.96</v>
      </c>
      <c r="E39" s="47">
        <f>ROUND(RV_DATA!K25, 6)</f>
        <v>338.51</v>
      </c>
      <c r="F39" s="47">
        <f>ROUND(SUMIF(RV_DATA!AA20:AA48, 1781192509, RV_DATA!M20:M48), 6)</f>
        <v>1679.02</v>
      </c>
      <c r="Q39">
        <v>3</v>
      </c>
    </row>
    <row r="40" spans="1:17" ht="28.5" x14ac:dyDescent="0.2">
      <c r="A40" s="46" t="s">
        <v>192</v>
      </c>
      <c r="B40" s="38" t="s">
        <v>194</v>
      </c>
      <c r="C40" s="38" t="s">
        <v>35</v>
      </c>
      <c r="D40" s="39">
        <f>ROUND(SUMIF(RV_DATA!AA20:AA48, 358603207, RV_DATA!I20:I48), 6)</f>
        <v>2.9780000000000001E-2</v>
      </c>
      <c r="E40" s="47">
        <f>ROUND(RV_DATA!K24, 6)</f>
        <v>76204.789999999994</v>
      </c>
      <c r="F40" s="47">
        <f>ROUND(SUMIF(RV_DATA!AA20:AA48, 358603207, RV_DATA!M20:M48), 6)</f>
        <v>2269.37</v>
      </c>
      <c r="Q40">
        <v>3</v>
      </c>
    </row>
    <row r="41" spans="1:17" ht="28.5" x14ac:dyDescent="0.2">
      <c r="A41" s="46" t="s">
        <v>33</v>
      </c>
      <c r="B41" s="38" t="s">
        <v>34</v>
      </c>
      <c r="C41" s="38" t="s">
        <v>35</v>
      </c>
      <c r="D41" s="39">
        <f>ROUND(SUMIF(RV_DATA!AA20:AA48, -1908676296, RV_DATA!I20:I48), 6)</f>
        <v>4.9300000000000004E-3</v>
      </c>
      <c r="E41" s="47">
        <f>ROUND(RV_DATA!K28, 6)</f>
        <v>198992.34</v>
      </c>
      <c r="F41" s="47">
        <f>ROUND(SUMIF(RV_DATA!AA20:AA48, -1908676296, RV_DATA!M20:M48), 6)</f>
        <v>981.03</v>
      </c>
      <c r="Q41">
        <v>3</v>
      </c>
    </row>
    <row r="42" spans="1:17" ht="57" x14ac:dyDescent="0.2">
      <c r="A42" s="46" t="s">
        <v>210</v>
      </c>
      <c r="B42" s="38" t="s">
        <v>212</v>
      </c>
      <c r="C42" s="38" t="s">
        <v>184</v>
      </c>
      <c r="D42" s="39">
        <f>ROUND(SUMIF(RV_DATA!AA20:AA48, 265603619, RV_DATA!I20:I48), 6)</f>
        <v>40.92</v>
      </c>
      <c r="E42" s="47">
        <f>ROUND(RV_DATA!K30, 6)</f>
        <v>157.52000000000001</v>
      </c>
      <c r="F42" s="47">
        <f>ROUND(SUMIF(RV_DATA!AA20:AA48, 265603619, RV_DATA!M20:M48), 6)</f>
        <v>6445.73</v>
      </c>
      <c r="Q42">
        <v>3</v>
      </c>
    </row>
    <row r="43" spans="1:17" ht="57" x14ac:dyDescent="0.2">
      <c r="A43" s="46" t="s">
        <v>195</v>
      </c>
      <c r="B43" s="38" t="s">
        <v>197</v>
      </c>
      <c r="C43" s="38" t="s">
        <v>184</v>
      </c>
      <c r="D43" s="39">
        <f>ROUND(SUMIF(RV_DATA!AA20:AA48, 1845104999, RV_DATA!I20:I48), 6)</f>
        <v>71.92</v>
      </c>
      <c r="E43" s="47">
        <f>ROUND(RV_DATA!K23, 6)</f>
        <v>215.72</v>
      </c>
      <c r="F43" s="47">
        <f>ROUND(SUMIF(RV_DATA!AA20:AA48, 1845104999, RV_DATA!M20:M48), 6)</f>
        <v>15514.59</v>
      </c>
      <c r="Q43">
        <v>3</v>
      </c>
    </row>
    <row r="44" spans="1:17" ht="57" x14ac:dyDescent="0.2">
      <c r="A44" s="46" t="s">
        <v>198</v>
      </c>
      <c r="B44" s="38" t="s">
        <v>200</v>
      </c>
      <c r="C44" s="38" t="s">
        <v>184</v>
      </c>
      <c r="D44" s="39">
        <f>ROUND(SUMIF(RV_DATA!AA20:AA48, -172959861, RV_DATA!I20:I48), 6)</f>
        <v>63.7</v>
      </c>
      <c r="E44" s="47">
        <f>ROUND(RV_DATA!K22, 6)</f>
        <v>80.599999999999994</v>
      </c>
      <c r="F44" s="47">
        <f>ROUND(SUMIF(RV_DATA!AA20:AA48, -172959861, RV_DATA!M20:M48), 6)</f>
        <v>5134.22</v>
      </c>
      <c r="Q44">
        <v>3</v>
      </c>
    </row>
    <row r="45" spans="1:17" ht="28.5" x14ac:dyDescent="0.2">
      <c r="A45" s="46" t="s">
        <v>177</v>
      </c>
      <c r="B45" s="38" t="s">
        <v>179</v>
      </c>
      <c r="C45" s="38" t="s">
        <v>180</v>
      </c>
      <c r="D45" s="39">
        <f>ROUND(SUMIF(RV_DATA!AA20:AA48, -620723599, RV_DATA!I20:I48), 6)</f>
        <v>3.1199999999999999E-3</v>
      </c>
      <c r="E45" s="47">
        <f>ROUND(RV_DATA!K20, 6)</f>
        <v>11988.68</v>
      </c>
      <c r="F45" s="47">
        <f>ROUND(SUMIF(RV_DATA!AA20:AA48, -620723599, RV_DATA!M20:M48), 6)</f>
        <v>37.4</v>
      </c>
      <c r="Q45">
        <v>3</v>
      </c>
    </row>
    <row r="46" spans="1:17" ht="42.75" x14ac:dyDescent="0.2">
      <c r="A46" s="46" t="s">
        <v>228</v>
      </c>
      <c r="B46" s="38" t="s">
        <v>230</v>
      </c>
      <c r="C46" s="38" t="s">
        <v>231</v>
      </c>
      <c r="D46" s="39">
        <f>ROUND(SUMIF(RV_DATA!AA20:AA48, 1418553493, RV_DATA!I20:I48), 6)</f>
        <v>0.15</v>
      </c>
      <c r="E46" s="47">
        <f>ROUND(RV_DATA!K38, 6)</f>
        <v>403.69</v>
      </c>
      <c r="F46" s="47">
        <f>ROUND(SUMIF(RV_DATA!AA20:AA48, 1418553493, RV_DATA!M20:M48), 6)</f>
        <v>60.55</v>
      </c>
      <c r="Q46">
        <v>3</v>
      </c>
    </row>
    <row r="47" spans="1:17" ht="71.25" x14ac:dyDescent="0.2">
      <c r="A47" s="46" t="s">
        <v>132</v>
      </c>
      <c r="B47" s="38" t="s">
        <v>133</v>
      </c>
      <c r="C47" s="38" t="s">
        <v>116</v>
      </c>
      <c r="D47" s="39">
        <f>ROUND(SUMIF(RV_DATA!AA20:AA48, -583133546, RV_DATA!I20:I48), 6)</f>
        <v>14</v>
      </c>
      <c r="E47" s="47">
        <f>ROUND(RV_DATA!K44, 6)</f>
        <v>63.77</v>
      </c>
      <c r="F47" s="47">
        <f>ROUND(SUMIF(RV_DATA!AA20:AA48, -583133546, RV_DATA!M20:M48), 6)</f>
        <v>892.78</v>
      </c>
      <c r="Q47">
        <v>3</v>
      </c>
    </row>
    <row r="48" spans="1:17" ht="99.75" x14ac:dyDescent="0.2">
      <c r="A48" s="46" t="s">
        <v>114</v>
      </c>
      <c r="B48" s="38" t="s">
        <v>115</v>
      </c>
      <c r="C48" s="38" t="s">
        <v>116</v>
      </c>
      <c r="D48" s="39">
        <f>ROUND(SUMIF(RV_DATA!AA20:AA48, 224632697, RV_DATA!I20:I48), 6)</f>
        <v>42</v>
      </c>
      <c r="E48" s="47">
        <f>ROUND(RV_DATA!K35, 6)</f>
        <v>2194</v>
      </c>
      <c r="F48" s="47">
        <f>ROUND(SUMIF(RV_DATA!AA20:AA48, 224632697, RV_DATA!M20:M48), 6)</f>
        <v>92148</v>
      </c>
      <c r="Q48">
        <v>3</v>
      </c>
    </row>
    <row r="49" spans="1:17" ht="114" x14ac:dyDescent="0.2">
      <c r="A49" s="46" t="s">
        <v>141</v>
      </c>
      <c r="B49" s="38" t="s">
        <v>142</v>
      </c>
      <c r="C49" s="38" t="s">
        <v>143</v>
      </c>
      <c r="D49" s="39">
        <f>ROUND(SUMIF(RV_DATA!AA20:AA48, 1278610396, RV_DATA!I20:I48), 6)</f>
        <v>2.9579999999999999E-2</v>
      </c>
      <c r="E49" s="47">
        <f>ROUND(RV_DATA!K45, 6)</f>
        <v>89703.17</v>
      </c>
      <c r="F49" s="47">
        <f>ROUND(SUMIF(RV_DATA!AA20:AA48, 1278610396, RV_DATA!M20:M48), 6)</f>
        <v>2653.42</v>
      </c>
      <c r="Q49">
        <v>3</v>
      </c>
    </row>
    <row r="50" spans="1:17" ht="42.75" x14ac:dyDescent="0.2">
      <c r="A50" s="46" t="s">
        <v>232</v>
      </c>
      <c r="B50" s="38" t="s">
        <v>234</v>
      </c>
      <c r="C50" s="38" t="s">
        <v>116</v>
      </c>
      <c r="D50" s="39">
        <f>ROUND(SUMIF(RV_DATA!AA20:AA48, -397931394, RV_DATA!I20:I48), 6)</f>
        <v>0.22500000000000001</v>
      </c>
      <c r="E50" s="47">
        <f>ROUND(RV_DATA!K37, 6)</f>
        <v>335.08</v>
      </c>
      <c r="F50" s="47">
        <f>ROUND(SUMIF(RV_DATA!AA20:AA48, -397931394, RV_DATA!M20:M48), 6)</f>
        <v>75.39</v>
      </c>
      <c r="Q50">
        <v>3</v>
      </c>
    </row>
    <row r="51" spans="1:17" ht="15" x14ac:dyDescent="0.25">
      <c r="A51" s="80" t="s">
        <v>348</v>
      </c>
      <c r="B51" s="80"/>
      <c r="C51" s="80"/>
      <c r="D51" s="80"/>
      <c r="E51" s="81">
        <f>SUMIF(Q32:Q50, 3, F32:F50)</f>
        <v>130352.12</v>
      </c>
      <c r="F51" s="81"/>
    </row>
    <row r="52" spans="1:17" ht="16.5" x14ac:dyDescent="0.2">
      <c r="A52" s="73" t="str">
        <f>CONCATENATE("Раздел: ",IF(Source!G120&lt;&gt;"Новый раздел", Source!G120, ""))</f>
        <v>Раздел: Мусор</v>
      </c>
      <c r="B52" s="74"/>
      <c r="C52" s="74"/>
      <c r="D52" s="74"/>
      <c r="E52" s="74"/>
      <c r="F52" s="74"/>
    </row>
    <row r="53" spans="1:17" ht="14.25" x14ac:dyDescent="0.2">
      <c r="A53" s="71" t="s">
        <v>345</v>
      </c>
      <c r="B53" s="72"/>
      <c r="C53" s="72"/>
      <c r="D53" s="72"/>
      <c r="E53" s="72"/>
      <c r="F53" s="72"/>
    </row>
    <row r="54" spans="1:17" ht="42.75" x14ac:dyDescent="0.2">
      <c r="A54" s="46" t="s">
        <v>235</v>
      </c>
      <c r="B54" s="38" t="s">
        <v>237</v>
      </c>
      <c r="C54" s="38" t="s">
        <v>26</v>
      </c>
      <c r="D54" s="39">
        <f>ROUND(SUMIF(RV_DATA!AA50:AA54, -355280745, RV_DATA!I50:I54), 6)</f>
        <v>3.437E-3</v>
      </c>
      <c r="E54" s="47">
        <f>ROUND(RV_DATA!K50, 6)</f>
        <v>2195.02</v>
      </c>
      <c r="F54" s="47">
        <f>ROUND(SUMIF(RV_DATA!AA50:AA54, -355280745, RV_DATA!M50:M54), 6)</f>
        <v>7.54</v>
      </c>
      <c r="Q54">
        <v>2</v>
      </c>
    </row>
    <row r="55" spans="1:17" ht="28.5" x14ac:dyDescent="0.2">
      <c r="A55" s="46" t="s">
        <v>238</v>
      </c>
      <c r="B55" s="38" t="s">
        <v>240</v>
      </c>
      <c r="C55" s="38" t="s">
        <v>26</v>
      </c>
      <c r="D55" s="39">
        <f>ROUND(SUMIF(RV_DATA!AA50:AA54, 406812087, RV_DATA!I50:I54), 6)</f>
        <v>3.2000000000000001E-2</v>
      </c>
      <c r="E55" s="47">
        <f>ROUND(RV_DATA!K52, 6)</f>
        <v>1552.57</v>
      </c>
      <c r="F55" s="47">
        <f>ROUND(SUMIF(RV_DATA!AA50:AA54, 406812087, RV_DATA!M50:M54), 6)</f>
        <v>49.7</v>
      </c>
      <c r="Q55">
        <v>2</v>
      </c>
    </row>
    <row r="56" spans="1:17" ht="28.5" x14ac:dyDescent="0.2">
      <c r="A56" s="46" t="s">
        <v>241</v>
      </c>
      <c r="B56" s="38" t="s">
        <v>243</v>
      </c>
      <c r="C56" s="38" t="s">
        <v>26</v>
      </c>
      <c r="D56" s="39">
        <f>ROUND(SUMIF(RV_DATA!AA50:AA54, 1779266029, RV_DATA!I50:I54), 6)</f>
        <v>2.5728000000000001E-2</v>
      </c>
      <c r="E56" s="47">
        <f>ROUND(RV_DATA!K51, 6)</f>
        <v>1566.41</v>
      </c>
      <c r="F56" s="47">
        <f>ROUND(SUMIF(RV_DATA!AA50:AA54, 1779266029, RV_DATA!M50:M54), 6)</f>
        <v>40.29</v>
      </c>
      <c r="Q56">
        <v>2</v>
      </c>
    </row>
    <row r="57" spans="1:17" ht="15" x14ac:dyDescent="0.25">
      <c r="A57" s="80" t="s">
        <v>346</v>
      </c>
      <c r="B57" s="80"/>
      <c r="C57" s="80"/>
      <c r="D57" s="80"/>
      <c r="E57" s="81">
        <f>SUMIF(Q54:Q56, 2, F54:F56)</f>
        <v>97.53</v>
      </c>
      <c r="F57" s="81"/>
    </row>
  </sheetData>
  <sortState ref="A54:R56">
    <sortCondition ref="A54"/>
  </sortState>
  <mergeCells count="26">
    <mergeCell ref="A57:D57"/>
    <mergeCell ref="E57:F57"/>
    <mergeCell ref="A24:D24"/>
    <mergeCell ref="E24:F24"/>
    <mergeCell ref="A25:F25"/>
    <mergeCell ref="A26:F26"/>
    <mergeCell ref="A30:D30"/>
    <mergeCell ref="E30:F30"/>
    <mergeCell ref="A31:F31"/>
    <mergeCell ref="A51:D51"/>
    <mergeCell ref="E51:F51"/>
    <mergeCell ref="A52:F52"/>
    <mergeCell ref="A53:F53"/>
    <mergeCell ref="A13:F13"/>
    <mergeCell ref="A2:F2"/>
    <mergeCell ref="A3:F3"/>
    <mergeCell ref="A4:A6"/>
    <mergeCell ref="B4:B6"/>
    <mergeCell ref="C4:C6"/>
    <mergeCell ref="D4:D6"/>
    <mergeCell ref="E4:F5"/>
    <mergeCell ref="A8:F8"/>
    <mergeCell ref="A9:F9"/>
    <mergeCell ref="A10:F10"/>
    <mergeCell ref="A12:D12"/>
    <mergeCell ref="E12:F12"/>
  </mergeCells>
  <pageMargins left="0.6" right="0.4" top="0.65" bottom="0.4" header="0.4" footer="0.4"/>
  <pageSetup paperSize="9" scale="85" fitToHeight="0" orientation="portrait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26"/>
  <sheetViews>
    <sheetView workbookViewId="0">
      <selection activeCell="A222" sqref="A222:O222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222</v>
      </c>
      <c r="C12" s="1">
        <v>0</v>
      </c>
      <c r="D12" s="1">
        <f>ROW(A186)</f>
        <v>186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B186</f>
        <v>222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ГБОУ Школа №1440. Осенний б-р д. 10 корп. 3 (в ценах на 01.04.2025 г)</v>
      </c>
      <c r="H18" s="2"/>
      <c r="I18" s="2"/>
      <c r="J18" s="2"/>
      <c r="K18" s="2"/>
      <c r="L18" s="2"/>
      <c r="M18" s="2"/>
      <c r="N18" s="2"/>
      <c r="O18" s="2">
        <f t="shared" ref="O18:AT18" si="1">O186</f>
        <v>366859.1</v>
      </c>
      <c r="P18" s="2">
        <f t="shared" si="1"/>
        <v>168503.26</v>
      </c>
      <c r="Q18" s="2">
        <f t="shared" si="1"/>
        <v>1048.3699999999999</v>
      </c>
      <c r="R18" s="2">
        <f t="shared" si="1"/>
        <v>729.47</v>
      </c>
      <c r="S18" s="2">
        <f t="shared" si="1"/>
        <v>197307.47</v>
      </c>
      <c r="T18" s="2">
        <f t="shared" si="1"/>
        <v>0</v>
      </c>
      <c r="U18" s="2">
        <f t="shared" si="1"/>
        <v>443.14323000000002</v>
      </c>
      <c r="V18" s="2">
        <f t="shared" si="1"/>
        <v>0</v>
      </c>
      <c r="W18" s="2">
        <f t="shared" si="1"/>
        <v>0</v>
      </c>
      <c r="X18" s="2">
        <f t="shared" si="1"/>
        <v>138115.25</v>
      </c>
      <c r="Y18" s="2">
        <f t="shared" si="1"/>
        <v>19730.759999999998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525401.39</v>
      </c>
      <c r="AS18" s="2">
        <f t="shared" si="1"/>
        <v>0</v>
      </c>
      <c r="AT18" s="2">
        <f t="shared" si="1"/>
        <v>0</v>
      </c>
      <c r="AU18" s="2">
        <f t="shared" ref="AU18:BZ18" si="2">AU186</f>
        <v>525401.39</v>
      </c>
      <c r="AV18" s="2">
        <f t="shared" si="2"/>
        <v>168503.26</v>
      </c>
      <c r="AW18" s="2">
        <f t="shared" si="2"/>
        <v>168503.26</v>
      </c>
      <c r="AX18" s="2">
        <f t="shared" si="2"/>
        <v>0</v>
      </c>
      <c r="AY18" s="2">
        <f t="shared" si="2"/>
        <v>168503.26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CA186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DG186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EM186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FS186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ROW(A156)</f>
        <v>156</v>
      </c>
      <c r="E20" s="1"/>
      <c r="F20" s="1" t="s">
        <v>3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B156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O156</f>
        <v>366859.1</v>
      </c>
      <c r="P22" s="2">
        <f t="shared" si="8"/>
        <v>168503.26</v>
      </c>
      <c r="Q22" s="2">
        <f t="shared" si="8"/>
        <v>1048.3699999999999</v>
      </c>
      <c r="R22" s="2">
        <f t="shared" si="8"/>
        <v>729.47</v>
      </c>
      <c r="S22" s="2">
        <f t="shared" si="8"/>
        <v>197307.47</v>
      </c>
      <c r="T22" s="2">
        <f t="shared" si="8"/>
        <v>0</v>
      </c>
      <c r="U22" s="2">
        <f t="shared" si="8"/>
        <v>443.14323000000002</v>
      </c>
      <c r="V22" s="2">
        <f t="shared" si="8"/>
        <v>0</v>
      </c>
      <c r="W22" s="2">
        <f t="shared" si="8"/>
        <v>0</v>
      </c>
      <c r="X22" s="2">
        <f t="shared" si="8"/>
        <v>138115.25</v>
      </c>
      <c r="Y22" s="2">
        <f t="shared" si="8"/>
        <v>19730.759999999998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525401.39</v>
      </c>
      <c r="AS22" s="2">
        <f t="shared" si="8"/>
        <v>0</v>
      </c>
      <c r="AT22" s="2">
        <f t="shared" si="8"/>
        <v>0</v>
      </c>
      <c r="AU22" s="2">
        <f t="shared" ref="AU22:BZ22" si="9">AU156</f>
        <v>525401.39</v>
      </c>
      <c r="AV22" s="2">
        <f t="shared" si="9"/>
        <v>168503.26</v>
      </c>
      <c r="AW22" s="2">
        <f t="shared" si="9"/>
        <v>168503.26</v>
      </c>
      <c r="AX22" s="2">
        <f t="shared" si="9"/>
        <v>0</v>
      </c>
      <c r="AY22" s="2">
        <f t="shared" si="9"/>
        <v>168503.26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CA156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DG156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EM156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FS156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ROW(A35)</f>
        <v>35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Спортивный зал большой</v>
      </c>
      <c r="H26" s="2"/>
      <c r="I26" s="2"/>
      <c r="J26" s="2"/>
      <c r="K26" s="2"/>
      <c r="L26" s="2"/>
      <c r="M26" s="2"/>
      <c r="N26" s="2"/>
      <c r="O26" s="2">
        <f t="shared" ref="O26:AT26" si="15">O35</f>
        <v>127968.33</v>
      </c>
      <c r="P26" s="2">
        <f t="shared" si="15"/>
        <v>38151.11</v>
      </c>
      <c r="Q26" s="2">
        <f t="shared" si="15"/>
        <v>314.14</v>
      </c>
      <c r="R26" s="2">
        <f t="shared" si="15"/>
        <v>225.17</v>
      </c>
      <c r="S26" s="2">
        <f t="shared" si="15"/>
        <v>89503.08</v>
      </c>
      <c r="T26" s="2">
        <f t="shared" si="15"/>
        <v>0</v>
      </c>
      <c r="U26" s="2">
        <f t="shared" si="15"/>
        <v>199.53513000000001</v>
      </c>
      <c r="V26" s="2">
        <f t="shared" si="15"/>
        <v>0</v>
      </c>
      <c r="W26" s="2">
        <f t="shared" si="15"/>
        <v>0</v>
      </c>
      <c r="X26" s="2">
        <f t="shared" si="15"/>
        <v>62652.15</v>
      </c>
      <c r="Y26" s="2">
        <f t="shared" si="15"/>
        <v>8950.31</v>
      </c>
      <c r="Z26" s="2">
        <f t="shared" si="15"/>
        <v>0</v>
      </c>
      <c r="AA26" s="2">
        <f t="shared" si="15"/>
        <v>0</v>
      </c>
      <c r="AB26" s="2">
        <f t="shared" si="15"/>
        <v>127968.33</v>
      </c>
      <c r="AC26" s="2">
        <f t="shared" si="15"/>
        <v>38151.11</v>
      </c>
      <c r="AD26" s="2">
        <f t="shared" si="15"/>
        <v>314.14</v>
      </c>
      <c r="AE26" s="2">
        <f t="shared" si="15"/>
        <v>225.17</v>
      </c>
      <c r="AF26" s="2">
        <f t="shared" si="15"/>
        <v>89503.08</v>
      </c>
      <c r="AG26" s="2">
        <f t="shared" si="15"/>
        <v>0</v>
      </c>
      <c r="AH26" s="2">
        <f t="shared" si="15"/>
        <v>199.53513000000001</v>
      </c>
      <c r="AI26" s="2">
        <f t="shared" si="15"/>
        <v>0</v>
      </c>
      <c r="AJ26" s="2">
        <f t="shared" si="15"/>
        <v>0</v>
      </c>
      <c r="AK26" s="2">
        <f t="shared" si="15"/>
        <v>62652.15</v>
      </c>
      <c r="AL26" s="2">
        <f t="shared" si="15"/>
        <v>8950.31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199813.97</v>
      </c>
      <c r="AS26" s="2">
        <f t="shared" si="15"/>
        <v>0</v>
      </c>
      <c r="AT26" s="2">
        <f t="shared" si="15"/>
        <v>0</v>
      </c>
      <c r="AU26" s="2">
        <f t="shared" ref="AU26:BZ26" si="16">AU35</f>
        <v>199813.97</v>
      </c>
      <c r="AV26" s="2">
        <f t="shared" si="16"/>
        <v>38151.11</v>
      </c>
      <c r="AW26" s="2">
        <f t="shared" si="16"/>
        <v>38151.11</v>
      </c>
      <c r="AX26" s="2">
        <f t="shared" si="16"/>
        <v>0</v>
      </c>
      <c r="AY26" s="2">
        <f t="shared" si="16"/>
        <v>38151.11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CA35</f>
        <v>199813.97</v>
      </c>
      <c r="CB26" s="2">
        <f t="shared" si="17"/>
        <v>0</v>
      </c>
      <c r="CC26" s="2">
        <f t="shared" si="17"/>
        <v>0</v>
      </c>
      <c r="CD26" s="2">
        <f t="shared" si="17"/>
        <v>199813.97</v>
      </c>
      <c r="CE26" s="2">
        <f t="shared" si="17"/>
        <v>38151.11</v>
      </c>
      <c r="CF26" s="2">
        <f t="shared" si="17"/>
        <v>38151.11</v>
      </c>
      <c r="CG26" s="2">
        <f t="shared" si="17"/>
        <v>0</v>
      </c>
      <c r="CH26" s="2">
        <f t="shared" si="17"/>
        <v>38151.11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ROW(SmtRes!A2)</f>
        <v>2</v>
      </c>
      <c r="D28">
        <f>ROW(EtalonRes!A2)</f>
        <v>2</v>
      </c>
      <c r="E28" t="s">
        <v>15</v>
      </c>
      <c r="F28" t="s">
        <v>16</v>
      </c>
      <c r="G28" t="s">
        <v>17</v>
      </c>
      <c r="H28" t="s">
        <v>18</v>
      </c>
      <c r="I28">
        <f>ROUND((283*0.3)/100,9)</f>
        <v>0.84899999999999998</v>
      </c>
      <c r="J28">
        <v>0</v>
      </c>
      <c r="K28">
        <f>ROUND((283*0.3)/100,9)</f>
        <v>0.84899999999999998</v>
      </c>
      <c r="O28">
        <f t="shared" ref="O28:O33" si="21">ROUND(CP28,2)</f>
        <v>33007.29</v>
      </c>
      <c r="P28">
        <f t="shared" ref="P28:P33" si="22">ROUND(CQ28*I28,2)</f>
        <v>81.430000000000007</v>
      </c>
      <c r="Q28">
        <f t="shared" ref="Q28:Q33" si="23">ROUND(CR28*I28,2)</f>
        <v>0</v>
      </c>
      <c r="R28">
        <f t="shared" ref="R28:R33" si="24">ROUND(CS28*I28,2)</f>
        <v>0</v>
      </c>
      <c r="S28">
        <f t="shared" ref="S28:S33" si="25">ROUND(CT28*I28,2)</f>
        <v>32925.86</v>
      </c>
      <c r="T28">
        <f t="shared" ref="T28:T33" si="26">ROUND(CU28*I28,2)</f>
        <v>0</v>
      </c>
      <c r="U28">
        <f t="shared" ref="U28:U33" si="27">CV28*I28</f>
        <v>74.007329999999996</v>
      </c>
      <c r="V28">
        <f t="shared" ref="V28:V33" si="28">CW28*I28</f>
        <v>0</v>
      </c>
      <c r="W28">
        <f t="shared" ref="W28:W33" si="29">ROUND(CX28*I28,2)</f>
        <v>0</v>
      </c>
      <c r="X28">
        <f t="shared" ref="X28:Y33" si="30">ROUND(CY28,2)</f>
        <v>23048.1</v>
      </c>
      <c r="Y28">
        <f t="shared" si="30"/>
        <v>3292.59</v>
      </c>
      <c r="AA28">
        <v>75705739</v>
      </c>
      <c r="AB28">
        <f t="shared" ref="AB28:AB33" si="31">ROUND((AC28+AD28+AF28),6)</f>
        <v>38877.839999999997</v>
      </c>
      <c r="AC28">
        <f t="shared" ref="AC28:AC33" si="32">ROUND((ES28),6)</f>
        <v>95.91</v>
      </c>
      <c r="AD28">
        <f t="shared" ref="AD28:AD33" si="33">ROUND((((ET28)-(EU28))+AE28),6)</f>
        <v>0</v>
      </c>
      <c r="AE28">
        <f t="shared" ref="AE28:AF33" si="34">ROUND((EU28),6)</f>
        <v>0</v>
      </c>
      <c r="AF28">
        <f t="shared" si="34"/>
        <v>38781.93</v>
      </c>
      <c r="AG28">
        <f t="shared" ref="AG28:AG33" si="35">ROUND((AP28),6)</f>
        <v>0</v>
      </c>
      <c r="AH28">
        <f t="shared" ref="AH28:AI33" si="36">(EW28)</f>
        <v>87.17</v>
      </c>
      <c r="AI28">
        <f t="shared" si="36"/>
        <v>0</v>
      </c>
      <c r="AJ28">
        <f t="shared" ref="AJ28:AJ33" si="37">(AS28)</f>
        <v>0</v>
      </c>
      <c r="AK28">
        <v>38877.839999999997</v>
      </c>
      <c r="AL28">
        <v>95.91</v>
      </c>
      <c r="AM28">
        <v>0</v>
      </c>
      <c r="AN28">
        <v>0</v>
      </c>
      <c r="AO28">
        <v>38781.93</v>
      </c>
      <c r="AP28">
        <v>0</v>
      </c>
      <c r="AQ28">
        <v>87.17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19</v>
      </c>
      <c r="BM28">
        <v>0</v>
      </c>
      <c r="BN28">
        <v>75371441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33" si="38">(P28+Q28+S28)</f>
        <v>33007.29</v>
      </c>
      <c r="CQ28">
        <f t="shared" ref="CQ28:CQ33" si="39">(AC28*BC28*AW28)</f>
        <v>95.91</v>
      </c>
      <c r="CR28">
        <f t="shared" ref="CR28:CR33" si="40">((((ET28)*BB28-(EU28)*BS28)+AE28*BS28)*AV28)</f>
        <v>0</v>
      </c>
      <c r="CS28">
        <f t="shared" ref="CS28:CS33" si="41">(AE28*BS28*AV28)</f>
        <v>0</v>
      </c>
      <c r="CT28">
        <f t="shared" ref="CT28:CT33" si="42">(AF28*BA28*AV28)</f>
        <v>38781.93</v>
      </c>
      <c r="CU28">
        <f t="shared" ref="CU28:CU33" si="43">AG28</f>
        <v>0</v>
      </c>
      <c r="CV28">
        <f t="shared" ref="CV28:CV33" si="44">(AH28*AV28)</f>
        <v>87.17</v>
      </c>
      <c r="CW28">
        <f t="shared" ref="CW28:CX33" si="45">AI28</f>
        <v>0</v>
      </c>
      <c r="CX28">
        <f t="shared" si="45"/>
        <v>0</v>
      </c>
      <c r="CY28">
        <f t="shared" ref="CY28:CY33" si="46">((S28*BZ28)/100)</f>
        <v>23048.102000000003</v>
      </c>
      <c r="CZ28">
        <f t="shared" ref="CZ28:CZ33" si="47">((S28*CA28)/100)</f>
        <v>3292.5859999999998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1005</v>
      </c>
      <c r="DV28" t="s">
        <v>18</v>
      </c>
      <c r="DW28" t="s">
        <v>18</v>
      </c>
      <c r="DX28">
        <v>100</v>
      </c>
      <c r="DZ28" t="s">
        <v>3</v>
      </c>
      <c r="EA28" t="s">
        <v>3</v>
      </c>
      <c r="EB28" t="s">
        <v>3</v>
      </c>
      <c r="EC28" t="s">
        <v>3</v>
      </c>
      <c r="EE28">
        <v>75371444</v>
      </c>
      <c r="EF28">
        <v>1</v>
      </c>
      <c r="EG28" t="s">
        <v>20</v>
      </c>
      <c r="EH28">
        <v>0</v>
      </c>
      <c r="EI28" t="s">
        <v>3</v>
      </c>
      <c r="EJ28">
        <v>4</v>
      </c>
      <c r="EK28">
        <v>0</v>
      </c>
      <c r="EL28" t="s">
        <v>21</v>
      </c>
      <c r="EM28" t="s">
        <v>22</v>
      </c>
      <c r="EO28" t="s">
        <v>3</v>
      </c>
      <c r="EQ28">
        <v>0</v>
      </c>
      <c r="ER28">
        <v>38877.839999999997</v>
      </c>
      <c r="ES28">
        <v>95.91</v>
      </c>
      <c r="ET28">
        <v>0</v>
      </c>
      <c r="EU28">
        <v>0</v>
      </c>
      <c r="EV28">
        <v>38781.93</v>
      </c>
      <c r="EW28">
        <v>87.17</v>
      </c>
      <c r="EX28">
        <v>0</v>
      </c>
      <c r="EY28">
        <v>0</v>
      </c>
      <c r="FQ28">
        <v>0</v>
      </c>
      <c r="FR28">
        <f t="shared" ref="FR28:FR33" si="48"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-928982691</v>
      </c>
      <c r="GG28">
        <v>2</v>
      </c>
      <c r="GH28">
        <v>1</v>
      </c>
      <c r="GI28">
        <v>-2</v>
      </c>
      <c r="GJ28">
        <v>0</v>
      </c>
      <c r="GK28">
        <f>ROUND(R28*(R12)/100,2)</f>
        <v>0</v>
      </c>
      <c r="GL28">
        <f t="shared" ref="GL28:GL33" si="49">ROUND(IF(AND(BH28=3,BI28=3,FS28&lt;&gt;0),P28,0),2)</f>
        <v>0</v>
      </c>
      <c r="GM28">
        <f t="shared" ref="GM28:GM33" si="50">ROUND(O28+X28+Y28+GK28,2)+GX28</f>
        <v>59347.98</v>
      </c>
      <c r="GN28">
        <f t="shared" ref="GN28:GN33" si="51">IF(OR(BI28=0,BI28=1),GM28-GX28,0)</f>
        <v>0</v>
      </c>
      <c r="GO28">
        <f t="shared" ref="GO28:GO33" si="52">IF(BI28=2,GM28-GX28,0)</f>
        <v>0</v>
      </c>
      <c r="GP28">
        <f t="shared" ref="GP28:GP33" si="53">IF(BI28=4,GM28-GX28,0)</f>
        <v>59347.98</v>
      </c>
      <c r="GR28">
        <v>0</v>
      </c>
      <c r="GS28">
        <v>0</v>
      </c>
      <c r="GT28">
        <v>0</v>
      </c>
      <c r="GU28" t="s">
        <v>3</v>
      </c>
      <c r="GV28">
        <f t="shared" ref="GV28:GV33" si="54">ROUND((GT28),6)</f>
        <v>0</v>
      </c>
      <c r="GW28">
        <v>1</v>
      </c>
      <c r="GX28">
        <f t="shared" ref="GX28:GX33" si="55">ROUND(HC28*I28,2)</f>
        <v>0</v>
      </c>
      <c r="HA28">
        <v>0</v>
      </c>
      <c r="HB28">
        <v>0</v>
      </c>
      <c r="HC28">
        <f t="shared" ref="HC28:HC33" si="56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E29" t="s">
        <v>23</v>
      </c>
      <c r="F29" t="s">
        <v>24</v>
      </c>
      <c r="G29" t="s">
        <v>25</v>
      </c>
      <c r="H29" t="s">
        <v>26</v>
      </c>
      <c r="I29">
        <v>54.92</v>
      </c>
      <c r="J29">
        <v>0</v>
      </c>
      <c r="K29">
        <v>54.92</v>
      </c>
      <c r="O29">
        <f t="shared" si="21"/>
        <v>314.14</v>
      </c>
      <c r="P29">
        <f t="shared" si="22"/>
        <v>0</v>
      </c>
      <c r="Q29">
        <f t="shared" si="23"/>
        <v>314.14</v>
      </c>
      <c r="R29">
        <f t="shared" si="24"/>
        <v>225.17</v>
      </c>
      <c r="S29">
        <f t="shared" si="25"/>
        <v>0</v>
      </c>
      <c r="T29">
        <f t="shared" si="26"/>
        <v>0</v>
      </c>
      <c r="U29">
        <f t="shared" si="27"/>
        <v>0</v>
      </c>
      <c r="V29">
        <f t="shared" si="28"/>
        <v>0</v>
      </c>
      <c r="W29">
        <f t="shared" si="29"/>
        <v>0</v>
      </c>
      <c r="X29">
        <f t="shared" si="30"/>
        <v>0</v>
      </c>
      <c r="Y29">
        <f t="shared" si="30"/>
        <v>0</v>
      </c>
      <c r="AA29">
        <v>75705739</v>
      </c>
      <c r="AB29">
        <f t="shared" si="31"/>
        <v>5.72</v>
      </c>
      <c r="AC29">
        <f t="shared" si="32"/>
        <v>0</v>
      </c>
      <c r="AD29">
        <f t="shared" si="33"/>
        <v>5.72</v>
      </c>
      <c r="AE29">
        <f t="shared" si="34"/>
        <v>4.0999999999999996</v>
      </c>
      <c r="AF29">
        <f t="shared" si="34"/>
        <v>0</v>
      </c>
      <c r="AG29">
        <f t="shared" si="35"/>
        <v>0</v>
      </c>
      <c r="AH29">
        <f t="shared" si="36"/>
        <v>0</v>
      </c>
      <c r="AI29">
        <f t="shared" si="36"/>
        <v>0</v>
      </c>
      <c r="AJ29">
        <f t="shared" si="37"/>
        <v>0</v>
      </c>
      <c r="AK29">
        <v>5.72</v>
      </c>
      <c r="AL29">
        <v>0</v>
      </c>
      <c r="AM29">
        <v>5.72</v>
      </c>
      <c r="AN29">
        <v>4.0999999999999996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2</v>
      </c>
      <c r="BI29">
        <v>4</v>
      </c>
      <c r="BJ29" t="s">
        <v>27</v>
      </c>
      <c r="BM29">
        <v>0</v>
      </c>
      <c r="BN29">
        <v>75371441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8"/>
        <v>314.14</v>
      </c>
      <c r="CQ29">
        <f t="shared" si="39"/>
        <v>0</v>
      </c>
      <c r="CR29">
        <f t="shared" si="40"/>
        <v>5.72</v>
      </c>
      <c r="CS29">
        <f t="shared" si="41"/>
        <v>4.0999999999999996</v>
      </c>
      <c r="CT29">
        <f t="shared" si="42"/>
        <v>0</v>
      </c>
      <c r="CU29">
        <f t="shared" si="43"/>
        <v>0</v>
      </c>
      <c r="CV29">
        <f t="shared" si="44"/>
        <v>0</v>
      </c>
      <c r="CW29">
        <f t="shared" si="45"/>
        <v>0</v>
      </c>
      <c r="CX29">
        <f t="shared" si="45"/>
        <v>0</v>
      </c>
      <c r="CY29">
        <f t="shared" si="46"/>
        <v>0</v>
      </c>
      <c r="CZ29">
        <f t="shared" si="47"/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1011</v>
      </c>
      <c r="DV29" t="s">
        <v>26</v>
      </c>
      <c r="DW29" t="s">
        <v>26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75371444</v>
      </c>
      <c r="EF29">
        <v>1</v>
      </c>
      <c r="EG29" t="s">
        <v>20</v>
      </c>
      <c r="EH29">
        <v>0</v>
      </c>
      <c r="EI29" t="s">
        <v>3</v>
      </c>
      <c r="EJ29">
        <v>4</v>
      </c>
      <c r="EK29">
        <v>0</v>
      </c>
      <c r="EL29" t="s">
        <v>21</v>
      </c>
      <c r="EM29" t="s">
        <v>22</v>
      </c>
      <c r="EO29" t="s">
        <v>3</v>
      </c>
      <c r="EQ29">
        <v>0</v>
      </c>
      <c r="ER29">
        <v>5.72</v>
      </c>
      <c r="ES29">
        <v>0</v>
      </c>
      <c r="ET29">
        <v>5.72</v>
      </c>
      <c r="EU29">
        <v>4.0999999999999996</v>
      </c>
      <c r="EV29">
        <v>0</v>
      </c>
      <c r="EW29">
        <v>0</v>
      </c>
      <c r="EX29">
        <v>0</v>
      </c>
      <c r="EY29">
        <v>0</v>
      </c>
      <c r="FQ29">
        <v>0</v>
      </c>
      <c r="FR29">
        <f t="shared" si="48"/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1735689810</v>
      </c>
      <c r="GG29">
        <v>2</v>
      </c>
      <c r="GH29">
        <v>1</v>
      </c>
      <c r="GI29">
        <v>-2</v>
      </c>
      <c r="GJ29">
        <v>0</v>
      </c>
      <c r="GK29">
        <f>ROUND(R29*(R12)/100,2)</f>
        <v>243.18</v>
      </c>
      <c r="GL29">
        <f t="shared" si="49"/>
        <v>0</v>
      </c>
      <c r="GM29">
        <f t="shared" si="50"/>
        <v>557.32000000000005</v>
      </c>
      <c r="GN29">
        <f t="shared" si="51"/>
        <v>0</v>
      </c>
      <c r="GO29">
        <f t="shared" si="52"/>
        <v>0</v>
      </c>
      <c r="GP29">
        <f t="shared" si="53"/>
        <v>557.32000000000005</v>
      </c>
      <c r="GR29">
        <v>0</v>
      </c>
      <c r="GS29">
        <v>0</v>
      </c>
      <c r="GT29">
        <v>0</v>
      </c>
      <c r="GU29" t="s">
        <v>3</v>
      </c>
      <c r="GV29">
        <f t="shared" si="54"/>
        <v>0</v>
      </c>
      <c r="GW29">
        <v>1</v>
      </c>
      <c r="GX29">
        <f t="shared" si="55"/>
        <v>0</v>
      </c>
      <c r="HA29">
        <v>0</v>
      </c>
      <c r="HB29">
        <v>0</v>
      </c>
      <c r="HC29">
        <f t="shared" si="56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C30">
        <f>ROW(SmtRes!A10)</f>
        <v>10</v>
      </c>
      <c r="D30">
        <f>ROW(EtalonRes!A9)</f>
        <v>9</v>
      </c>
      <c r="E30" t="s">
        <v>28</v>
      </c>
      <c r="F30" t="s">
        <v>29</v>
      </c>
      <c r="G30" t="s">
        <v>30</v>
      </c>
      <c r="H30" t="s">
        <v>18</v>
      </c>
      <c r="I30">
        <f>ROUND(448/100,9)</f>
        <v>4.4800000000000004</v>
      </c>
      <c r="J30">
        <v>0</v>
      </c>
      <c r="K30">
        <f>ROUND(448/100,9)</f>
        <v>4.4800000000000004</v>
      </c>
      <c r="O30">
        <f t="shared" si="21"/>
        <v>82990.740000000005</v>
      </c>
      <c r="P30">
        <f t="shared" si="22"/>
        <v>32516.42</v>
      </c>
      <c r="Q30">
        <f t="shared" si="23"/>
        <v>0</v>
      </c>
      <c r="R30">
        <f t="shared" si="24"/>
        <v>0</v>
      </c>
      <c r="S30">
        <f t="shared" si="25"/>
        <v>50474.32</v>
      </c>
      <c r="T30">
        <f t="shared" si="26"/>
        <v>0</v>
      </c>
      <c r="U30">
        <f t="shared" si="27"/>
        <v>109.84960000000001</v>
      </c>
      <c r="V30">
        <f t="shared" si="28"/>
        <v>0</v>
      </c>
      <c r="W30">
        <f t="shared" si="29"/>
        <v>0</v>
      </c>
      <c r="X30">
        <f t="shared" si="30"/>
        <v>35332.019999999997</v>
      </c>
      <c r="Y30">
        <f t="shared" si="30"/>
        <v>5047.43</v>
      </c>
      <c r="AA30">
        <v>75705739</v>
      </c>
      <c r="AB30">
        <f t="shared" si="31"/>
        <v>18524.72</v>
      </c>
      <c r="AC30">
        <f t="shared" si="32"/>
        <v>7258.13</v>
      </c>
      <c r="AD30">
        <f t="shared" si="33"/>
        <v>0</v>
      </c>
      <c r="AE30">
        <f t="shared" si="34"/>
        <v>0</v>
      </c>
      <c r="AF30">
        <f t="shared" si="34"/>
        <v>11266.59</v>
      </c>
      <c r="AG30">
        <f t="shared" si="35"/>
        <v>0</v>
      </c>
      <c r="AH30">
        <f t="shared" si="36"/>
        <v>24.52</v>
      </c>
      <c r="AI30">
        <f t="shared" si="36"/>
        <v>0</v>
      </c>
      <c r="AJ30">
        <f t="shared" si="37"/>
        <v>0</v>
      </c>
      <c r="AK30">
        <v>18524.72</v>
      </c>
      <c r="AL30">
        <v>7258.13</v>
      </c>
      <c r="AM30">
        <v>0</v>
      </c>
      <c r="AN30">
        <v>0</v>
      </c>
      <c r="AO30">
        <v>11266.59</v>
      </c>
      <c r="AP30">
        <v>0</v>
      </c>
      <c r="AQ30">
        <v>24.52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31</v>
      </c>
      <c r="BM30">
        <v>0</v>
      </c>
      <c r="BN30">
        <v>75371441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8"/>
        <v>82990.739999999991</v>
      </c>
      <c r="CQ30">
        <f t="shared" si="39"/>
        <v>7258.13</v>
      </c>
      <c r="CR30">
        <f t="shared" si="40"/>
        <v>0</v>
      </c>
      <c r="CS30">
        <f t="shared" si="41"/>
        <v>0</v>
      </c>
      <c r="CT30">
        <f t="shared" si="42"/>
        <v>11266.59</v>
      </c>
      <c r="CU30">
        <f t="shared" si="43"/>
        <v>0</v>
      </c>
      <c r="CV30">
        <f t="shared" si="44"/>
        <v>24.52</v>
      </c>
      <c r="CW30">
        <f t="shared" si="45"/>
        <v>0</v>
      </c>
      <c r="CX30">
        <f t="shared" si="45"/>
        <v>0</v>
      </c>
      <c r="CY30">
        <f t="shared" si="46"/>
        <v>35332.023999999998</v>
      </c>
      <c r="CZ30">
        <f t="shared" si="47"/>
        <v>5047.4319999999998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1005</v>
      </c>
      <c r="DV30" t="s">
        <v>18</v>
      </c>
      <c r="DW30" t="s">
        <v>18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75371444</v>
      </c>
      <c r="EF30">
        <v>1</v>
      </c>
      <c r="EG30" t="s">
        <v>20</v>
      </c>
      <c r="EH30">
        <v>0</v>
      </c>
      <c r="EI30" t="s">
        <v>3</v>
      </c>
      <c r="EJ30">
        <v>4</v>
      </c>
      <c r="EK30">
        <v>0</v>
      </c>
      <c r="EL30" t="s">
        <v>21</v>
      </c>
      <c r="EM30" t="s">
        <v>22</v>
      </c>
      <c r="EO30" t="s">
        <v>3</v>
      </c>
      <c r="EQ30">
        <v>0</v>
      </c>
      <c r="ER30">
        <v>18524.72</v>
      </c>
      <c r="ES30">
        <v>7258.13</v>
      </c>
      <c r="ET30">
        <v>0</v>
      </c>
      <c r="EU30">
        <v>0</v>
      </c>
      <c r="EV30">
        <v>11266.59</v>
      </c>
      <c r="EW30">
        <v>24.52</v>
      </c>
      <c r="EX30">
        <v>0</v>
      </c>
      <c r="EY30">
        <v>0</v>
      </c>
      <c r="FQ30">
        <v>0</v>
      </c>
      <c r="FR30">
        <f t="shared" si="48"/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-2010515144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 t="shared" si="49"/>
        <v>0</v>
      </c>
      <c r="GM30">
        <f t="shared" si="50"/>
        <v>123370.19</v>
      </c>
      <c r="GN30">
        <f t="shared" si="51"/>
        <v>0</v>
      </c>
      <c r="GO30">
        <f t="shared" si="52"/>
        <v>0</v>
      </c>
      <c r="GP30">
        <f t="shared" si="53"/>
        <v>123370.19</v>
      </c>
      <c r="GR30">
        <v>0</v>
      </c>
      <c r="GS30">
        <v>0</v>
      </c>
      <c r="GT30">
        <v>0</v>
      </c>
      <c r="GU30" t="s">
        <v>3</v>
      </c>
      <c r="GV30">
        <f t="shared" si="54"/>
        <v>0</v>
      </c>
      <c r="GW30">
        <v>1</v>
      </c>
      <c r="GX30">
        <f t="shared" si="55"/>
        <v>0</v>
      </c>
      <c r="HA30">
        <v>0</v>
      </c>
      <c r="HB30">
        <v>0</v>
      </c>
      <c r="HC30">
        <f t="shared" si="56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18</v>
      </c>
      <c r="B31">
        <v>1</v>
      </c>
      <c r="C31">
        <v>8</v>
      </c>
      <c r="E31" t="s">
        <v>32</v>
      </c>
      <c r="F31" t="s">
        <v>33</v>
      </c>
      <c r="G31" t="s">
        <v>34</v>
      </c>
      <c r="H31" t="s">
        <v>35</v>
      </c>
      <c r="I31">
        <f>I30*J31</f>
        <v>7.6160000000000004E-3</v>
      </c>
      <c r="J31">
        <v>1.6999999999999999E-3</v>
      </c>
      <c r="K31">
        <v>1.6999999999999999E-3</v>
      </c>
      <c r="O31">
        <f t="shared" si="21"/>
        <v>1515.53</v>
      </c>
      <c r="P31">
        <f t="shared" si="22"/>
        <v>1515.53</v>
      </c>
      <c r="Q31">
        <f t="shared" si="23"/>
        <v>0</v>
      </c>
      <c r="R31">
        <f t="shared" si="24"/>
        <v>0</v>
      </c>
      <c r="S31">
        <f t="shared" si="25"/>
        <v>0</v>
      </c>
      <c r="T31">
        <f t="shared" si="26"/>
        <v>0</v>
      </c>
      <c r="U31">
        <f t="shared" si="27"/>
        <v>0</v>
      </c>
      <c r="V31">
        <f t="shared" si="28"/>
        <v>0</v>
      </c>
      <c r="W31">
        <f t="shared" si="29"/>
        <v>0</v>
      </c>
      <c r="X31">
        <f t="shared" si="30"/>
        <v>0</v>
      </c>
      <c r="Y31">
        <f t="shared" si="30"/>
        <v>0</v>
      </c>
      <c r="AA31">
        <v>75705739</v>
      </c>
      <c r="AB31">
        <f t="shared" si="31"/>
        <v>198992.34</v>
      </c>
      <c r="AC31">
        <f t="shared" si="32"/>
        <v>198992.34</v>
      </c>
      <c r="AD31">
        <f t="shared" si="33"/>
        <v>0</v>
      </c>
      <c r="AE31">
        <f t="shared" si="34"/>
        <v>0</v>
      </c>
      <c r="AF31">
        <f t="shared" si="34"/>
        <v>0</v>
      </c>
      <c r="AG31">
        <f t="shared" si="35"/>
        <v>0</v>
      </c>
      <c r="AH31">
        <f t="shared" si="36"/>
        <v>0</v>
      </c>
      <c r="AI31">
        <f t="shared" si="36"/>
        <v>0</v>
      </c>
      <c r="AJ31">
        <f t="shared" si="37"/>
        <v>0</v>
      </c>
      <c r="AK31">
        <v>198992.34</v>
      </c>
      <c r="AL31">
        <v>198992.34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4</v>
      </c>
      <c r="BJ31" t="s">
        <v>36</v>
      </c>
      <c r="BM31">
        <v>0</v>
      </c>
      <c r="BN31">
        <v>75371441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8"/>
        <v>1515.53</v>
      </c>
      <c r="CQ31">
        <f t="shared" si="39"/>
        <v>198992.34</v>
      </c>
      <c r="CR31">
        <f t="shared" si="40"/>
        <v>0</v>
      </c>
      <c r="CS31">
        <f t="shared" si="41"/>
        <v>0</v>
      </c>
      <c r="CT31">
        <f t="shared" si="42"/>
        <v>0</v>
      </c>
      <c r="CU31">
        <f t="shared" si="43"/>
        <v>0</v>
      </c>
      <c r="CV31">
        <f t="shared" si="44"/>
        <v>0</v>
      </c>
      <c r="CW31">
        <f t="shared" si="45"/>
        <v>0</v>
      </c>
      <c r="CX31">
        <f t="shared" si="45"/>
        <v>0</v>
      </c>
      <c r="CY31">
        <f t="shared" si="46"/>
        <v>0</v>
      </c>
      <c r="CZ31">
        <f t="shared" si="47"/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1009</v>
      </c>
      <c r="DV31" t="s">
        <v>35</v>
      </c>
      <c r="DW31" t="s">
        <v>35</v>
      </c>
      <c r="DX31">
        <v>1000</v>
      </c>
      <c r="DZ31" t="s">
        <v>3</v>
      </c>
      <c r="EA31" t="s">
        <v>3</v>
      </c>
      <c r="EB31" t="s">
        <v>3</v>
      </c>
      <c r="EC31" t="s">
        <v>3</v>
      </c>
      <c r="EE31">
        <v>75371444</v>
      </c>
      <c r="EF31">
        <v>1</v>
      </c>
      <c r="EG31" t="s">
        <v>20</v>
      </c>
      <c r="EH31">
        <v>0</v>
      </c>
      <c r="EI31" t="s">
        <v>3</v>
      </c>
      <c r="EJ31">
        <v>4</v>
      </c>
      <c r="EK31">
        <v>0</v>
      </c>
      <c r="EL31" t="s">
        <v>21</v>
      </c>
      <c r="EM31" t="s">
        <v>22</v>
      </c>
      <c r="EO31" t="s">
        <v>3</v>
      </c>
      <c r="EQ31">
        <v>0</v>
      </c>
      <c r="ER31">
        <v>198992.34</v>
      </c>
      <c r="ES31">
        <v>198992.34</v>
      </c>
      <c r="ET31">
        <v>0</v>
      </c>
      <c r="EU31">
        <v>0</v>
      </c>
      <c r="EV31">
        <v>0</v>
      </c>
      <c r="EW31">
        <v>0</v>
      </c>
      <c r="EX31">
        <v>0</v>
      </c>
      <c r="FQ31">
        <v>0</v>
      </c>
      <c r="FR31">
        <f t="shared" si="48"/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-27926426</v>
      </c>
      <c r="GG31">
        <v>2</v>
      </c>
      <c r="GH31">
        <v>1</v>
      </c>
      <c r="GI31">
        <v>-2</v>
      </c>
      <c r="GJ31">
        <v>0</v>
      </c>
      <c r="GK31">
        <f>ROUND(R31*(R12)/100,2)</f>
        <v>0</v>
      </c>
      <c r="GL31">
        <f t="shared" si="49"/>
        <v>0</v>
      </c>
      <c r="GM31">
        <f t="shared" si="50"/>
        <v>1515.53</v>
      </c>
      <c r="GN31">
        <f t="shared" si="51"/>
        <v>0</v>
      </c>
      <c r="GO31">
        <f t="shared" si="52"/>
        <v>0</v>
      </c>
      <c r="GP31">
        <f t="shared" si="53"/>
        <v>1515.53</v>
      </c>
      <c r="GR31">
        <v>0</v>
      </c>
      <c r="GS31">
        <v>0</v>
      </c>
      <c r="GT31">
        <v>0</v>
      </c>
      <c r="GU31" t="s">
        <v>3</v>
      </c>
      <c r="GV31">
        <f t="shared" si="54"/>
        <v>0</v>
      </c>
      <c r="GW31">
        <v>1</v>
      </c>
      <c r="GX31">
        <f t="shared" si="55"/>
        <v>0</v>
      </c>
      <c r="HA31">
        <v>0</v>
      </c>
      <c r="HB31">
        <v>0</v>
      </c>
      <c r="HC31">
        <f t="shared" si="56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1</v>
      </c>
      <c r="C32">
        <f>ROW(SmtRes!A13)</f>
        <v>13</v>
      </c>
      <c r="D32">
        <f>ROW(EtalonRes!A12)</f>
        <v>12</v>
      </c>
      <c r="E32" t="s">
        <v>37</v>
      </c>
      <c r="F32" t="s">
        <v>38</v>
      </c>
      <c r="G32" t="s">
        <v>39</v>
      </c>
      <c r="H32" t="s">
        <v>18</v>
      </c>
      <c r="I32">
        <f>ROUND(283/100,9)</f>
        <v>2.83</v>
      </c>
      <c r="J32">
        <v>0</v>
      </c>
      <c r="K32">
        <f>ROUND(283/100,9)</f>
        <v>2.83</v>
      </c>
      <c r="O32">
        <f t="shared" si="21"/>
        <v>7353.56</v>
      </c>
      <c r="P32">
        <f t="shared" si="22"/>
        <v>4037.73</v>
      </c>
      <c r="Q32">
        <f t="shared" si="23"/>
        <v>0</v>
      </c>
      <c r="R32">
        <f t="shared" si="24"/>
        <v>0</v>
      </c>
      <c r="S32">
        <f t="shared" si="25"/>
        <v>3315.83</v>
      </c>
      <c r="T32">
        <f t="shared" si="26"/>
        <v>0</v>
      </c>
      <c r="U32">
        <f t="shared" si="27"/>
        <v>8.5183</v>
      </c>
      <c r="V32">
        <f t="shared" si="28"/>
        <v>0</v>
      </c>
      <c r="W32">
        <f t="shared" si="29"/>
        <v>0</v>
      </c>
      <c r="X32">
        <f t="shared" si="30"/>
        <v>2321.08</v>
      </c>
      <c r="Y32">
        <f t="shared" si="30"/>
        <v>331.58</v>
      </c>
      <c r="AA32">
        <v>75705739</v>
      </c>
      <c r="AB32">
        <f t="shared" si="31"/>
        <v>2598.4299999999998</v>
      </c>
      <c r="AC32">
        <f t="shared" si="32"/>
        <v>1426.76</v>
      </c>
      <c r="AD32">
        <f t="shared" si="33"/>
        <v>0</v>
      </c>
      <c r="AE32">
        <f t="shared" si="34"/>
        <v>0</v>
      </c>
      <c r="AF32">
        <f t="shared" si="34"/>
        <v>1171.67</v>
      </c>
      <c r="AG32">
        <f t="shared" si="35"/>
        <v>0</v>
      </c>
      <c r="AH32">
        <f t="shared" si="36"/>
        <v>3.01</v>
      </c>
      <c r="AI32">
        <f t="shared" si="36"/>
        <v>0</v>
      </c>
      <c r="AJ32">
        <f t="shared" si="37"/>
        <v>0</v>
      </c>
      <c r="AK32">
        <v>2598.4299999999998</v>
      </c>
      <c r="AL32">
        <v>1426.76</v>
      </c>
      <c r="AM32">
        <v>0</v>
      </c>
      <c r="AN32">
        <v>0</v>
      </c>
      <c r="AO32">
        <v>1171.67</v>
      </c>
      <c r="AP32">
        <v>0</v>
      </c>
      <c r="AQ32">
        <v>3.01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40</v>
      </c>
      <c r="BM32">
        <v>0</v>
      </c>
      <c r="BN32">
        <v>75371441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8"/>
        <v>7353.5599999999995</v>
      </c>
      <c r="CQ32">
        <f t="shared" si="39"/>
        <v>1426.76</v>
      </c>
      <c r="CR32">
        <f t="shared" si="40"/>
        <v>0</v>
      </c>
      <c r="CS32">
        <f t="shared" si="41"/>
        <v>0</v>
      </c>
      <c r="CT32">
        <f t="shared" si="42"/>
        <v>1171.67</v>
      </c>
      <c r="CU32">
        <f t="shared" si="43"/>
        <v>0</v>
      </c>
      <c r="CV32">
        <f t="shared" si="44"/>
        <v>3.01</v>
      </c>
      <c r="CW32">
        <f t="shared" si="45"/>
        <v>0</v>
      </c>
      <c r="CX32">
        <f t="shared" si="45"/>
        <v>0</v>
      </c>
      <c r="CY32">
        <f t="shared" si="46"/>
        <v>2321.0810000000001</v>
      </c>
      <c r="CZ32">
        <f t="shared" si="47"/>
        <v>331.58300000000003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18</v>
      </c>
      <c r="DW32" t="s">
        <v>18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75371444</v>
      </c>
      <c r="EF32">
        <v>1</v>
      </c>
      <c r="EG32" t="s">
        <v>20</v>
      </c>
      <c r="EH32">
        <v>0</v>
      </c>
      <c r="EI32" t="s">
        <v>3</v>
      </c>
      <c r="EJ32">
        <v>4</v>
      </c>
      <c r="EK32">
        <v>0</v>
      </c>
      <c r="EL32" t="s">
        <v>21</v>
      </c>
      <c r="EM32" t="s">
        <v>22</v>
      </c>
      <c r="EO32" t="s">
        <v>3</v>
      </c>
      <c r="EQ32">
        <v>0</v>
      </c>
      <c r="ER32">
        <v>2598.4299999999998</v>
      </c>
      <c r="ES32">
        <v>1426.76</v>
      </c>
      <c r="ET32">
        <v>0</v>
      </c>
      <c r="EU32">
        <v>0</v>
      </c>
      <c r="EV32">
        <v>1171.67</v>
      </c>
      <c r="EW32">
        <v>3.01</v>
      </c>
      <c r="EX32">
        <v>0</v>
      </c>
      <c r="EY32">
        <v>0</v>
      </c>
      <c r="FQ32">
        <v>0</v>
      </c>
      <c r="FR32">
        <f t="shared" si="48"/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-498150993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si="49"/>
        <v>0</v>
      </c>
      <c r="GM32">
        <f t="shared" si="50"/>
        <v>10006.219999999999</v>
      </c>
      <c r="GN32">
        <f t="shared" si="51"/>
        <v>0</v>
      </c>
      <c r="GO32">
        <f t="shared" si="52"/>
        <v>0</v>
      </c>
      <c r="GP32">
        <f t="shared" si="53"/>
        <v>10006.219999999999</v>
      </c>
      <c r="GR32">
        <v>0</v>
      </c>
      <c r="GS32">
        <v>0</v>
      </c>
      <c r="GT32">
        <v>0</v>
      </c>
      <c r="GU32" t="s">
        <v>3</v>
      </c>
      <c r="GV32">
        <f t="shared" si="54"/>
        <v>0</v>
      </c>
      <c r="GW32">
        <v>1</v>
      </c>
      <c r="GX32">
        <f t="shared" si="55"/>
        <v>0</v>
      </c>
      <c r="HA32">
        <v>0</v>
      </c>
      <c r="HB32">
        <v>0</v>
      </c>
      <c r="HC32">
        <f t="shared" si="56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C33">
        <f>ROW(SmtRes!A15)</f>
        <v>15</v>
      </c>
      <c r="D33">
        <f>ROW(EtalonRes!A14)</f>
        <v>14</v>
      </c>
      <c r="E33" t="s">
        <v>41</v>
      </c>
      <c r="F33" t="s">
        <v>42</v>
      </c>
      <c r="G33" t="s">
        <v>43</v>
      </c>
      <c r="H33" t="s">
        <v>18</v>
      </c>
      <c r="I33">
        <f>ROUND(283/100,9)</f>
        <v>2.83</v>
      </c>
      <c r="J33">
        <v>0</v>
      </c>
      <c r="K33">
        <f>ROUND(283/100,9)</f>
        <v>2.83</v>
      </c>
      <c r="O33">
        <f t="shared" si="21"/>
        <v>2787.07</v>
      </c>
      <c r="P33">
        <f t="shared" si="22"/>
        <v>0</v>
      </c>
      <c r="Q33">
        <f t="shared" si="23"/>
        <v>0</v>
      </c>
      <c r="R33">
        <f t="shared" si="24"/>
        <v>0</v>
      </c>
      <c r="S33">
        <f t="shared" si="25"/>
        <v>2787.07</v>
      </c>
      <c r="T33">
        <f t="shared" si="26"/>
        <v>0</v>
      </c>
      <c r="U33">
        <f t="shared" si="27"/>
        <v>7.1598999999999995</v>
      </c>
      <c r="V33">
        <f t="shared" si="28"/>
        <v>0</v>
      </c>
      <c r="W33">
        <f t="shared" si="29"/>
        <v>0</v>
      </c>
      <c r="X33">
        <f t="shared" si="30"/>
        <v>1950.95</v>
      </c>
      <c r="Y33">
        <f t="shared" si="30"/>
        <v>278.70999999999998</v>
      </c>
      <c r="AA33">
        <v>75705739</v>
      </c>
      <c r="AB33">
        <f t="shared" si="31"/>
        <v>984.83</v>
      </c>
      <c r="AC33">
        <f t="shared" si="32"/>
        <v>0</v>
      </c>
      <c r="AD33">
        <f t="shared" si="33"/>
        <v>0</v>
      </c>
      <c r="AE33">
        <f t="shared" si="34"/>
        <v>0</v>
      </c>
      <c r="AF33">
        <f t="shared" si="34"/>
        <v>984.83</v>
      </c>
      <c r="AG33">
        <f t="shared" si="35"/>
        <v>0</v>
      </c>
      <c r="AH33">
        <f t="shared" si="36"/>
        <v>2.5299999999999998</v>
      </c>
      <c r="AI33">
        <f t="shared" si="36"/>
        <v>0</v>
      </c>
      <c r="AJ33">
        <f t="shared" si="37"/>
        <v>0</v>
      </c>
      <c r="AK33">
        <v>984.83</v>
      </c>
      <c r="AL33">
        <v>0</v>
      </c>
      <c r="AM33">
        <v>0</v>
      </c>
      <c r="AN33">
        <v>0</v>
      </c>
      <c r="AO33">
        <v>984.83</v>
      </c>
      <c r="AP33">
        <v>0</v>
      </c>
      <c r="AQ33">
        <v>2.5299999999999998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44</v>
      </c>
      <c r="BM33">
        <v>0</v>
      </c>
      <c r="BN33">
        <v>75371441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8"/>
        <v>2787.07</v>
      </c>
      <c r="CQ33">
        <f t="shared" si="39"/>
        <v>0</v>
      </c>
      <c r="CR33">
        <f t="shared" si="40"/>
        <v>0</v>
      </c>
      <c r="CS33">
        <f t="shared" si="41"/>
        <v>0</v>
      </c>
      <c r="CT33">
        <f t="shared" si="42"/>
        <v>984.83</v>
      </c>
      <c r="CU33">
        <f t="shared" si="43"/>
        <v>0</v>
      </c>
      <c r="CV33">
        <f t="shared" si="44"/>
        <v>2.5299999999999998</v>
      </c>
      <c r="CW33">
        <f t="shared" si="45"/>
        <v>0</v>
      </c>
      <c r="CX33">
        <f t="shared" si="45"/>
        <v>0</v>
      </c>
      <c r="CY33">
        <f t="shared" si="46"/>
        <v>1950.9490000000003</v>
      </c>
      <c r="CZ33">
        <f t="shared" si="47"/>
        <v>278.70699999999999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1005</v>
      </c>
      <c r="DV33" t="s">
        <v>18</v>
      </c>
      <c r="DW33" t="s">
        <v>18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75371444</v>
      </c>
      <c r="EF33">
        <v>1</v>
      </c>
      <c r="EG33" t="s">
        <v>20</v>
      </c>
      <c r="EH33">
        <v>0</v>
      </c>
      <c r="EI33" t="s">
        <v>3</v>
      </c>
      <c r="EJ33">
        <v>4</v>
      </c>
      <c r="EK33">
        <v>0</v>
      </c>
      <c r="EL33" t="s">
        <v>21</v>
      </c>
      <c r="EM33" t="s">
        <v>22</v>
      </c>
      <c r="EO33" t="s">
        <v>3</v>
      </c>
      <c r="EQ33">
        <v>0</v>
      </c>
      <c r="ER33">
        <v>984.83</v>
      </c>
      <c r="ES33">
        <v>0</v>
      </c>
      <c r="ET33">
        <v>0</v>
      </c>
      <c r="EU33">
        <v>0</v>
      </c>
      <c r="EV33">
        <v>984.83</v>
      </c>
      <c r="EW33">
        <v>2.5299999999999998</v>
      </c>
      <c r="EX33">
        <v>0</v>
      </c>
      <c r="EY33">
        <v>0</v>
      </c>
      <c r="FQ33">
        <v>0</v>
      </c>
      <c r="FR33">
        <f t="shared" si="48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-1305472168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49"/>
        <v>0</v>
      </c>
      <c r="GM33">
        <f t="shared" si="50"/>
        <v>5016.7299999999996</v>
      </c>
      <c r="GN33">
        <f t="shared" si="51"/>
        <v>0</v>
      </c>
      <c r="GO33">
        <f t="shared" si="52"/>
        <v>0</v>
      </c>
      <c r="GP33">
        <f t="shared" si="53"/>
        <v>5016.7299999999996</v>
      </c>
      <c r="GR33">
        <v>0</v>
      </c>
      <c r="GS33">
        <v>0</v>
      </c>
      <c r="GT33">
        <v>0</v>
      </c>
      <c r="GU33" t="s">
        <v>3</v>
      </c>
      <c r="GV33">
        <f t="shared" si="54"/>
        <v>0</v>
      </c>
      <c r="GW33">
        <v>1</v>
      </c>
      <c r="GX33">
        <f t="shared" si="55"/>
        <v>0</v>
      </c>
      <c r="HA33">
        <v>0</v>
      </c>
      <c r="HB33">
        <v>0</v>
      </c>
      <c r="HC33">
        <f t="shared" si="56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5" spans="1:245" x14ac:dyDescent="0.2">
      <c r="A35" s="2">
        <v>51</v>
      </c>
      <c r="B35" s="2">
        <f>B24</f>
        <v>1</v>
      </c>
      <c r="C35" s="2">
        <f>A24</f>
        <v>4</v>
      </c>
      <c r="D35" s="2">
        <f>ROW(A24)</f>
        <v>24</v>
      </c>
      <c r="E35" s="2"/>
      <c r="F35" s="2" t="str">
        <f>IF(F24&lt;&gt;"",F24,"")</f>
        <v>Новый раздел</v>
      </c>
      <c r="G35" s="2" t="str">
        <f>IF(G24&lt;&gt;"",G24,"")</f>
        <v>Спортивный зал большой</v>
      </c>
      <c r="H35" s="2">
        <v>0</v>
      </c>
      <c r="I35" s="2"/>
      <c r="J35" s="2"/>
      <c r="K35" s="2"/>
      <c r="L35" s="2"/>
      <c r="M35" s="2"/>
      <c r="N35" s="2"/>
      <c r="O35" s="2">
        <f t="shared" ref="O35:T35" si="57">ROUND(AB35,2)</f>
        <v>127968.33</v>
      </c>
      <c r="P35" s="2">
        <f t="shared" si="57"/>
        <v>38151.11</v>
      </c>
      <c r="Q35" s="2">
        <f t="shared" si="57"/>
        <v>314.14</v>
      </c>
      <c r="R35" s="2">
        <f t="shared" si="57"/>
        <v>225.17</v>
      </c>
      <c r="S35" s="2">
        <f t="shared" si="57"/>
        <v>89503.08</v>
      </c>
      <c r="T35" s="2">
        <f t="shared" si="57"/>
        <v>0</v>
      </c>
      <c r="U35" s="2">
        <f>AH35</f>
        <v>199.53513000000001</v>
      </c>
      <c r="V35" s="2">
        <f>AI35</f>
        <v>0</v>
      </c>
      <c r="W35" s="2">
        <f>ROUND(AJ35,2)</f>
        <v>0</v>
      </c>
      <c r="X35" s="2">
        <f>ROUND(AK35,2)</f>
        <v>62652.15</v>
      </c>
      <c r="Y35" s="2">
        <f>ROUND(AL35,2)</f>
        <v>8950.31</v>
      </c>
      <c r="Z35" s="2"/>
      <c r="AA35" s="2"/>
      <c r="AB35" s="2">
        <f>ROUND(SUMIF(AA28:AA33,"=75705739",O28:O33),2)</f>
        <v>127968.33</v>
      </c>
      <c r="AC35" s="2">
        <f>ROUND(SUMIF(AA28:AA33,"=75705739",P28:P33),2)</f>
        <v>38151.11</v>
      </c>
      <c r="AD35" s="2">
        <f>ROUND(SUMIF(AA28:AA33,"=75705739",Q28:Q33),2)</f>
        <v>314.14</v>
      </c>
      <c r="AE35" s="2">
        <f>ROUND(SUMIF(AA28:AA33,"=75705739",R28:R33),2)</f>
        <v>225.17</v>
      </c>
      <c r="AF35" s="2">
        <f>ROUND(SUMIF(AA28:AA33,"=75705739",S28:S33),2)</f>
        <v>89503.08</v>
      </c>
      <c r="AG35" s="2">
        <f>ROUND(SUMIF(AA28:AA33,"=75705739",T28:T33),2)</f>
        <v>0</v>
      </c>
      <c r="AH35" s="2">
        <f>SUMIF(AA28:AA33,"=75705739",U28:U33)</f>
        <v>199.53513000000001</v>
      </c>
      <c r="AI35" s="2">
        <f>SUMIF(AA28:AA33,"=75705739",V28:V33)</f>
        <v>0</v>
      </c>
      <c r="AJ35" s="2">
        <f>ROUND(SUMIF(AA28:AA33,"=75705739",W28:W33),2)</f>
        <v>0</v>
      </c>
      <c r="AK35" s="2">
        <f>ROUND(SUMIF(AA28:AA33,"=75705739",X28:X33),2)</f>
        <v>62652.15</v>
      </c>
      <c r="AL35" s="2">
        <f>ROUND(SUMIF(AA28:AA33,"=75705739",Y28:Y33),2)</f>
        <v>8950.31</v>
      </c>
      <c r="AM35" s="2"/>
      <c r="AN35" s="2"/>
      <c r="AO35" s="2">
        <f t="shared" ref="AO35:BD35" si="58">ROUND(BX35,2)</f>
        <v>0</v>
      </c>
      <c r="AP35" s="2">
        <f t="shared" si="58"/>
        <v>0</v>
      </c>
      <c r="AQ35" s="2">
        <f t="shared" si="58"/>
        <v>0</v>
      </c>
      <c r="AR35" s="2">
        <f t="shared" si="58"/>
        <v>199813.97</v>
      </c>
      <c r="AS35" s="2">
        <f t="shared" si="58"/>
        <v>0</v>
      </c>
      <c r="AT35" s="2">
        <f t="shared" si="58"/>
        <v>0</v>
      </c>
      <c r="AU35" s="2">
        <f t="shared" si="58"/>
        <v>199813.97</v>
      </c>
      <c r="AV35" s="2">
        <f t="shared" si="58"/>
        <v>38151.11</v>
      </c>
      <c r="AW35" s="2">
        <f t="shared" si="58"/>
        <v>38151.11</v>
      </c>
      <c r="AX35" s="2">
        <f t="shared" si="58"/>
        <v>0</v>
      </c>
      <c r="AY35" s="2">
        <f t="shared" si="58"/>
        <v>38151.11</v>
      </c>
      <c r="AZ35" s="2">
        <f t="shared" si="58"/>
        <v>0</v>
      </c>
      <c r="BA35" s="2">
        <f t="shared" si="58"/>
        <v>0</v>
      </c>
      <c r="BB35" s="2">
        <f t="shared" si="58"/>
        <v>0</v>
      </c>
      <c r="BC35" s="2">
        <f t="shared" si="58"/>
        <v>0</v>
      </c>
      <c r="BD35" s="2">
        <f t="shared" si="58"/>
        <v>0</v>
      </c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>
        <f>ROUND(SUMIF(AA28:AA33,"=75705739",FQ28:FQ33),2)</f>
        <v>0</v>
      </c>
      <c r="BY35" s="2">
        <f>ROUND(SUMIF(AA28:AA33,"=75705739",FR28:FR33),2)</f>
        <v>0</v>
      </c>
      <c r="BZ35" s="2">
        <f>ROUND(SUMIF(AA28:AA33,"=75705739",GL28:GL33),2)</f>
        <v>0</v>
      </c>
      <c r="CA35" s="2">
        <f>ROUND(SUMIF(AA28:AA33,"=75705739",GM28:GM33),2)</f>
        <v>199813.97</v>
      </c>
      <c r="CB35" s="2">
        <f>ROUND(SUMIF(AA28:AA33,"=75705739",GN28:GN33),2)</f>
        <v>0</v>
      </c>
      <c r="CC35" s="2">
        <f>ROUND(SUMIF(AA28:AA33,"=75705739",GO28:GO33),2)</f>
        <v>0</v>
      </c>
      <c r="CD35" s="2">
        <f>ROUND(SUMIF(AA28:AA33,"=75705739",GP28:GP33),2)</f>
        <v>199813.97</v>
      </c>
      <c r="CE35" s="2">
        <f>AC35-BX35</f>
        <v>38151.11</v>
      </c>
      <c r="CF35" s="2">
        <f>AC35-BY35</f>
        <v>38151.11</v>
      </c>
      <c r="CG35" s="2">
        <f>BX35-BZ35</f>
        <v>0</v>
      </c>
      <c r="CH35" s="2">
        <f>AC35-BX35-BY35+BZ35</f>
        <v>38151.11</v>
      </c>
      <c r="CI35" s="2">
        <f>BY35-BZ35</f>
        <v>0</v>
      </c>
      <c r="CJ35" s="2">
        <f>ROUND(SUMIF(AA28:AA33,"=75705739",GX28:GX33),2)</f>
        <v>0</v>
      </c>
      <c r="CK35" s="2">
        <f>ROUND(SUMIF(AA28:AA33,"=75705739",GY28:GY33),2)</f>
        <v>0</v>
      </c>
      <c r="CL35" s="2">
        <f>ROUND(SUMIF(AA28:AA33,"=75705739",GZ28:GZ33),2)</f>
        <v>0</v>
      </c>
      <c r="CM35" s="2">
        <f>ROUND(SUMIF(AA28:AA33,"=75705739",HD28:HD33),2)</f>
        <v>0</v>
      </c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>
        <v>0</v>
      </c>
    </row>
    <row r="37" spans="1:245" x14ac:dyDescent="0.2">
      <c r="A37" s="4">
        <v>50</v>
      </c>
      <c r="B37" s="4">
        <v>0</v>
      </c>
      <c r="C37" s="4">
        <v>0</v>
      </c>
      <c r="D37" s="4">
        <v>1</v>
      </c>
      <c r="E37" s="4">
        <v>201</v>
      </c>
      <c r="F37" s="4">
        <f>ROUND(Source!O35,O37)</f>
        <v>127968.33</v>
      </c>
      <c r="G37" s="4" t="s">
        <v>45</v>
      </c>
      <c r="H37" s="4" t="s">
        <v>46</v>
      </c>
      <c r="I37" s="4"/>
      <c r="J37" s="4"/>
      <c r="K37" s="4">
        <v>201</v>
      </c>
      <c r="L37" s="4">
        <v>1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127968.33</v>
      </c>
      <c r="X37" s="4">
        <v>1</v>
      </c>
      <c r="Y37" s="4">
        <v>127968.33</v>
      </c>
      <c r="Z37" s="4"/>
      <c r="AA37" s="4"/>
      <c r="AB37" s="4"/>
    </row>
    <row r="38" spans="1:245" x14ac:dyDescent="0.2">
      <c r="A38" s="4">
        <v>50</v>
      </c>
      <c r="B38" s="4">
        <v>0</v>
      </c>
      <c r="C38" s="4">
        <v>0</v>
      </c>
      <c r="D38" s="4">
        <v>1</v>
      </c>
      <c r="E38" s="4">
        <v>202</v>
      </c>
      <c r="F38" s="4">
        <f>ROUND(Source!P35,O38)</f>
        <v>38151.11</v>
      </c>
      <c r="G38" s="4" t="s">
        <v>47</v>
      </c>
      <c r="H38" s="4" t="s">
        <v>48</v>
      </c>
      <c r="I38" s="4"/>
      <c r="J38" s="4"/>
      <c r="K38" s="4">
        <v>202</v>
      </c>
      <c r="L38" s="4">
        <v>2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38151.11</v>
      </c>
      <c r="X38" s="4">
        <v>1</v>
      </c>
      <c r="Y38" s="4">
        <v>38151.11</v>
      </c>
      <c r="Z38" s="4"/>
      <c r="AA38" s="4"/>
      <c r="AB38" s="4"/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222</v>
      </c>
      <c r="F39" s="4">
        <f>ROUND(Source!AO35,O39)</f>
        <v>0</v>
      </c>
      <c r="G39" s="4" t="s">
        <v>49</v>
      </c>
      <c r="H39" s="4" t="s">
        <v>50</v>
      </c>
      <c r="I39" s="4"/>
      <c r="J39" s="4"/>
      <c r="K39" s="4">
        <v>222</v>
      </c>
      <c r="L39" s="4">
        <v>3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225</v>
      </c>
      <c r="F40" s="4">
        <f>ROUND(Source!AV35,O40)</f>
        <v>38151.11</v>
      </c>
      <c r="G40" s="4" t="s">
        <v>51</v>
      </c>
      <c r="H40" s="4" t="s">
        <v>52</v>
      </c>
      <c r="I40" s="4"/>
      <c r="J40" s="4"/>
      <c r="K40" s="4">
        <v>225</v>
      </c>
      <c r="L40" s="4">
        <v>4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38151.11</v>
      </c>
      <c r="X40" s="4">
        <v>1</v>
      </c>
      <c r="Y40" s="4">
        <v>38151.11</v>
      </c>
      <c r="Z40" s="4"/>
      <c r="AA40" s="4"/>
      <c r="AB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226</v>
      </c>
      <c r="F41" s="4">
        <f>ROUND(Source!AW35,O41)</f>
        <v>38151.11</v>
      </c>
      <c r="G41" s="4" t="s">
        <v>53</v>
      </c>
      <c r="H41" s="4" t="s">
        <v>54</v>
      </c>
      <c r="I41" s="4"/>
      <c r="J41" s="4"/>
      <c r="K41" s="4">
        <v>226</v>
      </c>
      <c r="L41" s="4">
        <v>5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38151.11</v>
      </c>
      <c r="X41" s="4">
        <v>1</v>
      </c>
      <c r="Y41" s="4">
        <v>38151.11</v>
      </c>
      <c r="Z41" s="4"/>
      <c r="AA41" s="4"/>
      <c r="AB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227</v>
      </c>
      <c r="F42" s="4">
        <f>ROUND(Source!AX35,O42)</f>
        <v>0</v>
      </c>
      <c r="G42" s="4" t="s">
        <v>55</v>
      </c>
      <c r="H42" s="4" t="s">
        <v>56</v>
      </c>
      <c r="I42" s="4"/>
      <c r="J42" s="4"/>
      <c r="K42" s="4">
        <v>227</v>
      </c>
      <c r="L42" s="4">
        <v>6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228</v>
      </c>
      <c r="F43" s="4">
        <f>ROUND(Source!AY35,O43)</f>
        <v>38151.11</v>
      </c>
      <c r="G43" s="4" t="s">
        <v>57</v>
      </c>
      <c r="H43" s="4" t="s">
        <v>58</v>
      </c>
      <c r="I43" s="4"/>
      <c r="J43" s="4"/>
      <c r="K43" s="4">
        <v>228</v>
      </c>
      <c r="L43" s="4">
        <v>7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38151.11</v>
      </c>
      <c r="X43" s="4">
        <v>1</v>
      </c>
      <c r="Y43" s="4">
        <v>38151.11</v>
      </c>
      <c r="Z43" s="4"/>
      <c r="AA43" s="4"/>
      <c r="AB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216</v>
      </c>
      <c r="F44" s="4">
        <f>ROUND(Source!AP35,O44)</f>
        <v>0</v>
      </c>
      <c r="G44" s="4" t="s">
        <v>59</v>
      </c>
      <c r="H44" s="4" t="s">
        <v>60</v>
      </c>
      <c r="I44" s="4"/>
      <c r="J44" s="4"/>
      <c r="K44" s="4">
        <v>216</v>
      </c>
      <c r="L44" s="4">
        <v>8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223</v>
      </c>
      <c r="F45" s="4">
        <f>ROUND(Source!AQ35,O45)</f>
        <v>0</v>
      </c>
      <c r="G45" s="4" t="s">
        <v>61</v>
      </c>
      <c r="H45" s="4" t="s">
        <v>62</v>
      </c>
      <c r="I45" s="4"/>
      <c r="J45" s="4"/>
      <c r="K45" s="4">
        <v>223</v>
      </c>
      <c r="L45" s="4">
        <v>9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229</v>
      </c>
      <c r="F46" s="4">
        <f>ROUND(Source!AZ35,O46)</f>
        <v>0</v>
      </c>
      <c r="G46" s="4" t="s">
        <v>63</v>
      </c>
      <c r="H46" s="4" t="s">
        <v>64</v>
      </c>
      <c r="I46" s="4"/>
      <c r="J46" s="4"/>
      <c r="K46" s="4">
        <v>229</v>
      </c>
      <c r="L46" s="4">
        <v>10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203</v>
      </c>
      <c r="F47" s="4">
        <f>ROUND(Source!Q35,O47)</f>
        <v>314.14</v>
      </c>
      <c r="G47" s="4" t="s">
        <v>65</v>
      </c>
      <c r="H47" s="4" t="s">
        <v>66</v>
      </c>
      <c r="I47" s="4"/>
      <c r="J47" s="4"/>
      <c r="K47" s="4">
        <v>203</v>
      </c>
      <c r="L47" s="4">
        <v>11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314.14</v>
      </c>
      <c r="X47" s="4">
        <v>1</v>
      </c>
      <c r="Y47" s="4">
        <v>314.14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231</v>
      </c>
      <c r="F48" s="4">
        <f>ROUND(Source!BB35,O48)</f>
        <v>0</v>
      </c>
      <c r="G48" s="4" t="s">
        <v>67</v>
      </c>
      <c r="H48" s="4" t="s">
        <v>68</v>
      </c>
      <c r="I48" s="4"/>
      <c r="J48" s="4"/>
      <c r="K48" s="4">
        <v>231</v>
      </c>
      <c r="L48" s="4">
        <v>12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204</v>
      </c>
      <c r="F49" s="4">
        <f>ROUND(Source!R35,O49)</f>
        <v>225.17</v>
      </c>
      <c r="G49" s="4" t="s">
        <v>69</v>
      </c>
      <c r="H49" s="4" t="s">
        <v>70</v>
      </c>
      <c r="I49" s="4"/>
      <c r="J49" s="4"/>
      <c r="K49" s="4">
        <v>204</v>
      </c>
      <c r="L49" s="4">
        <v>13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225.17</v>
      </c>
      <c r="X49" s="4">
        <v>1</v>
      </c>
      <c r="Y49" s="4">
        <v>225.17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205</v>
      </c>
      <c r="F50" s="4">
        <f>ROUND(Source!S35,O50)</f>
        <v>89503.08</v>
      </c>
      <c r="G50" s="4" t="s">
        <v>71</v>
      </c>
      <c r="H50" s="4" t="s">
        <v>72</v>
      </c>
      <c r="I50" s="4"/>
      <c r="J50" s="4"/>
      <c r="K50" s="4">
        <v>205</v>
      </c>
      <c r="L50" s="4">
        <v>14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89503.08</v>
      </c>
      <c r="X50" s="4">
        <v>1</v>
      </c>
      <c r="Y50" s="4">
        <v>89503.08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232</v>
      </c>
      <c r="F51" s="4">
        <f>ROUND(Source!BC35,O51)</f>
        <v>0</v>
      </c>
      <c r="G51" s="4" t="s">
        <v>73</v>
      </c>
      <c r="H51" s="4" t="s">
        <v>74</v>
      </c>
      <c r="I51" s="4"/>
      <c r="J51" s="4"/>
      <c r="K51" s="4">
        <v>232</v>
      </c>
      <c r="L51" s="4">
        <v>15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214</v>
      </c>
      <c r="F52" s="4">
        <f>ROUND(Source!AS35,O52)</f>
        <v>0</v>
      </c>
      <c r="G52" s="4" t="s">
        <v>75</v>
      </c>
      <c r="H52" s="4" t="s">
        <v>76</v>
      </c>
      <c r="I52" s="4"/>
      <c r="J52" s="4"/>
      <c r="K52" s="4">
        <v>214</v>
      </c>
      <c r="L52" s="4">
        <v>16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215</v>
      </c>
      <c r="F53" s="4">
        <f>ROUND(Source!AT35,O53)</f>
        <v>0</v>
      </c>
      <c r="G53" s="4" t="s">
        <v>77</v>
      </c>
      <c r="H53" s="4" t="s">
        <v>78</v>
      </c>
      <c r="I53" s="4"/>
      <c r="J53" s="4"/>
      <c r="K53" s="4">
        <v>215</v>
      </c>
      <c r="L53" s="4">
        <v>17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217</v>
      </c>
      <c r="F54" s="4">
        <f>ROUND(Source!AU35,O54)</f>
        <v>199813.97</v>
      </c>
      <c r="G54" s="4" t="s">
        <v>79</v>
      </c>
      <c r="H54" s="4" t="s">
        <v>80</v>
      </c>
      <c r="I54" s="4"/>
      <c r="J54" s="4"/>
      <c r="K54" s="4">
        <v>217</v>
      </c>
      <c r="L54" s="4">
        <v>18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199813.97</v>
      </c>
      <c r="X54" s="4">
        <v>1</v>
      </c>
      <c r="Y54" s="4">
        <v>199813.97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230</v>
      </c>
      <c r="F55" s="4">
        <f>ROUND(Source!BA35,O55)</f>
        <v>0</v>
      </c>
      <c r="G55" s="4" t="s">
        <v>81</v>
      </c>
      <c r="H55" s="4" t="s">
        <v>82</v>
      </c>
      <c r="I55" s="4"/>
      <c r="J55" s="4"/>
      <c r="K55" s="4">
        <v>230</v>
      </c>
      <c r="L55" s="4">
        <v>19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206</v>
      </c>
      <c r="F56" s="4">
        <f>ROUND(Source!T35,O56)</f>
        <v>0</v>
      </c>
      <c r="G56" s="4" t="s">
        <v>83</v>
      </c>
      <c r="H56" s="4" t="s">
        <v>84</v>
      </c>
      <c r="I56" s="4"/>
      <c r="J56" s="4"/>
      <c r="K56" s="4">
        <v>206</v>
      </c>
      <c r="L56" s="4">
        <v>20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207</v>
      </c>
      <c r="F57" s="4">
        <f>Source!U35</f>
        <v>199.53513000000001</v>
      </c>
      <c r="G57" s="4" t="s">
        <v>85</v>
      </c>
      <c r="H57" s="4" t="s">
        <v>86</v>
      </c>
      <c r="I57" s="4"/>
      <c r="J57" s="4"/>
      <c r="K57" s="4">
        <v>207</v>
      </c>
      <c r="L57" s="4">
        <v>21</v>
      </c>
      <c r="M57" s="4">
        <v>3</v>
      </c>
      <c r="N57" s="4" t="s">
        <v>3</v>
      </c>
      <c r="O57" s="4">
        <v>-1</v>
      </c>
      <c r="P57" s="4"/>
      <c r="Q57" s="4"/>
      <c r="R57" s="4"/>
      <c r="S57" s="4"/>
      <c r="T57" s="4"/>
      <c r="U57" s="4"/>
      <c r="V57" s="4"/>
      <c r="W57" s="4">
        <v>199.53512999999998</v>
      </c>
      <c r="X57" s="4">
        <v>1</v>
      </c>
      <c r="Y57" s="4">
        <v>199.53512999999998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208</v>
      </c>
      <c r="F58" s="4">
        <f>Source!V35</f>
        <v>0</v>
      </c>
      <c r="G58" s="4" t="s">
        <v>87</v>
      </c>
      <c r="H58" s="4" t="s">
        <v>88</v>
      </c>
      <c r="I58" s="4"/>
      <c r="J58" s="4"/>
      <c r="K58" s="4">
        <v>208</v>
      </c>
      <c r="L58" s="4">
        <v>22</v>
      </c>
      <c r="M58" s="4">
        <v>3</v>
      </c>
      <c r="N58" s="4" t="s">
        <v>3</v>
      </c>
      <c r="O58" s="4">
        <v>-1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209</v>
      </c>
      <c r="F59" s="4">
        <f>ROUND(Source!W35,O59)</f>
        <v>0</v>
      </c>
      <c r="G59" s="4" t="s">
        <v>89</v>
      </c>
      <c r="H59" s="4" t="s">
        <v>90</v>
      </c>
      <c r="I59" s="4"/>
      <c r="J59" s="4"/>
      <c r="K59" s="4">
        <v>209</v>
      </c>
      <c r="L59" s="4">
        <v>23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233</v>
      </c>
      <c r="F60" s="4">
        <f>ROUND(Source!BD35,O60)</f>
        <v>0</v>
      </c>
      <c r="G60" s="4" t="s">
        <v>91</v>
      </c>
      <c r="H60" s="4" t="s">
        <v>92</v>
      </c>
      <c r="I60" s="4"/>
      <c r="J60" s="4"/>
      <c r="K60" s="4">
        <v>233</v>
      </c>
      <c r="L60" s="4">
        <v>24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210</v>
      </c>
      <c r="F61" s="4">
        <f>ROUND(Source!X35,O61)</f>
        <v>62652.15</v>
      </c>
      <c r="G61" s="4" t="s">
        <v>93</v>
      </c>
      <c r="H61" s="4" t="s">
        <v>94</v>
      </c>
      <c r="I61" s="4"/>
      <c r="J61" s="4"/>
      <c r="K61" s="4">
        <v>210</v>
      </c>
      <c r="L61" s="4">
        <v>25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62652.15</v>
      </c>
      <c r="X61" s="4">
        <v>1</v>
      </c>
      <c r="Y61" s="4">
        <v>62652.15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211</v>
      </c>
      <c r="F62" s="4">
        <f>ROUND(Source!Y35,O62)</f>
        <v>8950.31</v>
      </c>
      <c r="G62" s="4" t="s">
        <v>95</v>
      </c>
      <c r="H62" s="4" t="s">
        <v>96</v>
      </c>
      <c r="I62" s="4"/>
      <c r="J62" s="4"/>
      <c r="K62" s="4">
        <v>211</v>
      </c>
      <c r="L62" s="4">
        <v>26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8950.31</v>
      </c>
      <c r="X62" s="4">
        <v>1</v>
      </c>
      <c r="Y62" s="4">
        <v>8950.31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224</v>
      </c>
      <c r="F63" s="4">
        <f>ROUND(Source!AR35,O63)</f>
        <v>199813.97</v>
      </c>
      <c r="G63" s="4" t="s">
        <v>97</v>
      </c>
      <c r="H63" s="4" t="s">
        <v>98</v>
      </c>
      <c r="I63" s="4"/>
      <c r="J63" s="4"/>
      <c r="K63" s="4">
        <v>224</v>
      </c>
      <c r="L63" s="4">
        <v>27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199813.97</v>
      </c>
      <c r="X63" s="4">
        <v>1</v>
      </c>
      <c r="Y63" s="4">
        <v>199813.97</v>
      </c>
      <c r="Z63" s="4"/>
      <c r="AA63" s="4"/>
      <c r="AB63" s="4"/>
    </row>
    <row r="65" spans="1:245" x14ac:dyDescent="0.2">
      <c r="A65" s="1">
        <v>4</v>
      </c>
      <c r="B65" s="1">
        <v>1</v>
      </c>
      <c r="C65" s="1"/>
      <c r="D65" s="1">
        <f>ROW(A88)</f>
        <v>88</v>
      </c>
      <c r="E65" s="1"/>
      <c r="F65" s="1" t="s">
        <v>13</v>
      </c>
      <c r="G65" s="1" t="s">
        <v>99</v>
      </c>
      <c r="H65" s="1" t="s">
        <v>3</v>
      </c>
      <c r="I65" s="1">
        <v>0</v>
      </c>
      <c r="J65" s="1"/>
      <c r="K65" s="1">
        <v>-1</v>
      </c>
      <c r="L65" s="1"/>
      <c r="M65" s="1" t="s">
        <v>3</v>
      </c>
      <c r="N65" s="1"/>
      <c r="O65" s="1"/>
      <c r="P65" s="1"/>
      <c r="Q65" s="1"/>
      <c r="R65" s="1"/>
      <c r="S65" s="1">
        <v>0</v>
      </c>
      <c r="T65" s="1"/>
      <c r="U65" s="1" t="s">
        <v>3</v>
      </c>
      <c r="V65" s="1">
        <v>0</v>
      </c>
      <c r="W65" s="1"/>
      <c r="X65" s="1"/>
      <c r="Y65" s="1"/>
      <c r="Z65" s="1"/>
      <c r="AA65" s="1"/>
      <c r="AB65" s="1" t="s">
        <v>3</v>
      </c>
      <c r="AC65" s="1" t="s">
        <v>3</v>
      </c>
      <c r="AD65" s="1" t="s">
        <v>3</v>
      </c>
      <c r="AE65" s="1" t="s">
        <v>3</v>
      </c>
      <c r="AF65" s="1" t="s">
        <v>3</v>
      </c>
      <c r="AG65" s="1" t="s">
        <v>3</v>
      </c>
      <c r="AH65" s="1"/>
      <c r="AI65" s="1"/>
      <c r="AJ65" s="1"/>
      <c r="AK65" s="1"/>
      <c r="AL65" s="1"/>
      <c r="AM65" s="1"/>
      <c r="AN65" s="1"/>
      <c r="AO65" s="1"/>
      <c r="AP65" s="1" t="s">
        <v>3</v>
      </c>
      <c r="AQ65" s="1" t="s">
        <v>3</v>
      </c>
      <c r="AR65" s="1" t="s">
        <v>3</v>
      </c>
      <c r="AS65" s="1"/>
      <c r="AT65" s="1"/>
      <c r="AU65" s="1"/>
      <c r="AV65" s="1"/>
      <c r="AW65" s="1"/>
      <c r="AX65" s="1"/>
      <c r="AY65" s="1"/>
      <c r="AZ65" s="1" t="s">
        <v>3</v>
      </c>
      <c r="BA65" s="1"/>
      <c r="BB65" s="1" t="s">
        <v>3</v>
      </c>
      <c r="BC65" s="1" t="s">
        <v>3</v>
      </c>
      <c r="BD65" s="1" t="s">
        <v>3</v>
      </c>
      <c r="BE65" s="1" t="s">
        <v>3</v>
      </c>
      <c r="BF65" s="1" t="s">
        <v>3</v>
      </c>
      <c r="BG65" s="1" t="s">
        <v>3</v>
      </c>
      <c r="BH65" s="1" t="s">
        <v>3</v>
      </c>
      <c r="BI65" s="1" t="s">
        <v>3</v>
      </c>
      <c r="BJ65" s="1" t="s">
        <v>3</v>
      </c>
      <c r="BK65" s="1" t="s">
        <v>3</v>
      </c>
      <c r="BL65" s="1" t="s">
        <v>3</v>
      </c>
      <c r="BM65" s="1" t="s">
        <v>3</v>
      </c>
      <c r="BN65" s="1" t="s">
        <v>3</v>
      </c>
      <c r="BO65" s="1" t="s">
        <v>3</v>
      </c>
      <c r="BP65" s="1" t="s">
        <v>3</v>
      </c>
      <c r="BQ65" s="1"/>
      <c r="BR65" s="1"/>
      <c r="BS65" s="1"/>
      <c r="BT65" s="1"/>
      <c r="BU65" s="1"/>
      <c r="BV65" s="1"/>
      <c r="BW65" s="1"/>
      <c r="BX65" s="1">
        <v>0</v>
      </c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>
        <v>0</v>
      </c>
    </row>
    <row r="67" spans="1:245" x14ac:dyDescent="0.2">
      <c r="A67" s="2">
        <v>52</v>
      </c>
      <c r="B67" s="2">
        <f t="shared" ref="B67:G67" si="59">B88</f>
        <v>1</v>
      </c>
      <c r="C67" s="2">
        <f t="shared" si="59"/>
        <v>4</v>
      </c>
      <c r="D67" s="2">
        <f t="shared" si="59"/>
        <v>65</v>
      </c>
      <c r="E67" s="2">
        <f t="shared" si="59"/>
        <v>0</v>
      </c>
      <c r="F67" s="2" t="str">
        <f t="shared" si="59"/>
        <v>Новый раздел</v>
      </c>
      <c r="G67" s="2" t="str">
        <f t="shared" si="59"/>
        <v>Спортивный зал малый</v>
      </c>
      <c r="H67" s="2"/>
      <c r="I67" s="2"/>
      <c r="J67" s="2"/>
      <c r="K67" s="2"/>
      <c r="L67" s="2"/>
      <c r="M67" s="2"/>
      <c r="N67" s="2"/>
      <c r="O67" s="2">
        <f t="shared" ref="O67:AT67" si="60">O88</f>
        <v>238744.26</v>
      </c>
      <c r="P67" s="2">
        <f t="shared" si="60"/>
        <v>130352.15</v>
      </c>
      <c r="Q67" s="2">
        <f t="shared" si="60"/>
        <v>587.72</v>
      </c>
      <c r="R67" s="2">
        <f t="shared" si="60"/>
        <v>416.31</v>
      </c>
      <c r="S67" s="2">
        <f t="shared" si="60"/>
        <v>107804.39</v>
      </c>
      <c r="T67" s="2">
        <f t="shared" si="60"/>
        <v>0</v>
      </c>
      <c r="U67" s="2">
        <f t="shared" si="60"/>
        <v>243.60810000000001</v>
      </c>
      <c r="V67" s="2">
        <f t="shared" si="60"/>
        <v>0</v>
      </c>
      <c r="W67" s="2">
        <f t="shared" si="60"/>
        <v>0</v>
      </c>
      <c r="X67" s="2">
        <f t="shared" si="60"/>
        <v>75463.100000000006</v>
      </c>
      <c r="Y67" s="2">
        <f t="shared" si="60"/>
        <v>10780.45</v>
      </c>
      <c r="Z67" s="2">
        <f t="shared" si="60"/>
        <v>0</v>
      </c>
      <c r="AA67" s="2">
        <f t="shared" si="60"/>
        <v>0</v>
      </c>
      <c r="AB67" s="2">
        <f t="shared" si="60"/>
        <v>238744.26</v>
      </c>
      <c r="AC67" s="2">
        <f t="shared" si="60"/>
        <v>130352.15</v>
      </c>
      <c r="AD67" s="2">
        <f t="shared" si="60"/>
        <v>587.72</v>
      </c>
      <c r="AE67" s="2">
        <f t="shared" si="60"/>
        <v>416.31</v>
      </c>
      <c r="AF67" s="2">
        <f t="shared" si="60"/>
        <v>107804.39</v>
      </c>
      <c r="AG67" s="2">
        <f t="shared" si="60"/>
        <v>0</v>
      </c>
      <c r="AH67" s="2">
        <f t="shared" si="60"/>
        <v>243.60810000000001</v>
      </c>
      <c r="AI67" s="2">
        <f t="shared" si="60"/>
        <v>0</v>
      </c>
      <c r="AJ67" s="2">
        <f t="shared" si="60"/>
        <v>0</v>
      </c>
      <c r="AK67" s="2">
        <f t="shared" si="60"/>
        <v>75463.100000000006</v>
      </c>
      <c r="AL67" s="2">
        <f t="shared" si="60"/>
        <v>10780.45</v>
      </c>
      <c r="AM67" s="2">
        <f t="shared" si="60"/>
        <v>0</v>
      </c>
      <c r="AN67" s="2">
        <f t="shared" si="60"/>
        <v>0</v>
      </c>
      <c r="AO67" s="2">
        <f t="shared" si="60"/>
        <v>0</v>
      </c>
      <c r="AP67" s="2">
        <f t="shared" si="60"/>
        <v>0</v>
      </c>
      <c r="AQ67" s="2">
        <f t="shared" si="60"/>
        <v>0</v>
      </c>
      <c r="AR67" s="2">
        <f t="shared" si="60"/>
        <v>325437.42</v>
      </c>
      <c r="AS67" s="2">
        <f t="shared" si="60"/>
        <v>0</v>
      </c>
      <c r="AT67" s="2">
        <f t="shared" si="60"/>
        <v>0</v>
      </c>
      <c r="AU67" s="2">
        <f t="shared" ref="AU67:BZ67" si="61">AU88</f>
        <v>325437.42</v>
      </c>
      <c r="AV67" s="2">
        <f t="shared" si="61"/>
        <v>130352.15</v>
      </c>
      <c r="AW67" s="2">
        <f t="shared" si="61"/>
        <v>130352.15</v>
      </c>
      <c r="AX67" s="2">
        <f t="shared" si="61"/>
        <v>0</v>
      </c>
      <c r="AY67" s="2">
        <f t="shared" si="61"/>
        <v>130352.15</v>
      </c>
      <c r="AZ67" s="2">
        <f t="shared" si="61"/>
        <v>0</v>
      </c>
      <c r="BA67" s="2">
        <f t="shared" si="61"/>
        <v>0</v>
      </c>
      <c r="BB67" s="2">
        <f t="shared" si="61"/>
        <v>0</v>
      </c>
      <c r="BC67" s="2">
        <f t="shared" si="61"/>
        <v>0</v>
      </c>
      <c r="BD67" s="2">
        <f t="shared" si="61"/>
        <v>0</v>
      </c>
      <c r="BE67" s="2">
        <f t="shared" si="61"/>
        <v>0</v>
      </c>
      <c r="BF67" s="2">
        <f t="shared" si="61"/>
        <v>0</v>
      </c>
      <c r="BG67" s="2">
        <f t="shared" si="61"/>
        <v>0</v>
      </c>
      <c r="BH67" s="2">
        <f t="shared" si="61"/>
        <v>0</v>
      </c>
      <c r="BI67" s="2">
        <f t="shared" si="61"/>
        <v>0</v>
      </c>
      <c r="BJ67" s="2">
        <f t="shared" si="61"/>
        <v>0</v>
      </c>
      <c r="BK67" s="2">
        <f t="shared" si="61"/>
        <v>0</v>
      </c>
      <c r="BL67" s="2">
        <f t="shared" si="61"/>
        <v>0</v>
      </c>
      <c r="BM67" s="2">
        <f t="shared" si="61"/>
        <v>0</v>
      </c>
      <c r="BN67" s="2">
        <f t="shared" si="61"/>
        <v>0</v>
      </c>
      <c r="BO67" s="2">
        <f t="shared" si="61"/>
        <v>0</v>
      </c>
      <c r="BP67" s="2">
        <f t="shared" si="61"/>
        <v>0</v>
      </c>
      <c r="BQ67" s="2">
        <f t="shared" si="61"/>
        <v>0</v>
      </c>
      <c r="BR67" s="2">
        <f t="shared" si="61"/>
        <v>0</v>
      </c>
      <c r="BS67" s="2">
        <f t="shared" si="61"/>
        <v>0</v>
      </c>
      <c r="BT67" s="2">
        <f t="shared" si="61"/>
        <v>0</v>
      </c>
      <c r="BU67" s="2">
        <f t="shared" si="61"/>
        <v>0</v>
      </c>
      <c r="BV67" s="2">
        <f t="shared" si="61"/>
        <v>0</v>
      </c>
      <c r="BW67" s="2">
        <f t="shared" si="61"/>
        <v>0</v>
      </c>
      <c r="BX67" s="2">
        <f t="shared" si="61"/>
        <v>0</v>
      </c>
      <c r="BY67" s="2">
        <f t="shared" si="61"/>
        <v>0</v>
      </c>
      <c r="BZ67" s="2">
        <f t="shared" si="61"/>
        <v>0</v>
      </c>
      <c r="CA67" s="2">
        <f t="shared" ref="CA67:DF67" si="62">CA88</f>
        <v>325437.42</v>
      </c>
      <c r="CB67" s="2">
        <f t="shared" si="62"/>
        <v>0</v>
      </c>
      <c r="CC67" s="2">
        <f t="shared" si="62"/>
        <v>0</v>
      </c>
      <c r="CD67" s="2">
        <f t="shared" si="62"/>
        <v>325437.42</v>
      </c>
      <c r="CE67" s="2">
        <f t="shared" si="62"/>
        <v>130352.15</v>
      </c>
      <c r="CF67" s="2">
        <f t="shared" si="62"/>
        <v>130352.15</v>
      </c>
      <c r="CG67" s="2">
        <f t="shared" si="62"/>
        <v>0</v>
      </c>
      <c r="CH67" s="2">
        <f t="shared" si="62"/>
        <v>130352.15</v>
      </c>
      <c r="CI67" s="2">
        <f t="shared" si="62"/>
        <v>0</v>
      </c>
      <c r="CJ67" s="2">
        <f t="shared" si="62"/>
        <v>0</v>
      </c>
      <c r="CK67" s="2">
        <f t="shared" si="62"/>
        <v>0</v>
      </c>
      <c r="CL67" s="2">
        <f t="shared" si="62"/>
        <v>0</v>
      </c>
      <c r="CM67" s="2">
        <f t="shared" si="62"/>
        <v>0</v>
      </c>
      <c r="CN67" s="2">
        <f t="shared" si="62"/>
        <v>0</v>
      </c>
      <c r="CO67" s="2">
        <f t="shared" si="62"/>
        <v>0</v>
      </c>
      <c r="CP67" s="2">
        <f t="shared" si="62"/>
        <v>0</v>
      </c>
      <c r="CQ67" s="2">
        <f t="shared" si="62"/>
        <v>0</v>
      </c>
      <c r="CR67" s="2">
        <f t="shared" si="62"/>
        <v>0</v>
      </c>
      <c r="CS67" s="2">
        <f t="shared" si="62"/>
        <v>0</v>
      </c>
      <c r="CT67" s="2">
        <f t="shared" si="62"/>
        <v>0</v>
      </c>
      <c r="CU67" s="2">
        <f t="shared" si="62"/>
        <v>0</v>
      </c>
      <c r="CV67" s="2">
        <f t="shared" si="62"/>
        <v>0</v>
      </c>
      <c r="CW67" s="2">
        <f t="shared" si="62"/>
        <v>0</v>
      </c>
      <c r="CX67" s="2">
        <f t="shared" si="62"/>
        <v>0</v>
      </c>
      <c r="CY67" s="2">
        <f t="shared" si="62"/>
        <v>0</v>
      </c>
      <c r="CZ67" s="2">
        <f t="shared" si="62"/>
        <v>0</v>
      </c>
      <c r="DA67" s="2">
        <f t="shared" si="62"/>
        <v>0</v>
      </c>
      <c r="DB67" s="2">
        <f t="shared" si="62"/>
        <v>0</v>
      </c>
      <c r="DC67" s="2">
        <f t="shared" si="62"/>
        <v>0</v>
      </c>
      <c r="DD67" s="2">
        <f t="shared" si="62"/>
        <v>0</v>
      </c>
      <c r="DE67" s="2">
        <f t="shared" si="62"/>
        <v>0</v>
      </c>
      <c r="DF67" s="2">
        <f t="shared" si="62"/>
        <v>0</v>
      </c>
      <c r="DG67" s="3">
        <f t="shared" ref="DG67:EL67" si="63">DG88</f>
        <v>0</v>
      </c>
      <c r="DH67" s="3">
        <f t="shared" si="63"/>
        <v>0</v>
      </c>
      <c r="DI67" s="3">
        <f t="shared" si="63"/>
        <v>0</v>
      </c>
      <c r="DJ67" s="3">
        <f t="shared" si="63"/>
        <v>0</v>
      </c>
      <c r="DK67" s="3">
        <f t="shared" si="63"/>
        <v>0</v>
      </c>
      <c r="DL67" s="3">
        <f t="shared" si="63"/>
        <v>0</v>
      </c>
      <c r="DM67" s="3">
        <f t="shared" si="63"/>
        <v>0</v>
      </c>
      <c r="DN67" s="3">
        <f t="shared" si="63"/>
        <v>0</v>
      </c>
      <c r="DO67" s="3">
        <f t="shared" si="63"/>
        <v>0</v>
      </c>
      <c r="DP67" s="3">
        <f t="shared" si="63"/>
        <v>0</v>
      </c>
      <c r="DQ67" s="3">
        <f t="shared" si="63"/>
        <v>0</v>
      </c>
      <c r="DR67" s="3">
        <f t="shared" si="63"/>
        <v>0</v>
      </c>
      <c r="DS67" s="3">
        <f t="shared" si="63"/>
        <v>0</v>
      </c>
      <c r="DT67" s="3">
        <f t="shared" si="63"/>
        <v>0</v>
      </c>
      <c r="DU67" s="3">
        <f t="shared" si="63"/>
        <v>0</v>
      </c>
      <c r="DV67" s="3">
        <f t="shared" si="63"/>
        <v>0</v>
      </c>
      <c r="DW67" s="3">
        <f t="shared" si="63"/>
        <v>0</v>
      </c>
      <c r="DX67" s="3">
        <f t="shared" si="63"/>
        <v>0</v>
      </c>
      <c r="DY67" s="3">
        <f t="shared" si="63"/>
        <v>0</v>
      </c>
      <c r="DZ67" s="3">
        <f t="shared" si="63"/>
        <v>0</v>
      </c>
      <c r="EA67" s="3">
        <f t="shared" si="63"/>
        <v>0</v>
      </c>
      <c r="EB67" s="3">
        <f t="shared" si="63"/>
        <v>0</v>
      </c>
      <c r="EC67" s="3">
        <f t="shared" si="63"/>
        <v>0</v>
      </c>
      <c r="ED67" s="3">
        <f t="shared" si="63"/>
        <v>0</v>
      </c>
      <c r="EE67" s="3">
        <f t="shared" si="63"/>
        <v>0</v>
      </c>
      <c r="EF67" s="3">
        <f t="shared" si="63"/>
        <v>0</v>
      </c>
      <c r="EG67" s="3">
        <f t="shared" si="63"/>
        <v>0</v>
      </c>
      <c r="EH67" s="3">
        <f t="shared" si="63"/>
        <v>0</v>
      </c>
      <c r="EI67" s="3">
        <f t="shared" si="63"/>
        <v>0</v>
      </c>
      <c r="EJ67" s="3">
        <f t="shared" si="63"/>
        <v>0</v>
      </c>
      <c r="EK67" s="3">
        <f t="shared" si="63"/>
        <v>0</v>
      </c>
      <c r="EL67" s="3">
        <f t="shared" si="63"/>
        <v>0</v>
      </c>
      <c r="EM67" s="3">
        <f t="shared" ref="EM67:FR67" si="64">EM88</f>
        <v>0</v>
      </c>
      <c r="EN67" s="3">
        <f t="shared" si="64"/>
        <v>0</v>
      </c>
      <c r="EO67" s="3">
        <f t="shared" si="64"/>
        <v>0</v>
      </c>
      <c r="EP67" s="3">
        <f t="shared" si="64"/>
        <v>0</v>
      </c>
      <c r="EQ67" s="3">
        <f t="shared" si="64"/>
        <v>0</v>
      </c>
      <c r="ER67" s="3">
        <f t="shared" si="64"/>
        <v>0</v>
      </c>
      <c r="ES67" s="3">
        <f t="shared" si="64"/>
        <v>0</v>
      </c>
      <c r="ET67" s="3">
        <f t="shared" si="64"/>
        <v>0</v>
      </c>
      <c r="EU67" s="3">
        <f t="shared" si="64"/>
        <v>0</v>
      </c>
      <c r="EV67" s="3">
        <f t="shared" si="64"/>
        <v>0</v>
      </c>
      <c r="EW67" s="3">
        <f t="shared" si="64"/>
        <v>0</v>
      </c>
      <c r="EX67" s="3">
        <f t="shared" si="64"/>
        <v>0</v>
      </c>
      <c r="EY67" s="3">
        <f t="shared" si="64"/>
        <v>0</v>
      </c>
      <c r="EZ67" s="3">
        <f t="shared" si="64"/>
        <v>0</v>
      </c>
      <c r="FA67" s="3">
        <f t="shared" si="64"/>
        <v>0</v>
      </c>
      <c r="FB67" s="3">
        <f t="shared" si="64"/>
        <v>0</v>
      </c>
      <c r="FC67" s="3">
        <f t="shared" si="64"/>
        <v>0</v>
      </c>
      <c r="FD67" s="3">
        <f t="shared" si="64"/>
        <v>0</v>
      </c>
      <c r="FE67" s="3">
        <f t="shared" si="64"/>
        <v>0</v>
      </c>
      <c r="FF67" s="3">
        <f t="shared" si="64"/>
        <v>0</v>
      </c>
      <c r="FG67" s="3">
        <f t="shared" si="64"/>
        <v>0</v>
      </c>
      <c r="FH67" s="3">
        <f t="shared" si="64"/>
        <v>0</v>
      </c>
      <c r="FI67" s="3">
        <f t="shared" si="64"/>
        <v>0</v>
      </c>
      <c r="FJ67" s="3">
        <f t="shared" si="64"/>
        <v>0</v>
      </c>
      <c r="FK67" s="3">
        <f t="shared" si="64"/>
        <v>0</v>
      </c>
      <c r="FL67" s="3">
        <f t="shared" si="64"/>
        <v>0</v>
      </c>
      <c r="FM67" s="3">
        <f t="shared" si="64"/>
        <v>0</v>
      </c>
      <c r="FN67" s="3">
        <f t="shared" si="64"/>
        <v>0</v>
      </c>
      <c r="FO67" s="3">
        <f t="shared" si="64"/>
        <v>0</v>
      </c>
      <c r="FP67" s="3">
        <f t="shared" si="64"/>
        <v>0</v>
      </c>
      <c r="FQ67" s="3">
        <f t="shared" si="64"/>
        <v>0</v>
      </c>
      <c r="FR67" s="3">
        <f t="shared" si="64"/>
        <v>0</v>
      </c>
      <c r="FS67" s="3">
        <f t="shared" ref="FS67:GX67" si="65">FS88</f>
        <v>0</v>
      </c>
      <c r="FT67" s="3">
        <f t="shared" si="65"/>
        <v>0</v>
      </c>
      <c r="FU67" s="3">
        <f t="shared" si="65"/>
        <v>0</v>
      </c>
      <c r="FV67" s="3">
        <f t="shared" si="65"/>
        <v>0</v>
      </c>
      <c r="FW67" s="3">
        <f t="shared" si="65"/>
        <v>0</v>
      </c>
      <c r="FX67" s="3">
        <f t="shared" si="65"/>
        <v>0</v>
      </c>
      <c r="FY67" s="3">
        <f t="shared" si="65"/>
        <v>0</v>
      </c>
      <c r="FZ67" s="3">
        <f t="shared" si="65"/>
        <v>0</v>
      </c>
      <c r="GA67" s="3">
        <f t="shared" si="65"/>
        <v>0</v>
      </c>
      <c r="GB67" s="3">
        <f t="shared" si="65"/>
        <v>0</v>
      </c>
      <c r="GC67" s="3">
        <f t="shared" si="65"/>
        <v>0</v>
      </c>
      <c r="GD67" s="3">
        <f t="shared" si="65"/>
        <v>0</v>
      </c>
      <c r="GE67" s="3">
        <f t="shared" si="65"/>
        <v>0</v>
      </c>
      <c r="GF67" s="3">
        <f t="shared" si="65"/>
        <v>0</v>
      </c>
      <c r="GG67" s="3">
        <f t="shared" si="65"/>
        <v>0</v>
      </c>
      <c r="GH67" s="3">
        <f t="shared" si="65"/>
        <v>0</v>
      </c>
      <c r="GI67" s="3">
        <f t="shared" si="65"/>
        <v>0</v>
      </c>
      <c r="GJ67" s="3">
        <f t="shared" si="65"/>
        <v>0</v>
      </c>
      <c r="GK67" s="3">
        <f t="shared" si="65"/>
        <v>0</v>
      </c>
      <c r="GL67" s="3">
        <f t="shared" si="65"/>
        <v>0</v>
      </c>
      <c r="GM67" s="3">
        <f t="shared" si="65"/>
        <v>0</v>
      </c>
      <c r="GN67" s="3">
        <f t="shared" si="65"/>
        <v>0</v>
      </c>
      <c r="GO67" s="3">
        <f t="shared" si="65"/>
        <v>0</v>
      </c>
      <c r="GP67" s="3">
        <f t="shared" si="65"/>
        <v>0</v>
      </c>
      <c r="GQ67" s="3">
        <f t="shared" si="65"/>
        <v>0</v>
      </c>
      <c r="GR67" s="3">
        <f t="shared" si="65"/>
        <v>0</v>
      </c>
      <c r="GS67" s="3">
        <f t="shared" si="65"/>
        <v>0</v>
      </c>
      <c r="GT67" s="3">
        <f t="shared" si="65"/>
        <v>0</v>
      </c>
      <c r="GU67" s="3">
        <f t="shared" si="65"/>
        <v>0</v>
      </c>
      <c r="GV67" s="3">
        <f t="shared" si="65"/>
        <v>0</v>
      </c>
      <c r="GW67" s="3">
        <f t="shared" si="65"/>
        <v>0</v>
      </c>
      <c r="GX67" s="3">
        <f t="shared" si="65"/>
        <v>0</v>
      </c>
    </row>
    <row r="69" spans="1:245" x14ac:dyDescent="0.2">
      <c r="A69">
        <v>17</v>
      </c>
      <c r="B69">
        <v>1</v>
      </c>
      <c r="C69">
        <f>ROW(SmtRes!A17)</f>
        <v>17</v>
      </c>
      <c r="D69">
        <f>ROW(EtalonRes!A16)</f>
        <v>16</v>
      </c>
      <c r="E69" t="s">
        <v>100</v>
      </c>
      <c r="F69" t="s">
        <v>16</v>
      </c>
      <c r="G69" t="s">
        <v>17</v>
      </c>
      <c r="H69" t="s">
        <v>18</v>
      </c>
      <c r="I69">
        <f>ROUND((130*0.3)/100,9)</f>
        <v>0.39</v>
      </c>
      <c r="J69">
        <v>0</v>
      </c>
      <c r="K69">
        <f>ROUND((130*0.3)/100,9)</f>
        <v>0.39</v>
      </c>
      <c r="O69">
        <f t="shared" ref="O69:O86" si="66">ROUND(CP69,2)</f>
        <v>15162.35</v>
      </c>
      <c r="P69">
        <f t="shared" ref="P69:P86" si="67">ROUND(CQ69*I69,2)</f>
        <v>37.4</v>
      </c>
      <c r="Q69">
        <f t="shared" ref="Q69:Q86" si="68">ROUND(CR69*I69,2)</f>
        <v>0</v>
      </c>
      <c r="R69">
        <f t="shared" ref="R69:R86" si="69">ROUND(CS69*I69,2)</f>
        <v>0</v>
      </c>
      <c r="S69">
        <f t="shared" ref="S69:S86" si="70">ROUND(CT69*I69,2)</f>
        <v>15124.95</v>
      </c>
      <c r="T69">
        <f t="shared" ref="T69:T86" si="71">ROUND(CU69*I69,2)</f>
        <v>0</v>
      </c>
      <c r="U69">
        <f t="shared" ref="U69:U86" si="72">CV69*I69</f>
        <v>33.996300000000005</v>
      </c>
      <c r="V69">
        <f t="shared" ref="V69:V86" si="73">CW69*I69</f>
        <v>0</v>
      </c>
      <c r="W69">
        <f t="shared" ref="W69:W86" si="74">ROUND(CX69*I69,2)</f>
        <v>0</v>
      </c>
      <c r="X69">
        <f t="shared" ref="X69:X86" si="75">ROUND(CY69,2)</f>
        <v>10587.47</v>
      </c>
      <c r="Y69">
        <f t="shared" ref="Y69:Y86" si="76">ROUND(CZ69,2)</f>
        <v>1512.5</v>
      </c>
      <c r="AA69">
        <v>75705739</v>
      </c>
      <c r="AB69">
        <f t="shared" ref="AB69:AB86" si="77">ROUND((AC69+AD69+AF69),6)</f>
        <v>38877.839999999997</v>
      </c>
      <c r="AC69">
        <f t="shared" ref="AC69:AC86" si="78">ROUND((ES69),6)</f>
        <v>95.91</v>
      </c>
      <c r="AD69">
        <f t="shared" ref="AD69:AD86" si="79">ROUND((((ET69)-(EU69))+AE69),6)</f>
        <v>0</v>
      </c>
      <c r="AE69">
        <f t="shared" ref="AE69:AE86" si="80">ROUND((EU69),6)</f>
        <v>0</v>
      </c>
      <c r="AF69">
        <f t="shared" ref="AF69:AF86" si="81">ROUND((EV69),6)</f>
        <v>38781.93</v>
      </c>
      <c r="AG69">
        <f t="shared" ref="AG69:AG86" si="82">ROUND((AP69),6)</f>
        <v>0</v>
      </c>
      <c r="AH69">
        <f t="shared" ref="AH69:AH86" si="83">(EW69)</f>
        <v>87.17</v>
      </c>
      <c r="AI69">
        <f t="shared" ref="AI69:AI86" si="84">(EX69)</f>
        <v>0</v>
      </c>
      <c r="AJ69">
        <f t="shared" ref="AJ69:AJ86" si="85">(AS69)</f>
        <v>0</v>
      </c>
      <c r="AK69">
        <v>38877.839999999997</v>
      </c>
      <c r="AL69">
        <v>95.91</v>
      </c>
      <c r="AM69">
        <v>0</v>
      </c>
      <c r="AN69">
        <v>0</v>
      </c>
      <c r="AO69">
        <v>38781.93</v>
      </c>
      <c r="AP69">
        <v>0</v>
      </c>
      <c r="AQ69">
        <v>87.17</v>
      </c>
      <c r="AR69">
        <v>0</v>
      </c>
      <c r="AS69">
        <v>0</v>
      </c>
      <c r="AT69">
        <v>70</v>
      </c>
      <c r="AU69">
        <v>10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4</v>
      </c>
      <c r="BJ69" t="s">
        <v>19</v>
      </c>
      <c r="BM69">
        <v>0</v>
      </c>
      <c r="BN69">
        <v>75371441</v>
      </c>
      <c r="BO69" t="s">
        <v>3</v>
      </c>
      <c r="BP69">
        <v>0</v>
      </c>
      <c r="BQ69">
        <v>1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70</v>
      </c>
      <c r="CA69">
        <v>10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 t="shared" ref="CP69:CP86" si="86">(P69+Q69+S69)</f>
        <v>15162.35</v>
      </c>
      <c r="CQ69">
        <f t="shared" ref="CQ69:CQ86" si="87">(AC69*BC69*AW69)</f>
        <v>95.91</v>
      </c>
      <c r="CR69">
        <f t="shared" ref="CR69:CR86" si="88">((((ET69)*BB69-(EU69)*BS69)+AE69*BS69)*AV69)</f>
        <v>0</v>
      </c>
      <c r="CS69">
        <f t="shared" ref="CS69:CS86" si="89">(AE69*BS69*AV69)</f>
        <v>0</v>
      </c>
      <c r="CT69">
        <f t="shared" ref="CT69:CT86" si="90">(AF69*BA69*AV69)</f>
        <v>38781.93</v>
      </c>
      <c r="CU69">
        <f t="shared" ref="CU69:CU86" si="91">AG69</f>
        <v>0</v>
      </c>
      <c r="CV69">
        <f t="shared" ref="CV69:CV86" si="92">(AH69*AV69)</f>
        <v>87.17</v>
      </c>
      <c r="CW69">
        <f t="shared" ref="CW69:CW86" si="93">AI69</f>
        <v>0</v>
      </c>
      <c r="CX69">
        <f t="shared" ref="CX69:CX86" si="94">AJ69</f>
        <v>0</v>
      </c>
      <c r="CY69">
        <f t="shared" ref="CY69:CY86" si="95">((S69*BZ69)/100)</f>
        <v>10587.465</v>
      </c>
      <c r="CZ69">
        <f t="shared" ref="CZ69:CZ86" si="96">((S69*CA69)/100)</f>
        <v>1512.4949999999999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1005</v>
      </c>
      <c r="DV69" t="s">
        <v>18</v>
      </c>
      <c r="DW69" t="s">
        <v>18</v>
      </c>
      <c r="DX69">
        <v>100</v>
      </c>
      <c r="DZ69" t="s">
        <v>3</v>
      </c>
      <c r="EA69" t="s">
        <v>3</v>
      </c>
      <c r="EB69" t="s">
        <v>3</v>
      </c>
      <c r="EC69" t="s">
        <v>3</v>
      </c>
      <c r="EE69">
        <v>75371444</v>
      </c>
      <c r="EF69">
        <v>1</v>
      </c>
      <c r="EG69" t="s">
        <v>20</v>
      </c>
      <c r="EH69">
        <v>0</v>
      </c>
      <c r="EI69" t="s">
        <v>3</v>
      </c>
      <c r="EJ69">
        <v>4</v>
      </c>
      <c r="EK69">
        <v>0</v>
      </c>
      <c r="EL69" t="s">
        <v>21</v>
      </c>
      <c r="EM69" t="s">
        <v>22</v>
      </c>
      <c r="EO69" t="s">
        <v>3</v>
      </c>
      <c r="EQ69">
        <v>0</v>
      </c>
      <c r="ER69">
        <v>38877.839999999997</v>
      </c>
      <c r="ES69">
        <v>95.91</v>
      </c>
      <c r="ET69">
        <v>0</v>
      </c>
      <c r="EU69">
        <v>0</v>
      </c>
      <c r="EV69">
        <v>38781.93</v>
      </c>
      <c r="EW69">
        <v>87.17</v>
      </c>
      <c r="EX69">
        <v>0</v>
      </c>
      <c r="EY69">
        <v>0</v>
      </c>
      <c r="FQ69">
        <v>0</v>
      </c>
      <c r="FR69">
        <f t="shared" ref="FR69:FR86" si="97">ROUND(IF(BI69=3,GM69,0),2)</f>
        <v>0</v>
      </c>
      <c r="FS69">
        <v>0</v>
      </c>
      <c r="FX69">
        <v>70</v>
      </c>
      <c r="FY69">
        <v>10</v>
      </c>
      <c r="GA69" t="s">
        <v>3</v>
      </c>
      <c r="GD69">
        <v>0</v>
      </c>
      <c r="GF69">
        <v>-928982691</v>
      </c>
      <c r="GG69">
        <v>2</v>
      </c>
      <c r="GH69">
        <v>1</v>
      </c>
      <c r="GI69">
        <v>-2</v>
      </c>
      <c r="GJ69">
        <v>0</v>
      </c>
      <c r="GK69">
        <f>ROUND(R69*(R12)/100,2)</f>
        <v>0</v>
      </c>
      <c r="GL69">
        <f t="shared" ref="GL69:GL86" si="98">ROUND(IF(AND(BH69=3,BI69=3,FS69&lt;&gt;0),P69,0),2)</f>
        <v>0</v>
      </c>
      <c r="GM69">
        <f t="shared" ref="GM69:GM86" si="99">ROUND(O69+X69+Y69+GK69,2)+GX69</f>
        <v>27262.32</v>
      </c>
      <c r="GN69">
        <f t="shared" ref="GN69:GN86" si="100">IF(OR(BI69=0,BI69=1),GM69-GX69,0)</f>
        <v>0</v>
      </c>
      <c r="GO69">
        <f t="shared" ref="GO69:GO86" si="101">IF(BI69=2,GM69-GX69,0)</f>
        <v>0</v>
      </c>
      <c r="GP69">
        <f t="shared" ref="GP69:GP86" si="102">IF(BI69=4,GM69-GX69,0)</f>
        <v>27262.32</v>
      </c>
      <c r="GR69">
        <v>0</v>
      </c>
      <c r="GS69">
        <v>0</v>
      </c>
      <c r="GT69">
        <v>0</v>
      </c>
      <c r="GU69" t="s">
        <v>3</v>
      </c>
      <c r="GV69">
        <f t="shared" ref="GV69:GV86" si="103">ROUND((GT69),6)</f>
        <v>0</v>
      </c>
      <c r="GW69">
        <v>1</v>
      </c>
      <c r="GX69">
        <f t="shared" ref="GX69:GX86" si="104">ROUND(HC69*I69,2)</f>
        <v>0</v>
      </c>
      <c r="HA69">
        <v>0</v>
      </c>
      <c r="HB69">
        <v>0</v>
      </c>
      <c r="HC69">
        <f t="shared" ref="HC69:HC86" si="105">GV69*GW69</f>
        <v>0</v>
      </c>
      <c r="HE69" t="s">
        <v>3</v>
      </c>
      <c r="HF69" t="s">
        <v>3</v>
      </c>
      <c r="HM69" t="s">
        <v>3</v>
      </c>
      <c r="HN69" t="s">
        <v>3</v>
      </c>
      <c r="HO69" t="s">
        <v>3</v>
      </c>
      <c r="HP69" t="s">
        <v>3</v>
      </c>
      <c r="HQ69" t="s">
        <v>3</v>
      </c>
      <c r="IK69">
        <v>0</v>
      </c>
    </row>
    <row r="70" spans="1:245" x14ac:dyDescent="0.2">
      <c r="A70">
        <v>17</v>
      </c>
      <c r="B70">
        <v>1</v>
      </c>
      <c r="E70" t="s">
        <v>101</v>
      </c>
      <c r="F70" t="s">
        <v>24</v>
      </c>
      <c r="G70" t="s">
        <v>25</v>
      </c>
      <c r="H70" t="s">
        <v>26</v>
      </c>
      <c r="I70">
        <v>101.2</v>
      </c>
      <c r="J70">
        <v>0</v>
      </c>
      <c r="K70">
        <v>101.2</v>
      </c>
      <c r="O70">
        <f t="shared" si="66"/>
        <v>578.86</v>
      </c>
      <c r="P70">
        <f t="shared" si="67"/>
        <v>0</v>
      </c>
      <c r="Q70">
        <f t="shared" si="68"/>
        <v>578.86</v>
      </c>
      <c r="R70">
        <f t="shared" si="69"/>
        <v>414.92</v>
      </c>
      <c r="S70">
        <f t="shared" si="70"/>
        <v>0</v>
      </c>
      <c r="T70">
        <f t="shared" si="71"/>
        <v>0</v>
      </c>
      <c r="U70">
        <f t="shared" si="72"/>
        <v>0</v>
      </c>
      <c r="V70">
        <f t="shared" si="73"/>
        <v>0</v>
      </c>
      <c r="W70">
        <f t="shared" si="74"/>
        <v>0</v>
      </c>
      <c r="X70">
        <f t="shared" si="75"/>
        <v>0</v>
      </c>
      <c r="Y70">
        <f t="shared" si="76"/>
        <v>0</v>
      </c>
      <c r="AA70">
        <v>75705739</v>
      </c>
      <c r="AB70">
        <f t="shared" si="77"/>
        <v>5.72</v>
      </c>
      <c r="AC70">
        <f t="shared" si="78"/>
        <v>0</v>
      </c>
      <c r="AD70">
        <f t="shared" si="79"/>
        <v>5.72</v>
      </c>
      <c r="AE70">
        <f t="shared" si="80"/>
        <v>4.0999999999999996</v>
      </c>
      <c r="AF70">
        <f t="shared" si="81"/>
        <v>0</v>
      </c>
      <c r="AG70">
        <f t="shared" si="82"/>
        <v>0</v>
      </c>
      <c r="AH70">
        <f t="shared" si="83"/>
        <v>0</v>
      </c>
      <c r="AI70">
        <f t="shared" si="84"/>
        <v>0</v>
      </c>
      <c r="AJ70">
        <f t="shared" si="85"/>
        <v>0</v>
      </c>
      <c r="AK70">
        <v>5.72</v>
      </c>
      <c r="AL70">
        <v>0</v>
      </c>
      <c r="AM70">
        <v>5.72</v>
      </c>
      <c r="AN70">
        <v>4.0999999999999996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70</v>
      </c>
      <c r="AU70">
        <v>10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2</v>
      </c>
      <c r="BI70">
        <v>4</v>
      </c>
      <c r="BJ70" t="s">
        <v>27</v>
      </c>
      <c r="BM70">
        <v>0</v>
      </c>
      <c r="BN70">
        <v>75371441</v>
      </c>
      <c r="BO70" t="s">
        <v>3</v>
      </c>
      <c r="BP70">
        <v>0</v>
      </c>
      <c r="BQ70">
        <v>1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70</v>
      </c>
      <c r="CA70">
        <v>10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si="86"/>
        <v>578.86</v>
      </c>
      <c r="CQ70">
        <f t="shared" si="87"/>
        <v>0</v>
      </c>
      <c r="CR70">
        <f t="shared" si="88"/>
        <v>5.72</v>
      </c>
      <c r="CS70">
        <f t="shared" si="89"/>
        <v>4.0999999999999996</v>
      </c>
      <c r="CT70">
        <f t="shared" si="90"/>
        <v>0</v>
      </c>
      <c r="CU70">
        <f t="shared" si="91"/>
        <v>0</v>
      </c>
      <c r="CV70">
        <f t="shared" si="92"/>
        <v>0</v>
      </c>
      <c r="CW70">
        <f t="shared" si="93"/>
        <v>0</v>
      </c>
      <c r="CX70">
        <f t="shared" si="94"/>
        <v>0</v>
      </c>
      <c r="CY70">
        <f t="shared" si="95"/>
        <v>0</v>
      </c>
      <c r="CZ70">
        <f t="shared" si="96"/>
        <v>0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1011</v>
      </c>
      <c r="DV70" t="s">
        <v>26</v>
      </c>
      <c r="DW70" t="s">
        <v>26</v>
      </c>
      <c r="DX70">
        <v>1</v>
      </c>
      <c r="DZ70" t="s">
        <v>3</v>
      </c>
      <c r="EA70" t="s">
        <v>3</v>
      </c>
      <c r="EB70" t="s">
        <v>3</v>
      </c>
      <c r="EC70" t="s">
        <v>3</v>
      </c>
      <c r="EE70">
        <v>75371444</v>
      </c>
      <c r="EF70">
        <v>1</v>
      </c>
      <c r="EG70" t="s">
        <v>20</v>
      </c>
      <c r="EH70">
        <v>0</v>
      </c>
      <c r="EI70" t="s">
        <v>3</v>
      </c>
      <c r="EJ70">
        <v>4</v>
      </c>
      <c r="EK70">
        <v>0</v>
      </c>
      <c r="EL70" t="s">
        <v>21</v>
      </c>
      <c r="EM70" t="s">
        <v>22</v>
      </c>
      <c r="EO70" t="s">
        <v>3</v>
      </c>
      <c r="EQ70">
        <v>0</v>
      </c>
      <c r="ER70">
        <v>5.72</v>
      </c>
      <c r="ES70">
        <v>0</v>
      </c>
      <c r="ET70">
        <v>5.72</v>
      </c>
      <c r="EU70">
        <v>4.0999999999999996</v>
      </c>
      <c r="EV70">
        <v>0</v>
      </c>
      <c r="EW70">
        <v>0</v>
      </c>
      <c r="EX70">
        <v>0</v>
      </c>
      <c r="EY70">
        <v>0</v>
      </c>
      <c r="FQ70">
        <v>0</v>
      </c>
      <c r="FR70">
        <f t="shared" si="97"/>
        <v>0</v>
      </c>
      <c r="FS70">
        <v>0</v>
      </c>
      <c r="FX70">
        <v>70</v>
      </c>
      <c r="FY70">
        <v>10</v>
      </c>
      <c r="GA70" t="s">
        <v>3</v>
      </c>
      <c r="GD70">
        <v>0</v>
      </c>
      <c r="GF70">
        <v>1735689810</v>
      </c>
      <c r="GG70">
        <v>2</v>
      </c>
      <c r="GH70">
        <v>1</v>
      </c>
      <c r="GI70">
        <v>-2</v>
      </c>
      <c r="GJ70">
        <v>0</v>
      </c>
      <c r="GK70">
        <f>ROUND(R70*(R12)/100,2)</f>
        <v>448.11</v>
      </c>
      <c r="GL70">
        <f t="shared" si="98"/>
        <v>0</v>
      </c>
      <c r="GM70">
        <f t="shared" si="99"/>
        <v>1026.97</v>
      </c>
      <c r="GN70">
        <f t="shared" si="100"/>
        <v>0</v>
      </c>
      <c r="GO70">
        <f t="shared" si="101"/>
        <v>0</v>
      </c>
      <c r="GP70">
        <f t="shared" si="102"/>
        <v>1026.97</v>
      </c>
      <c r="GR70">
        <v>0</v>
      </c>
      <c r="GS70">
        <v>0</v>
      </c>
      <c r="GT70">
        <v>0</v>
      </c>
      <c r="GU70" t="s">
        <v>3</v>
      </c>
      <c r="GV70">
        <f t="shared" si="103"/>
        <v>0</v>
      </c>
      <c r="GW70">
        <v>1</v>
      </c>
      <c r="GX70">
        <f t="shared" si="104"/>
        <v>0</v>
      </c>
      <c r="HA70">
        <v>0</v>
      </c>
      <c r="HB70">
        <v>0</v>
      </c>
      <c r="HC70">
        <f t="shared" si="105"/>
        <v>0</v>
      </c>
      <c r="HE70" t="s">
        <v>3</v>
      </c>
      <c r="HF70" t="s">
        <v>3</v>
      </c>
      <c r="HM70" t="s">
        <v>3</v>
      </c>
      <c r="HN70" t="s">
        <v>3</v>
      </c>
      <c r="HO70" t="s">
        <v>3</v>
      </c>
      <c r="HP70" t="s">
        <v>3</v>
      </c>
      <c r="HQ70" t="s">
        <v>3</v>
      </c>
      <c r="IK70">
        <v>0</v>
      </c>
    </row>
    <row r="71" spans="1:245" x14ac:dyDescent="0.2">
      <c r="A71">
        <v>17</v>
      </c>
      <c r="B71">
        <v>1</v>
      </c>
      <c r="C71">
        <f>ROW(SmtRes!A25)</f>
        <v>25</v>
      </c>
      <c r="D71">
        <f>ROW(EtalonRes!A23)</f>
        <v>23</v>
      </c>
      <c r="E71" t="s">
        <v>102</v>
      </c>
      <c r="F71" t="s">
        <v>29</v>
      </c>
      <c r="G71" t="s">
        <v>30</v>
      </c>
      <c r="H71" t="s">
        <v>18</v>
      </c>
      <c r="I71">
        <f>ROUND(290/100,9)</f>
        <v>2.9</v>
      </c>
      <c r="J71">
        <v>0</v>
      </c>
      <c r="K71">
        <f>ROUND(290/100,9)</f>
        <v>2.9</v>
      </c>
      <c r="O71">
        <f t="shared" si="66"/>
        <v>53721.69</v>
      </c>
      <c r="P71">
        <f t="shared" si="67"/>
        <v>21048.58</v>
      </c>
      <c r="Q71">
        <f t="shared" si="68"/>
        <v>0</v>
      </c>
      <c r="R71">
        <f t="shared" si="69"/>
        <v>0</v>
      </c>
      <c r="S71">
        <f t="shared" si="70"/>
        <v>32673.11</v>
      </c>
      <c r="T71">
        <f t="shared" si="71"/>
        <v>0</v>
      </c>
      <c r="U71">
        <f t="shared" si="72"/>
        <v>71.10799999999999</v>
      </c>
      <c r="V71">
        <f t="shared" si="73"/>
        <v>0</v>
      </c>
      <c r="W71">
        <f t="shared" si="74"/>
        <v>0</v>
      </c>
      <c r="X71">
        <f t="shared" si="75"/>
        <v>22871.18</v>
      </c>
      <c r="Y71">
        <f t="shared" si="76"/>
        <v>3267.31</v>
      </c>
      <c r="AA71">
        <v>75705739</v>
      </c>
      <c r="AB71">
        <f t="shared" si="77"/>
        <v>18524.72</v>
      </c>
      <c r="AC71">
        <f t="shared" si="78"/>
        <v>7258.13</v>
      </c>
      <c r="AD71">
        <f t="shared" si="79"/>
        <v>0</v>
      </c>
      <c r="AE71">
        <f t="shared" si="80"/>
        <v>0</v>
      </c>
      <c r="AF71">
        <f t="shared" si="81"/>
        <v>11266.59</v>
      </c>
      <c r="AG71">
        <f t="shared" si="82"/>
        <v>0</v>
      </c>
      <c r="AH71">
        <f t="shared" si="83"/>
        <v>24.52</v>
      </c>
      <c r="AI71">
        <f t="shared" si="84"/>
        <v>0</v>
      </c>
      <c r="AJ71">
        <f t="shared" si="85"/>
        <v>0</v>
      </c>
      <c r="AK71">
        <v>18524.72</v>
      </c>
      <c r="AL71">
        <v>7258.13</v>
      </c>
      <c r="AM71">
        <v>0</v>
      </c>
      <c r="AN71">
        <v>0</v>
      </c>
      <c r="AO71">
        <v>11266.59</v>
      </c>
      <c r="AP71">
        <v>0</v>
      </c>
      <c r="AQ71">
        <v>24.52</v>
      </c>
      <c r="AR71">
        <v>0</v>
      </c>
      <c r="AS71">
        <v>0</v>
      </c>
      <c r="AT71">
        <v>70</v>
      </c>
      <c r="AU71">
        <v>10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4</v>
      </c>
      <c r="BJ71" t="s">
        <v>31</v>
      </c>
      <c r="BM71">
        <v>0</v>
      </c>
      <c r="BN71">
        <v>75371441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70</v>
      </c>
      <c r="CA71">
        <v>10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si="86"/>
        <v>53721.69</v>
      </c>
      <c r="CQ71">
        <f t="shared" si="87"/>
        <v>7258.13</v>
      </c>
      <c r="CR71">
        <f t="shared" si="88"/>
        <v>0</v>
      </c>
      <c r="CS71">
        <f t="shared" si="89"/>
        <v>0</v>
      </c>
      <c r="CT71">
        <f t="shared" si="90"/>
        <v>11266.59</v>
      </c>
      <c r="CU71">
        <f t="shared" si="91"/>
        <v>0</v>
      </c>
      <c r="CV71">
        <f t="shared" si="92"/>
        <v>24.52</v>
      </c>
      <c r="CW71">
        <f t="shared" si="93"/>
        <v>0</v>
      </c>
      <c r="CX71">
        <f t="shared" si="94"/>
        <v>0</v>
      </c>
      <c r="CY71">
        <f t="shared" si="95"/>
        <v>22871.177000000003</v>
      </c>
      <c r="CZ71">
        <f t="shared" si="96"/>
        <v>3267.3109999999997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1005</v>
      </c>
      <c r="DV71" t="s">
        <v>18</v>
      </c>
      <c r="DW71" t="s">
        <v>18</v>
      </c>
      <c r="DX71">
        <v>100</v>
      </c>
      <c r="DZ71" t="s">
        <v>3</v>
      </c>
      <c r="EA71" t="s">
        <v>3</v>
      </c>
      <c r="EB71" t="s">
        <v>3</v>
      </c>
      <c r="EC71" t="s">
        <v>3</v>
      </c>
      <c r="EE71">
        <v>75371444</v>
      </c>
      <c r="EF71">
        <v>1</v>
      </c>
      <c r="EG71" t="s">
        <v>20</v>
      </c>
      <c r="EH71">
        <v>0</v>
      </c>
      <c r="EI71" t="s">
        <v>3</v>
      </c>
      <c r="EJ71">
        <v>4</v>
      </c>
      <c r="EK71">
        <v>0</v>
      </c>
      <c r="EL71" t="s">
        <v>21</v>
      </c>
      <c r="EM71" t="s">
        <v>22</v>
      </c>
      <c r="EO71" t="s">
        <v>3</v>
      </c>
      <c r="EQ71">
        <v>0</v>
      </c>
      <c r="ER71">
        <v>18524.72</v>
      </c>
      <c r="ES71">
        <v>7258.13</v>
      </c>
      <c r="ET71">
        <v>0</v>
      </c>
      <c r="EU71">
        <v>0</v>
      </c>
      <c r="EV71">
        <v>11266.59</v>
      </c>
      <c r="EW71">
        <v>24.52</v>
      </c>
      <c r="EX71">
        <v>0</v>
      </c>
      <c r="EY71">
        <v>0</v>
      </c>
      <c r="FQ71">
        <v>0</v>
      </c>
      <c r="FR71">
        <f t="shared" si="97"/>
        <v>0</v>
      </c>
      <c r="FS71">
        <v>0</v>
      </c>
      <c r="FX71">
        <v>70</v>
      </c>
      <c r="FY71">
        <v>10</v>
      </c>
      <c r="GA71" t="s">
        <v>3</v>
      </c>
      <c r="GD71">
        <v>0</v>
      </c>
      <c r="GF71">
        <v>-2010515144</v>
      </c>
      <c r="GG71">
        <v>2</v>
      </c>
      <c r="GH71">
        <v>1</v>
      </c>
      <c r="GI71">
        <v>-2</v>
      </c>
      <c r="GJ71">
        <v>0</v>
      </c>
      <c r="GK71">
        <f>ROUND(R71*(R12)/100,2)</f>
        <v>0</v>
      </c>
      <c r="GL71">
        <f t="shared" si="98"/>
        <v>0</v>
      </c>
      <c r="GM71">
        <f t="shared" si="99"/>
        <v>79860.179999999993</v>
      </c>
      <c r="GN71">
        <f t="shared" si="100"/>
        <v>0</v>
      </c>
      <c r="GO71">
        <f t="shared" si="101"/>
        <v>0</v>
      </c>
      <c r="GP71">
        <f t="shared" si="102"/>
        <v>79860.179999999993</v>
      </c>
      <c r="GR71">
        <v>0</v>
      </c>
      <c r="GS71">
        <v>0</v>
      </c>
      <c r="GT71">
        <v>0</v>
      </c>
      <c r="GU71" t="s">
        <v>3</v>
      </c>
      <c r="GV71">
        <f t="shared" si="103"/>
        <v>0</v>
      </c>
      <c r="GW71">
        <v>1</v>
      </c>
      <c r="GX71">
        <f t="shared" si="104"/>
        <v>0</v>
      </c>
      <c r="HA71">
        <v>0</v>
      </c>
      <c r="HB71">
        <v>0</v>
      </c>
      <c r="HC71">
        <f t="shared" si="105"/>
        <v>0</v>
      </c>
      <c r="HE71" t="s">
        <v>3</v>
      </c>
      <c r="HF71" t="s">
        <v>3</v>
      </c>
      <c r="HM71" t="s">
        <v>3</v>
      </c>
      <c r="HN71" t="s">
        <v>3</v>
      </c>
      <c r="HO71" t="s">
        <v>3</v>
      </c>
      <c r="HP71" t="s">
        <v>3</v>
      </c>
      <c r="HQ71" t="s">
        <v>3</v>
      </c>
      <c r="IK71">
        <v>0</v>
      </c>
    </row>
    <row r="72" spans="1:245" x14ac:dyDescent="0.2">
      <c r="A72">
        <v>18</v>
      </c>
      <c r="B72">
        <v>1</v>
      </c>
      <c r="C72">
        <v>23</v>
      </c>
      <c r="E72" t="s">
        <v>103</v>
      </c>
      <c r="F72" t="s">
        <v>33</v>
      </c>
      <c r="G72" t="s">
        <v>34</v>
      </c>
      <c r="H72" t="s">
        <v>35</v>
      </c>
      <c r="I72">
        <f>I71*J72</f>
        <v>4.9300000000000004E-3</v>
      </c>
      <c r="J72">
        <v>1.7000000000000001E-3</v>
      </c>
      <c r="K72">
        <v>1.6999999999999999E-3</v>
      </c>
      <c r="O72">
        <f t="shared" si="66"/>
        <v>981.03</v>
      </c>
      <c r="P72">
        <f t="shared" si="67"/>
        <v>981.03</v>
      </c>
      <c r="Q72">
        <f t="shared" si="68"/>
        <v>0</v>
      </c>
      <c r="R72">
        <f t="shared" si="69"/>
        <v>0</v>
      </c>
      <c r="S72">
        <f t="shared" si="70"/>
        <v>0</v>
      </c>
      <c r="T72">
        <f t="shared" si="71"/>
        <v>0</v>
      </c>
      <c r="U72">
        <f t="shared" si="72"/>
        <v>0</v>
      </c>
      <c r="V72">
        <f t="shared" si="73"/>
        <v>0</v>
      </c>
      <c r="W72">
        <f t="shared" si="74"/>
        <v>0</v>
      </c>
      <c r="X72">
        <f t="shared" si="75"/>
        <v>0</v>
      </c>
      <c r="Y72">
        <f t="shared" si="76"/>
        <v>0</v>
      </c>
      <c r="AA72">
        <v>75705739</v>
      </c>
      <c r="AB72">
        <f t="shared" si="77"/>
        <v>198992.34</v>
      </c>
      <c r="AC72">
        <f t="shared" si="78"/>
        <v>198992.34</v>
      </c>
      <c r="AD72">
        <f t="shared" si="79"/>
        <v>0</v>
      </c>
      <c r="AE72">
        <f t="shared" si="80"/>
        <v>0</v>
      </c>
      <c r="AF72">
        <f t="shared" si="81"/>
        <v>0</v>
      </c>
      <c r="AG72">
        <f t="shared" si="82"/>
        <v>0</v>
      </c>
      <c r="AH72">
        <f t="shared" si="83"/>
        <v>0</v>
      </c>
      <c r="AI72">
        <f t="shared" si="84"/>
        <v>0</v>
      </c>
      <c r="AJ72">
        <f t="shared" si="85"/>
        <v>0</v>
      </c>
      <c r="AK72">
        <v>198992.34</v>
      </c>
      <c r="AL72">
        <v>198992.34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70</v>
      </c>
      <c r="AU72">
        <v>10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3</v>
      </c>
      <c r="BI72">
        <v>4</v>
      </c>
      <c r="BJ72" t="s">
        <v>36</v>
      </c>
      <c r="BM72">
        <v>0</v>
      </c>
      <c r="BN72">
        <v>75371441</v>
      </c>
      <c r="BO72" t="s">
        <v>3</v>
      </c>
      <c r="BP72">
        <v>0</v>
      </c>
      <c r="BQ72">
        <v>1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70</v>
      </c>
      <c r="CA72">
        <v>10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86"/>
        <v>981.03</v>
      </c>
      <c r="CQ72">
        <f t="shared" si="87"/>
        <v>198992.34</v>
      </c>
      <c r="CR72">
        <f t="shared" si="88"/>
        <v>0</v>
      </c>
      <c r="CS72">
        <f t="shared" si="89"/>
        <v>0</v>
      </c>
      <c r="CT72">
        <f t="shared" si="90"/>
        <v>0</v>
      </c>
      <c r="CU72">
        <f t="shared" si="91"/>
        <v>0</v>
      </c>
      <c r="CV72">
        <f t="shared" si="92"/>
        <v>0</v>
      </c>
      <c r="CW72">
        <f t="shared" si="93"/>
        <v>0</v>
      </c>
      <c r="CX72">
        <f t="shared" si="94"/>
        <v>0</v>
      </c>
      <c r="CY72">
        <f t="shared" si="95"/>
        <v>0</v>
      </c>
      <c r="CZ72">
        <f t="shared" si="96"/>
        <v>0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1009</v>
      </c>
      <c r="DV72" t="s">
        <v>35</v>
      </c>
      <c r="DW72" t="s">
        <v>35</v>
      </c>
      <c r="DX72">
        <v>1000</v>
      </c>
      <c r="DZ72" t="s">
        <v>3</v>
      </c>
      <c r="EA72" t="s">
        <v>3</v>
      </c>
      <c r="EB72" t="s">
        <v>3</v>
      </c>
      <c r="EC72" t="s">
        <v>3</v>
      </c>
      <c r="EE72">
        <v>75371444</v>
      </c>
      <c r="EF72">
        <v>1</v>
      </c>
      <c r="EG72" t="s">
        <v>20</v>
      </c>
      <c r="EH72">
        <v>0</v>
      </c>
      <c r="EI72" t="s">
        <v>3</v>
      </c>
      <c r="EJ72">
        <v>4</v>
      </c>
      <c r="EK72">
        <v>0</v>
      </c>
      <c r="EL72" t="s">
        <v>21</v>
      </c>
      <c r="EM72" t="s">
        <v>22</v>
      </c>
      <c r="EO72" t="s">
        <v>3</v>
      </c>
      <c r="EQ72">
        <v>0</v>
      </c>
      <c r="ER72">
        <v>198992.34</v>
      </c>
      <c r="ES72">
        <v>198992.34</v>
      </c>
      <c r="ET72">
        <v>0</v>
      </c>
      <c r="EU72">
        <v>0</v>
      </c>
      <c r="EV72">
        <v>0</v>
      </c>
      <c r="EW72">
        <v>0</v>
      </c>
      <c r="EX72">
        <v>0</v>
      </c>
      <c r="FQ72">
        <v>0</v>
      </c>
      <c r="FR72">
        <f t="shared" si="97"/>
        <v>0</v>
      </c>
      <c r="FS72">
        <v>0</v>
      </c>
      <c r="FX72">
        <v>70</v>
      </c>
      <c r="FY72">
        <v>10</v>
      </c>
      <c r="GA72" t="s">
        <v>3</v>
      </c>
      <c r="GD72">
        <v>0</v>
      </c>
      <c r="GF72">
        <v>-27926426</v>
      </c>
      <c r="GG72">
        <v>2</v>
      </c>
      <c r="GH72">
        <v>1</v>
      </c>
      <c r="GI72">
        <v>-2</v>
      </c>
      <c r="GJ72">
        <v>0</v>
      </c>
      <c r="GK72">
        <f>ROUND(R72*(R12)/100,2)</f>
        <v>0</v>
      </c>
      <c r="GL72">
        <f t="shared" si="98"/>
        <v>0</v>
      </c>
      <c r="GM72">
        <f t="shared" si="99"/>
        <v>981.03</v>
      </c>
      <c r="GN72">
        <f t="shared" si="100"/>
        <v>0</v>
      </c>
      <c r="GO72">
        <f t="shared" si="101"/>
        <v>0</v>
      </c>
      <c r="GP72">
        <f t="shared" si="102"/>
        <v>981.03</v>
      </c>
      <c r="GR72">
        <v>0</v>
      </c>
      <c r="GS72">
        <v>0</v>
      </c>
      <c r="GT72">
        <v>0</v>
      </c>
      <c r="GU72" t="s">
        <v>3</v>
      </c>
      <c r="GV72">
        <f t="shared" si="103"/>
        <v>0</v>
      </c>
      <c r="GW72">
        <v>1</v>
      </c>
      <c r="GX72">
        <f t="shared" si="104"/>
        <v>0</v>
      </c>
      <c r="HA72">
        <v>0</v>
      </c>
      <c r="HB72">
        <v>0</v>
      </c>
      <c r="HC72">
        <f t="shared" si="105"/>
        <v>0</v>
      </c>
      <c r="HE72" t="s">
        <v>3</v>
      </c>
      <c r="HF72" t="s">
        <v>3</v>
      </c>
      <c r="HM72" t="s">
        <v>3</v>
      </c>
      <c r="HN72" t="s">
        <v>3</v>
      </c>
      <c r="HO72" t="s">
        <v>3</v>
      </c>
      <c r="HP72" t="s">
        <v>3</v>
      </c>
      <c r="HQ72" t="s">
        <v>3</v>
      </c>
      <c r="IK72">
        <v>0</v>
      </c>
    </row>
    <row r="73" spans="1:245" x14ac:dyDescent="0.2">
      <c r="A73">
        <v>17</v>
      </c>
      <c r="B73">
        <v>1</v>
      </c>
      <c r="C73">
        <f>ROW(SmtRes!A32)</f>
        <v>32</v>
      </c>
      <c r="D73">
        <f>ROW(EtalonRes!A30)</f>
        <v>30</v>
      </c>
      <c r="E73" t="s">
        <v>104</v>
      </c>
      <c r="F73" t="s">
        <v>105</v>
      </c>
      <c r="G73" t="s">
        <v>106</v>
      </c>
      <c r="H73" t="s">
        <v>18</v>
      </c>
      <c r="I73">
        <f>ROUND(165/100,9)</f>
        <v>1.65</v>
      </c>
      <c r="J73">
        <v>0</v>
      </c>
      <c r="K73">
        <f>ROUND(165/100,9)</f>
        <v>1.65</v>
      </c>
      <c r="O73">
        <f t="shared" si="66"/>
        <v>33349.19</v>
      </c>
      <c r="P73">
        <f t="shared" si="67"/>
        <v>10091.5</v>
      </c>
      <c r="Q73">
        <f t="shared" si="68"/>
        <v>0</v>
      </c>
      <c r="R73">
        <f t="shared" si="69"/>
        <v>0</v>
      </c>
      <c r="S73">
        <f t="shared" si="70"/>
        <v>23257.69</v>
      </c>
      <c r="T73">
        <f t="shared" si="71"/>
        <v>0</v>
      </c>
      <c r="U73">
        <f t="shared" si="72"/>
        <v>50.720999999999997</v>
      </c>
      <c r="V73">
        <f t="shared" si="73"/>
        <v>0</v>
      </c>
      <c r="W73">
        <f t="shared" si="74"/>
        <v>0</v>
      </c>
      <c r="X73">
        <f t="shared" si="75"/>
        <v>16280.38</v>
      </c>
      <c r="Y73">
        <f t="shared" si="76"/>
        <v>2325.77</v>
      </c>
      <c r="AA73">
        <v>75705739</v>
      </c>
      <c r="AB73">
        <f t="shared" si="77"/>
        <v>20211.63</v>
      </c>
      <c r="AC73">
        <f t="shared" si="78"/>
        <v>6116.06</v>
      </c>
      <c r="AD73">
        <f t="shared" si="79"/>
        <v>0</v>
      </c>
      <c r="AE73">
        <f t="shared" si="80"/>
        <v>0</v>
      </c>
      <c r="AF73">
        <f t="shared" si="81"/>
        <v>14095.57</v>
      </c>
      <c r="AG73">
        <f t="shared" si="82"/>
        <v>0</v>
      </c>
      <c r="AH73">
        <f t="shared" si="83"/>
        <v>30.74</v>
      </c>
      <c r="AI73">
        <f t="shared" si="84"/>
        <v>0</v>
      </c>
      <c r="AJ73">
        <f t="shared" si="85"/>
        <v>0</v>
      </c>
      <c r="AK73">
        <v>20211.63</v>
      </c>
      <c r="AL73">
        <v>6116.06</v>
      </c>
      <c r="AM73">
        <v>0</v>
      </c>
      <c r="AN73">
        <v>0</v>
      </c>
      <c r="AO73">
        <v>14095.57</v>
      </c>
      <c r="AP73">
        <v>0</v>
      </c>
      <c r="AQ73">
        <v>30.74</v>
      </c>
      <c r="AR73">
        <v>0</v>
      </c>
      <c r="AS73">
        <v>0</v>
      </c>
      <c r="AT73">
        <v>70</v>
      </c>
      <c r="AU73">
        <v>10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4</v>
      </c>
      <c r="BJ73" t="s">
        <v>107</v>
      </c>
      <c r="BM73">
        <v>0</v>
      </c>
      <c r="BN73">
        <v>75371441</v>
      </c>
      <c r="BO73" t="s">
        <v>3</v>
      </c>
      <c r="BP73">
        <v>0</v>
      </c>
      <c r="BQ73">
        <v>1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70</v>
      </c>
      <c r="CA73">
        <v>10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86"/>
        <v>33349.19</v>
      </c>
      <c r="CQ73">
        <f t="shared" si="87"/>
        <v>6116.06</v>
      </c>
      <c r="CR73">
        <f t="shared" si="88"/>
        <v>0</v>
      </c>
      <c r="CS73">
        <f t="shared" si="89"/>
        <v>0</v>
      </c>
      <c r="CT73">
        <f t="shared" si="90"/>
        <v>14095.57</v>
      </c>
      <c r="CU73">
        <f t="shared" si="91"/>
        <v>0</v>
      </c>
      <c r="CV73">
        <f t="shared" si="92"/>
        <v>30.74</v>
      </c>
      <c r="CW73">
        <f t="shared" si="93"/>
        <v>0</v>
      </c>
      <c r="CX73">
        <f t="shared" si="94"/>
        <v>0</v>
      </c>
      <c r="CY73">
        <f t="shared" si="95"/>
        <v>16280.382999999998</v>
      </c>
      <c r="CZ73">
        <f t="shared" si="96"/>
        <v>2325.7689999999998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1005</v>
      </c>
      <c r="DV73" t="s">
        <v>18</v>
      </c>
      <c r="DW73" t="s">
        <v>18</v>
      </c>
      <c r="DX73">
        <v>100</v>
      </c>
      <c r="DZ73" t="s">
        <v>3</v>
      </c>
      <c r="EA73" t="s">
        <v>3</v>
      </c>
      <c r="EB73" t="s">
        <v>3</v>
      </c>
      <c r="EC73" t="s">
        <v>3</v>
      </c>
      <c r="EE73">
        <v>75371444</v>
      </c>
      <c r="EF73">
        <v>1</v>
      </c>
      <c r="EG73" t="s">
        <v>20</v>
      </c>
      <c r="EH73">
        <v>0</v>
      </c>
      <c r="EI73" t="s">
        <v>3</v>
      </c>
      <c r="EJ73">
        <v>4</v>
      </c>
      <c r="EK73">
        <v>0</v>
      </c>
      <c r="EL73" t="s">
        <v>21</v>
      </c>
      <c r="EM73" t="s">
        <v>22</v>
      </c>
      <c r="EO73" t="s">
        <v>3</v>
      </c>
      <c r="EQ73">
        <v>0</v>
      </c>
      <c r="ER73">
        <v>20211.63</v>
      </c>
      <c r="ES73">
        <v>6116.06</v>
      </c>
      <c r="ET73">
        <v>0</v>
      </c>
      <c r="EU73">
        <v>0</v>
      </c>
      <c r="EV73">
        <v>14095.57</v>
      </c>
      <c r="EW73">
        <v>30.74</v>
      </c>
      <c r="EX73">
        <v>0</v>
      </c>
      <c r="EY73">
        <v>0</v>
      </c>
      <c r="FQ73">
        <v>0</v>
      </c>
      <c r="FR73">
        <f t="shared" si="97"/>
        <v>0</v>
      </c>
      <c r="FS73">
        <v>0</v>
      </c>
      <c r="FX73">
        <v>70</v>
      </c>
      <c r="FY73">
        <v>10</v>
      </c>
      <c r="GA73" t="s">
        <v>3</v>
      </c>
      <c r="GD73">
        <v>0</v>
      </c>
      <c r="GF73">
        <v>-1313138301</v>
      </c>
      <c r="GG73">
        <v>2</v>
      </c>
      <c r="GH73">
        <v>1</v>
      </c>
      <c r="GI73">
        <v>-2</v>
      </c>
      <c r="GJ73">
        <v>0</v>
      </c>
      <c r="GK73">
        <f>ROUND(R73*(R12)/100,2)</f>
        <v>0</v>
      </c>
      <c r="GL73">
        <f t="shared" si="98"/>
        <v>0</v>
      </c>
      <c r="GM73">
        <f t="shared" si="99"/>
        <v>51955.34</v>
      </c>
      <c r="GN73">
        <f t="shared" si="100"/>
        <v>0</v>
      </c>
      <c r="GO73">
        <f t="shared" si="101"/>
        <v>0</v>
      </c>
      <c r="GP73">
        <f t="shared" si="102"/>
        <v>51955.34</v>
      </c>
      <c r="GR73">
        <v>0</v>
      </c>
      <c r="GS73">
        <v>0</v>
      </c>
      <c r="GT73">
        <v>0</v>
      </c>
      <c r="GU73" t="s">
        <v>3</v>
      </c>
      <c r="GV73">
        <f t="shared" si="103"/>
        <v>0</v>
      </c>
      <c r="GW73">
        <v>1</v>
      </c>
      <c r="GX73">
        <f t="shared" si="104"/>
        <v>0</v>
      </c>
      <c r="HA73">
        <v>0</v>
      </c>
      <c r="HB73">
        <v>0</v>
      </c>
      <c r="HC73">
        <f t="shared" si="105"/>
        <v>0</v>
      </c>
      <c r="HE73" t="s">
        <v>3</v>
      </c>
      <c r="HF73" t="s">
        <v>3</v>
      </c>
      <c r="HM73" t="s">
        <v>3</v>
      </c>
      <c r="HN73" t="s">
        <v>3</v>
      </c>
      <c r="HO73" t="s">
        <v>3</v>
      </c>
      <c r="HP73" t="s">
        <v>3</v>
      </c>
      <c r="HQ73" t="s">
        <v>3</v>
      </c>
      <c r="IK73">
        <v>0</v>
      </c>
    </row>
    <row r="74" spans="1:245" x14ac:dyDescent="0.2">
      <c r="A74">
        <v>17</v>
      </c>
      <c r="B74">
        <v>1</v>
      </c>
      <c r="C74">
        <f>ROW(SmtRes!A34)</f>
        <v>34</v>
      </c>
      <c r="D74">
        <f>ROW(EtalonRes!A31)</f>
        <v>31</v>
      </c>
      <c r="E74" t="s">
        <v>108</v>
      </c>
      <c r="F74" t="s">
        <v>109</v>
      </c>
      <c r="G74" t="s">
        <v>110</v>
      </c>
      <c r="H74" t="s">
        <v>111</v>
      </c>
      <c r="I74">
        <f>ROUND(42/10,9)</f>
        <v>4.2</v>
      </c>
      <c r="J74">
        <v>0</v>
      </c>
      <c r="K74">
        <f>ROUND(42/10,9)</f>
        <v>4.2</v>
      </c>
      <c r="O74">
        <f t="shared" si="66"/>
        <v>30981.51</v>
      </c>
      <c r="P74">
        <f t="shared" si="67"/>
        <v>0</v>
      </c>
      <c r="Q74">
        <f t="shared" si="68"/>
        <v>0</v>
      </c>
      <c r="R74">
        <f t="shared" si="69"/>
        <v>0</v>
      </c>
      <c r="S74">
        <f t="shared" si="70"/>
        <v>30981.51</v>
      </c>
      <c r="T74">
        <f t="shared" si="71"/>
        <v>0</v>
      </c>
      <c r="U74">
        <f t="shared" si="72"/>
        <v>74.718000000000004</v>
      </c>
      <c r="V74">
        <f t="shared" si="73"/>
        <v>0</v>
      </c>
      <c r="W74">
        <f t="shared" si="74"/>
        <v>0</v>
      </c>
      <c r="X74">
        <f t="shared" si="75"/>
        <v>21687.06</v>
      </c>
      <c r="Y74">
        <f t="shared" si="76"/>
        <v>3098.15</v>
      </c>
      <c r="AA74">
        <v>75705739</v>
      </c>
      <c r="AB74">
        <f t="shared" si="77"/>
        <v>7376.55</v>
      </c>
      <c r="AC74">
        <f t="shared" si="78"/>
        <v>0</v>
      </c>
      <c r="AD74">
        <f t="shared" si="79"/>
        <v>0</v>
      </c>
      <c r="AE74">
        <f t="shared" si="80"/>
        <v>0</v>
      </c>
      <c r="AF74">
        <f t="shared" si="81"/>
        <v>7376.55</v>
      </c>
      <c r="AG74">
        <f t="shared" si="82"/>
        <v>0</v>
      </c>
      <c r="AH74">
        <f t="shared" si="83"/>
        <v>17.79</v>
      </c>
      <c r="AI74">
        <f t="shared" si="84"/>
        <v>0</v>
      </c>
      <c r="AJ74">
        <f t="shared" si="85"/>
        <v>0</v>
      </c>
      <c r="AK74">
        <v>7376.55</v>
      </c>
      <c r="AL74">
        <v>0</v>
      </c>
      <c r="AM74">
        <v>0</v>
      </c>
      <c r="AN74">
        <v>0</v>
      </c>
      <c r="AO74">
        <v>7376.55</v>
      </c>
      <c r="AP74">
        <v>0</v>
      </c>
      <c r="AQ74">
        <v>17.79</v>
      </c>
      <c r="AR74">
        <v>0</v>
      </c>
      <c r="AS74">
        <v>0</v>
      </c>
      <c r="AT74">
        <v>70</v>
      </c>
      <c r="AU74">
        <v>10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4</v>
      </c>
      <c r="BJ74" t="s">
        <v>112</v>
      </c>
      <c r="BM74">
        <v>0</v>
      </c>
      <c r="BN74">
        <v>75371441</v>
      </c>
      <c r="BO74" t="s">
        <v>3</v>
      </c>
      <c r="BP74">
        <v>0</v>
      </c>
      <c r="BQ74">
        <v>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70</v>
      </c>
      <c r="CA74">
        <v>10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86"/>
        <v>30981.51</v>
      </c>
      <c r="CQ74">
        <f t="shared" si="87"/>
        <v>0</v>
      </c>
      <c r="CR74">
        <f t="shared" si="88"/>
        <v>0</v>
      </c>
      <c r="CS74">
        <f t="shared" si="89"/>
        <v>0</v>
      </c>
      <c r="CT74">
        <f t="shared" si="90"/>
        <v>7376.55</v>
      </c>
      <c r="CU74">
        <f t="shared" si="91"/>
        <v>0</v>
      </c>
      <c r="CV74">
        <f t="shared" si="92"/>
        <v>17.79</v>
      </c>
      <c r="CW74">
        <f t="shared" si="93"/>
        <v>0</v>
      </c>
      <c r="CX74">
        <f t="shared" si="94"/>
        <v>0</v>
      </c>
      <c r="CY74">
        <f t="shared" si="95"/>
        <v>21687.056999999997</v>
      </c>
      <c r="CZ74">
        <f t="shared" si="96"/>
        <v>3098.1509999999998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1010</v>
      </c>
      <c r="DV74" t="s">
        <v>111</v>
      </c>
      <c r="DW74" t="s">
        <v>111</v>
      </c>
      <c r="DX74">
        <v>10</v>
      </c>
      <c r="DZ74" t="s">
        <v>3</v>
      </c>
      <c r="EA74" t="s">
        <v>3</v>
      </c>
      <c r="EB74" t="s">
        <v>3</v>
      </c>
      <c r="EC74" t="s">
        <v>3</v>
      </c>
      <c r="EE74">
        <v>75371444</v>
      </c>
      <c r="EF74">
        <v>1</v>
      </c>
      <c r="EG74" t="s">
        <v>20</v>
      </c>
      <c r="EH74">
        <v>0</v>
      </c>
      <c r="EI74" t="s">
        <v>3</v>
      </c>
      <c r="EJ74">
        <v>4</v>
      </c>
      <c r="EK74">
        <v>0</v>
      </c>
      <c r="EL74" t="s">
        <v>21</v>
      </c>
      <c r="EM74" t="s">
        <v>22</v>
      </c>
      <c r="EO74" t="s">
        <v>3</v>
      </c>
      <c r="EQ74">
        <v>0</v>
      </c>
      <c r="ER74">
        <v>7376.55</v>
      </c>
      <c r="ES74">
        <v>0</v>
      </c>
      <c r="ET74">
        <v>0</v>
      </c>
      <c r="EU74">
        <v>0</v>
      </c>
      <c r="EV74">
        <v>7376.55</v>
      </c>
      <c r="EW74">
        <v>17.79</v>
      </c>
      <c r="EX74">
        <v>0</v>
      </c>
      <c r="EY74">
        <v>0</v>
      </c>
      <c r="FQ74">
        <v>0</v>
      </c>
      <c r="FR74">
        <f t="shared" si="97"/>
        <v>0</v>
      </c>
      <c r="FS74">
        <v>0</v>
      </c>
      <c r="FX74">
        <v>70</v>
      </c>
      <c r="FY74">
        <v>10</v>
      </c>
      <c r="GA74" t="s">
        <v>3</v>
      </c>
      <c r="GD74">
        <v>0</v>
      </c>
      <c r="GF74">
        <v>1631853304</v>
      </c>
      <c r="GG74">
        <v>2</v>
      </c>
      <c r="GH74">
        <v>1</v>
      </c>
      <c r="GI74">
        <v>-2</v>
      </c>
      <c r="GJ74">
        <v>0</v>
      </c>
      <c r="GK74">
        <f>ROUND(R74*(R12)/100,2)</f>
        <v>0</v>
      </c>
      <c r="GL74">
        <f t="shared" si="98"/>
        <v>0</v>
      </c>
      <c r="GM74">
        <f t="shared" si="99"/>
        <v>55766.720000000001</v>
      </c>
      <c r="GN74">
        <f t="shared" si="100"/>
        <v>0</v>
      </c>
      <c r="GO74">
        <f t="shared" si="101"/>
        <v>0</v>
      </c>
      <c r="GP74">
        <f t="shared" si="102"/>
        <v>55766.720000000001</v>
      </c>
      <c r="GR74">
        <v>0</v>
      </c>
      <c r="GS74">
        <v>0</v>
      </c>
      <c r="GT74">
        <v>0</v>
      </c>
      <c r="GU74" t="s">
        <v>3</v>
      </c>
      <c r="GV74">
        <f t="shared" si="103"/>
        <v>0</v>
      </c>
      <c r="GW74">
        <v>1</v>
      </c>
      <c r="GX74">
        <f t="shared" si="104"/>
        <v>0</v>
      </c>
      <c r="HA74">
        <v>0</v>
      </c>
      <c r="HB74">
        <v>0</v>
      </c>
      <c r="HC74">
        <f t="shared" si="105"/>
        <v>0</v>
      </c>
      <c r="HE74" t="s">
        <v>3</v>
      </c>
      <c r="HF74" t="s">
        <v>3</v>
      </c>
      <c r="HM74" t="s">
        <v>3</v>
      </c>
      <c r="HN74" t="s">
        <v>3</v>
      </c>
      <c r="HO74" t="s">
        <v>3</v>
      </c>
      <c r="HP74" t="s">
        <v>3</v>
      </c>
      <c r="HQ74" t="s">
        <v>3</v>
      </c>
      <c r="IK74">
        <v>0</v>
      </c>
    </row>
    <row r="75" spans="1:245" x14ac:dyDescent="0.2">
      <c r="A75">
        <v>18</v>
      </c>
      <c r="B75">
        <v>1</v>
      </c>
      <c r="C75">
        <v>34</v>
      </c>
      <c r="E75" t="s">
        <v>113</v>
      </c>
      <c r="F75" t="s">
        <v>114</v>
      </c>
      <c r="G75" t="s">
        <v>115</v>
      </c>
      <c r="H75" t="s">
        <v>116</v>
      </c>
      <c r="I75">
        <f>I74*J75</f>
        <v>42</v>
      </c>
      <c r="J75">
        <v>10</v>
      </c>
      <c r="K75">
        <v>10</v>
      </c>
      <c r="O75">
        <f t="shared" si="66"/>
        <v>92148</v>
      </c>
      <c r="P75">
        <f t="shared" si="67"/>
        <v>92148</v>
      </c>
      <c r="Q75">
        <f t="shared" si="68"/>
        <v>0</v>
      </c>
      <c r="R75">
        <f t="shared" si="69"/>
        <v>0</v>
      </c>
      <c r="S75">
        <f t="shared" si="70"/>
        <v>0</v>
      </c>
      <c r="T75">
        <f t="shared" si="71"/>
        <v>0</v>
      </c>
      <c r="U75">
        <f t="shared" si="72"/>
        <v>0</v>
      </c>
      <c r="V75">
        <f t="shared" si="73"/>
        <v>0</v>
      </c>
      <c r="W75">
        <f t="shared" si="74"/>
        <v>0</v>
      </c>
      <c r="X75">
        <f t="shared" si="75"/>
        <v>0</v>
      </c>
      <c r="Y75">
        <f t="shared" si="76"/>
        <v>0</v>
      </c>
      <c r="AA75">
        <v>75705739</v>
      </c>
      <c r="AB75">
        <f t="shared" si="77"/>
        <v>2194</v>
      </c>
      <c r="AC75">
        <f t="shared" si="78"/>
        <v>2194</v>
      </c>
      <c r="AD75">
        <f t="shared" si="79"/>
        <v>0</v>
      </c>
      <c r="AE75">
        <f t="shared" si="80"/>
        <v>0</v>
      </c>
      <c r="AF75">
        <f t="shared" si="81"/>
        <v>0</v>
      </c>
      <c r="AG75">
        <f t="shared" si="82"/>
        <v>0</v>
      </c>
      <c r="AH75">
        <f t="shared" si="83"/>
        <v>0</v>
      </c>
      <c r="AI75">
        <f t="shared" si="84"/>
        <v>0</v>
      </c>
      <c r="AJ75">
        <f t="shared" si="85"/>
        <v>0</v>
      </c>
      <c r="AK75">
        <v>2194</v>
      </c>
      <c r="AL75">
        <v>2194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70</v>
      </c>
      <c r="AU75">
        <v>10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3</v>
      </c>
      <c r="BI75">
        <v>4</v>
      </c>
      <c r="BJ75" t="s">
        <v>117</v>
      </c>
      <c r="BM75">
        <v>0</v>
      </c>
      <c r="BN75">
        <v>75371441</v>
      </c>
      <c r="BO75" t="s">
        <v>3</v>
      </c>
      <c r="BP75">
        <v>0</v>
      </c>
      <c r="BQ75">
        <v>1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70</v>
      </c>
      <c r="CA75">
        <v>10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86"/>
        <v>92148</v>
      </c>
      <c r="CQ75">
        <f t="shared" si="87"/>
        <v>2194</v>
      </c>
      <c r="CR75">
        <f t="shared" si="88"/>
        <v>0</v>
      </c>
      <c r="CS75">
        <f t="shared" si="89"/>
        <v>0</v>
      </c>
      <c r="CT75">
        <f t="shared" si="90"/>
        <v>0</v>
      </c>
      <c r="CU75">
        <f t="shared" si="91"/>
        <v>0</v>
      </c>
      <c r="CV75">
        <f t="shared" si="92"/>
        <v>0</v>
      </c>
      <c r="CW75">
        <f t="shared" si="93"/>
        <v>0</v>
      </c>
      <c r="CX75">
        <f t="shared" si="94"/>
        <v>0</v>
      </c>
      <c r="CY75">
        <f t="shared" si="95"/>
        <v>0</v>
      </c>
      <c r="CZ75">
        <f t="shared" si="96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1010</v>
      </c>
      <c r="DV75" t="s">
        <v>116</v>
      </c>
      <c r="DW75" t="s">
        <v>116</v>
      </c>
      <c r="DX75">
        <v>1</v>
      </c>
      <c r="DZ75" t="s">
        <v>3</v>
      </c>
      <c r="EA75" t="s">
        <v>3</v>
      </c>
      <c r="EB75" t="s">
        <v>3</v>
      </c>
      <c r="EC75" t="s">
        <v>3</v>
      </c>
      <c r="EE75">
        <v>75371444</v>
      </c>
      <c r="EF75">
        <v>1</v>
      </c>
      <c r="EG75" t="s">
        <v>20</v>
      </c>
      <c r="EH75">
        <v>0</v>
      </c>
      <c r="EI75" t="s">
        <v>3</v>
      </c>
      <c r="EJ75">
        <v>4</v>
      </c>
      <c r="EK75">
        <v>0</v>
      </c>
      <c r="EL75" t="s">
        <v>21</v>
      </c>
      <c r="EM75" t="s">
        <v>22</v>
      </c>
      <c r="EO75" t="s">
        <v>3</v>
      </c>
      <c r="EQ75">
        <v>0</v>
      </c>
      <c r="ER75">
        <v>2194</v>
      </c>
      <c r="ES75">
        <v>2194</v>
      </c>
      <c r="ET75">
        <v>0</v>
      </c>
      <c r="EU75">
        <v>0</v>
      </c>
      <c r="EV75">
        <v>0</v>
      </c>
      <c r="EW75">
        <v>0</v>
      </c>
      <c r="EX75">
        <v>0</v>
      </c>
      <c r="FQ75">
        <v>0</v>
      </c>
      <c r="FR75">
        <f t="shared" si="97"/>
        <v>0</v>
      </c>
      <c r="FS75">
        <v>0</v>
      </c>
      <c r="FX75">
        <v>70</v>
      </c>
      <c r="FY75">
        <v>10</v>
      </c>
      <c r="GA75" t="s">
        <v>3</v>
      </c>
      <c r="GD75">
        <v>0</v>
      </c>
      <c r="GF75">
        <v>1349499332</v>
      </c>
      <c r="GG75">
        <v>2</v>
      </c>
      <c r="GH75">
        <v>1</v>
      </c>
      <c r="GI75">
        <v>-2</v>
      </c>
      <c r="GJ75">
        <v>0</v>
      </c>
      <c r="GK75">
        <f>ROUND(R75*(R12)/100,2)</f>
        <v>0</v>
      </c>
      <c r="GL75">
        <f t="shared" si="98"/>
        <v>0</v>
      </c>
      <c r="GM75">
        <f t="shared" si="99"/>
        <v>92148</v>
      </c>
      <c r="GN75">
        <f t="shared" si="100"/>
        <v>0</v>
      </c>
      <c r="GO75">
        <f t="shared" si="101"/>
        <v>0</v>
      </c>
      <c r="GP75">
        <f t="shared" si="102"/>
        <v>92148</v>
      </c>
      <c r="GR75">
        <v>0</v>
      </c>
      <c r="GS75">
        <v>0</v>
      </c>
      <c r="GT75">
        <v>0</v>
      </c>
      <c r="GU75" t="s">
        <v>3</v>
      </c>
      <c r="GV75">
        <f t="shared" si="103"/>
        <v>0</v>
      </c>
      <c r="GW75">
        <v>1</v>
      </c>
      <c r="GX75">
        <f t="shared" si="104"/>
        <v>0</v>
      </c>
      <c r="HA75">
        <v>0</v>
      </c>
      <c r="HB75">
        <v>0</v>
      </c>
      <c r="HC75">
        <f t="shared" si="105"/>
        <v>0</v>
      </c>
      <c r="HE75" t="s">
        <v>3</v>
      </c>
      <c r="HF75" t="s">
        <v>3</v>
      </c>
      <c r="HM75" t="s">
        <v>3</v>
      </c>
      <c r="HN75" t="s">
        <v>3</v>
      </c>
      <c r="HO75" t="s">
        <v>3</v>
      </c>
      <c r="HP75" t="s">
        <v>3</v>
      </c>
      <c r="HQ75" t="s">
        <v>3</v>
      </c>
      <c r="IK75">
        <v>0</v>
      </c>
    </row>
    <row r="76" spans="1:245" x14ac:dyDescent="0.2">
      <c r="A76">
        <v>17</v>
      </c>
      <c r="B76">
        <v>1</v>
      </c>
      <c r="C76">
        <f>ROW(SmtRes!A36)</f>
        <v>36</v>
      </c>
      <c r="D76">
        <f>ROW(EtalonRes!A33)</f>
        <v>33</v>
      </c>
      <c r="E76" t="s">
        <v>118</v>
      </c>
      <c r="F76" t="s">
        <v>119</v>
      </c>
      <c r="G76" t="s">
        <v>120</v>
      </c>
      <c r="H76" t="s">
        <v>121</v>
      </c>
      <c r="I76">
        <f>ROUND(15/100,9)</f>
        <v>0.15</v>
      </c>
      <c r="J76">
        <v>0</v>
      </c>
      <c r="K76">
        <f>ROUND(15/100,9)</f>
        <v>0.15</v>
      </c>
      <c r="O76">
        <f t="shared" si="66"/>
        <v>278.37</v>
      </c>
      <c r="P76">
        <f t="shared" si="67"/>
        <v>0</v>
      </c>
      <c r="Q76">
        <f t="shared" si="68"/>
        <v>0.54</v>
      </c>
      <c r="R76">
        <f t="shared" si="69"/>
        <v>0</v>
      </c>
      <c r="S76">
        <f t="shared" si="70"/>
        <v>277.83</v>
      </c>
      <c r="T76">
        <f t="shared" si="71"/>
        <v>0</v>
      </c>
      <c r="U76">
        <f t="shared" si="72"/>
        <v>0.54900000000000004</v>
      </c>
      <c r="V76">
        <f t="shared" si="73"/>
        <v>0</v>
      </c>
      <c r="W76">
        <f t="shared" si="74"/>
        <v>0</v>
      </c>
      <c r="X76">
        <f t="shared" si="75"/>
        <v>194.48</v>
      </c>
      <c r="Y76">
        <f t="shared" si="76"/>
        <v>27.78</v>
      </c>
      <c r="AA76">
        <v>75705739</v>
      </c>
      <c r="AB76">
        <f t="shared" si="77"/>
        <v>1855.76</v>
      </c>
      <c r="AC76">
        <f t="shared" si="78"/>
        <v>0</v>
      </c>
      <c r="AD76">
        <f t="shared" si="79"/>
        <v>3.57</v>
      </c>
      <c r="AE76">
        <f t="shared" si="80"/>
        <v>0</v>
      </c>
      <c r="AF76">
        <f t="shared" si="81"/>
        <v>1852.19</v>
      </c>
      <c r="AG76">
        <f t="shared" si="82"/>
        <v>0</v>
      </c>
      <c r="AH76">
        <f t="shared" si="83"/>
        <v>3.66</v>
      </c>
      <c r="AI76">
        <f t="shared" si="84"/>
        <v>0</v>
      </c>
      <c r="AJ76">
        <f t="shared" si="85"/>
        <v>0</v>
      </c>
      <c r="AK76">
        <v>1855.76</v>
      </c>
      <c r="AL76">
        <v>0</v>
      </c>
      <c r="AM76">
        <v>3.57</v>
      </c>
      <c r="AN76">
        <v>0</v>
      </c>
      <c r="AO76">
        <v>1852.19</v>
      </c>
      <c r="AP76">
        <v>0</v>
      </c>
      <c r="AQ76">
        <v>3.66</v>
      </c>
      <c r="AR76">
        <v>0</v>
      </c>
      <c r="AS76">
        <v>0</v>
      </c>
      <c r="AT76">
        <v>70</v>
      </c>
      <c r="AU76">
        <v>10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4</v>
      </c>
      <c r="BJ76" t="s">
        <v>122</v>
      </c>
      <c r="BM76">
        <v>0</v>
      </c>
      <c r="BN76">
        <v>75371441</v>
      </c>
      <c r="BO76" t="s">
        <v>3</v>
      </c>
      <c r="BP76">
        <v>0</v>
      </c>
      <c r="BQ76">
        <v>1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70</v>
      </c>
      <c r="CA76">
        <v>10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86"/>
        <v>278.37</v>
      </c>
      <c r="CQ76">
        <f t="shared" si="87"/>
        <v>0</v>
      </c>
      <c r="CR76">
        <f t="shared" si="88"/>
        <v>3.57</v>
      </c>
      <c r="CS76">
        <f t="shared" si="89"/>
        <v>0</v>
      </c>
      <c r="CT76">
        <f t="shared" si="90"/>
        <v>1852.19</v>
      </c>
      <c r="CU76">
        <f t="shared" si="91"/>
        <v>0</v>
      </c>
      <c r="CV76">
        <f t="shared" si="92"/>
        <v>3.66</v>
      </c>
      <c r="CW76">
        <f t="shared" si="93"/>
        <v>0</v>
      </c>
      <c r="CX76">
        <f t="shared" si="94"/>
        <v>0</v>
      </c>
      <c r="CY76">
        <f t="shared" si="95"/>
        <v>194.48099999999999</v>
      </c>
      <c r="CZ76">
        <f t="shared" si="96"/>
        <v>27.782999999999998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1003</v>
      </c>
      <c r="DV76" t="s">
        <v>121</v>
      </c>
      <c r="DW76" t="s">
        <v>121</v>
      </c>
      <c r="DX76">
        <v>100</v>
      </c>
      <c r="DZ76" t="s">
        <v>3</v>
      </c>
      <c r="EA76" t="s">
        <v>3</v>
      </c>
      <c r="EB76" t="s">
        <v>3</v>
      </c>
      <c r="EC76" t="s">
        <v>3</v>
      </c>
      <c r="EE76">
        <v>75371444</v>
      </c>
      <c r="EF76">
        <v>1</v>
      </c>
      <c r="EG76" t="s">
        <v>20</v>
      </c>
      <c r="EH76">
        <v>0</v>
      </c>
      <c r="EI76" t="s">
        <v>3</v>
      </c>
      <c r="EJ76">
        <v>4</v>
      </c>
      <c r="EK76">
        <v>0</v>
      </c>
      <c r="EL76" t="s">
        <v>21</v>
      </c>
      <c r="EM76" t="s">
        <v>22</v>
      </c>
      <c r="EO76" t="s">
        <v>3</v>
      </c>
      <c r="EQ76">
        <v>0</v>
      </c>
      <c r="ER76">
        <v>1855.76</v>
      </c>
      <c r="ES76">
        <v>0</v>
      </c>
      <c r="ET76">
        <v>3.57</v>
      </c>
      <c r="EU76">
        <v>0</v>
      </c>
      <c r="EV76">
        <v>1852.19</v>
      </c>
      <c r="EW76">
        <v>3.66</v>
      </c>
      <c r="EX76">
        <v>0</v>
      </c>
      <c r="EY76">
        <v>0</v>
      </c>
      <c r="FQ76">
        <v>0</v>
      </c>
      <c r="FR76">
        <f t="shared" si="97"/>
        <v>0</v>
      </c>
      <c r="FS76">
        <v>0</v>
      </c>
      <c r="FX76">
        <v>70</v>
      </c>
      <c r="FY76">
        <v>10</v>
      </c>
      <c r="GA76" t="s">
        <v>3</v>
      </c>
      <c r="GD76">
        <v>0</v>
      </c>
      <c r="GF76">
        <v>-1038585201</v>
      </c>
      <c r="GG76">
        <v>2</v>
      </c>
      <c r="GH76">
        <v>1</v>
      </c>
      <c r="GI76">
        <v>-2</v>
      </c>
      <c r="GJ76">
        <v>0</v>
      </c>
      <c r="GK76">
        <f>ROUND(R76*(R12)/100,2)</f>
        <v>0</v>
      </c>
      <c r="GL76">
        <f t="shared" si="98"/>
        <v>0</v>
      </c>
      <c r="GM76">
        <f t="shared" si="99"/>
        <v>500.63</v>
      </c>
      <c r="GN76">
        <f t="shared" si="100"/>
        <v>0</v>
      </c>
      <c r="GO76">
        <f t="shared" si="101"/>
        <v>0</v>
      </c>
      <c r="GP76">
        <f t="shared" si="102"/>
        <v>500.63</v>
      </c>
      <c r="GR76">
        <v>0</v>
      </c>
      <c r="GS76">
        <v>0</v>
      </c>
      <c r="GT76">
        <v>0</v>
      </c>
      <c r="GU76" t="s">
        <v>3</v>
      </c>
      <c r="GV76">
        <f t="shared" si="103"/>
        <v>0</v>
      </c>
      <c r="GW76">
        <v>1</v>
      </c>
      <c r="GX76">
        <f t="shared" si="104"/>
        <v>0</v>
      </c>
      <c r="HA76">
        <v>0</v>
      </c>
      <c r="HB76">
        <v>0</v>
      </c>
      <c r="HC76">
        <f t="shared" si="105"/>
        <v>0</v>
      </c>
      <c r="HE76" t="s">
        <v>3</v>
      </c>
      <c r="HF76" t="s">
        <v>3</v>
      </c>
      <c r="HM76" t="s">
        <v>3</v>
      </c>
      <c r="HN76" t="s">
        <v>3</v>
      </c>
      <c r="HO76" t="s">
        <v>3</v>
      </c>
      <c r="HP76" t="s">
        <v>3</v>
      </c>
      <c r="HQ76" t="s">
        <v>3</v>
      </c>
      <c r="IK76">
        <v>0</v>
      </c>
    </row>
    <row r="77" spans="1:245" x14ac:dyDescent="0.2">
      <c r="A77">
        <v>17</v>
      </c>
      <c r="B77">
        <v>1</v>
      </c>
      <c r="C77">
        <f>ROW(SmtRes!A38)</f>
        <v>38</v>
      </c>
      <c r="D77">
        <f>ROW(EtalonRes!A35)</f>
        <v>35</v>
      </c>
      <c r="E77" t="s">
        <v>123</v>
      </c>
      <c r="F77" t="s">
        <v>124</v>
      </c>
      <c r="G77" t="s">
        <v>125</v>
      </c>
      <c r="H77" t="s">
        <v>121</v>
      </c>
      <c r="I77">
        <f>ROUND(29/100,9)</f>
        <v>0.28999999999999998</v>
      </c>
      <c r="J77">
        <v>0</v>
      </c>
      <c r="K77">
        <f>ROUND(29/100,9)</f>
        <v>0.28999999999999998</v>
      </c>
      <c r="O77">
        <f t="shared" si="66"/>
        <v>269.04000000000002</v>
      </c>
      <c r="P77">
        <f t="shared" si="67"/>
        <v>0</v>
      </c>
      <c r="Q77">
        <f t="shared" si="68"/>
        <v>0</v>
      </c>
      <c r="R77">
        <f t="shared" si="69"/>
        <v>0</v>
      </c>
      <c r="S77">
        <f t="shared" si="70"/>
        <v>269.04000000000002</v>
      </c>
      <c r="T77">
        <f t="shared" si="71"/>
        <v>0</v>
      </c>
      <c r="U77">
        <f t="shared" si="72"/>
        <v>0.65249999999999997</v>
      </c>
      <c r="V77">
        <f t="shared" si="73"/>
        <v>0</v>
      </c>
      <c r="W77">
        <f t="shared" si="74"/>
        <v>0</v>
      </c>
      <c r="X77">
        <f t="shared" si="75"/>
        <v>188.33</v>
      </c>
      <c r="Y77">
        <f t="shared" si="76"/>
        <v>26.9</v>
      </c>
      <c r="AA77">
        <v>75705739</v>
      </c>
      <c r="AB77">
        <f t="shared" si="77"/>
        <v>927.74</v>
      </c>
      <c r="AC77">
        <f t="shared" si="78"/>
        <v>0</v>
      </c>
      <c r="AD77">
        <f t="shared" si="79"/>
        <v>0</v>
      </c>
      <c r="AE77">
        <f t="shared" si="80"/>
        <v>0</v>
      </c>
      <c r="AF77">
        <f t="shared" si="81"/>
        <v>927.74</v>
      </c>
      <c r="AG77">
        <f t="shared" si="82"/>
        <v>0</v>
      </c>
      <c r="AH77">
        <f t="shared" si="83"/>
        <v>2.25</v>
      </c>
      <c r="AI77">
        <f t="shared" si="84"/>
        <v>0</v>
      </c>
      <c r="AJ77">
        <f t="shared" si="85"/>
        <v>0</v>
      </c>
      <c r="AK77">
        <v>927.74</v>
      </c>
      <c r="AL77">
        <v>0</v>
      </c>
      <c r="AM77">
        <v>0</v>
      </c>
      <c r="AN77">
        <v>0</v>
      </c>
      <c r="AO77">
        <v>927.74</v>
      </c>
      <c r="AP77">
        <v>0</v>
      </c>
      <c r="AQ77">
        <v>2.25</v>
      </c>
      <c r="AR77">
        <v>0</v>
      </c>
      <c r="AS77">
        <v>0</v>
      </c>
      <c r="AT77">
        <v>70</v>
      </c>
      <c r="AU77">
        <v>10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4</v>
      </c>
      <c r="BJ77" t="s">
        <v>126</v>
      </c>
      <c r="BM77">
        <v>0</v>
      </c>
      <c r="BN77">
        <v>75371441</v>
      </c>
      <c r="BO77" t="s">
        <v>3</v>
      </c>
      <c r="BP77">
        <v>0</v>
      </c>
      <c r="BQ77">
        <v>1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70</v>
      </c>
      <c r="CA77">
        <v>10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86"/>
        <v>269.04000000000002</v>
      </c>
      <c r="CQ77">
        <f t="shared" si="87"/>
        <v>0</v>
      </c>
      <c r="CR77">
        <f t="shared" si="88"/>
        <v>0</v>
      </c>
      <c r="CS77">
        <f t="shared" si="89"/>
        <v>0</v>
      </c>
      <c r="CT77">
        <f t="shared" si="90"/>
        <v>927.74</v>
      </c>
      <c r="CU77">
        <f t="shared" si="91"/>
        <v>0</v>
      </c>
      <c r="CV77">
        <f t="shared" si="92"/>
        <v>2.25</v>
      </c>
      <c r="CW77">
        <f t="shared" si="93"/>
        <v>0</v>
      </c>
      <c r="CX77">
        <f t="shared" si="94"/>
        <v>0</v>
      </c>
      <c r="CY77">
        <f t="shared" si="95"/>
        <v>188.32800000000003</v>
      </c>
      <c r="CZ77">
        <f t="shared" si="96"/>
        <v>26.904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1003</v>
      </c>
      <c r="DV77" t="s">
        <v>121</v>
      </c>
      <c r="DW77" t="s">
        <v>121</v>
      </c>
      <c r="DX77">
        <v>100</v>
      </c>
      <c r="DZ77" t="s">
        <v>3</v>
      </c>
      <c r="EA77" t="s">
        <v>3</v>
      </c>
      <c r="EB77" t="s">
        <v>3</v>
      </c>
      <c r="EC77" t="s">
        <v>3</v>
      </c>
      <c r="EE77">
        <v>75371444</v>
      </c>
      <c r="EF77">
        <v>1</v>
      </c>
      <c r="EG77" t="s">
        <v>20</v>
      </c>
      <c r="EH77">
        <v>0</v>
      </c>
      <c r="EI77" t="s">
        <v>3</v>
      </c>
      <c r="EJ77">
        <v>4</v>
      </c>
      <c r="EK77">
        <v>0</v>
      </c>
      <c r="EL77" t="s">
        <v>21</v>
      </c>
      <c r="EM77" t="s">
        <v>22</v>
      </c>
      <c r="EO77" t="s">
        <v>3</v>
      </c>
      <c r="EQ77">
        <v>0</v>
      </c>
      <c r="ER77">
        <v>927.74</v>
      </c>
      <c r="ES77">
        <v>0</v>
      </c>
      <c r="ET77">
        <v>0</v>
      </c>
      <c r="EU77">
        <v>0</v>
      </c>
      <c r="EV77">
        <v>927.74</v>
      </c>
      <c r="EW77">
        <v>2.25</v>
      </c>
      <c r="EX77">
        <v>0</v>
      </c>
      <c r="EY77">
        <v>0</v>
      </c>
      <c r="FQ77">
        <v>0</v>
      </c>
      <c r="FR77">
        <f t="shared" si="97"/>
        <v>0</v>
      </c>
      <c r="FS77">
        <v>0</v>
      </c>
      <c r="FX77">
        <v>70</v>
      </c>
      <c r="FY77">
        <v>10</v>
      </c>
      <c r="GA77" t="s">
        <v>3</v>
      </c>
      <c r="GD77">
        <v>0</v>
      </c>
      <c r="GF77">
        <v>-912065947</v>
      </c>
      <c r="GG77">
        <v>2</v>
      </c>
      <c r="GH77">
        <v>1</v>
      </c>
      <c r="GI77">
        <v>-2</v>
      </c>
      <c r="GJ77">
        <v>0</v>
      </c>
      <c r="GK77">
        <f>ROUND(R77*(R12)/100,2)</f>
        <v>0</v>
      </c>
      <c r="GL77">
        <f t="shared" si="98"/>
        <v>0</v>
      </c>
      <c r="GM77">
        <f t="shared" si="99"/>
        <v>484.27</v>
      </c>
      <c r="GN77">
        <f t="shared" si="100"/>
        <v>0</v>
      </c>
      <c r="GO77">
        <f t="shared" si="101"/>
        <v>0</v>
      </c>
      <c r="GP77">
        <f t="shared" si="102"/>
        <v>484.27</v>
      </c>
      <c r="GR77">
        <v>0</v>
      </c>
      <c r="GS77">
        <v>0</v>
      </c>
      <c r="GT77">
        <v>0</v>
      </c>
      <c r="GU77" t="s">
        <v>3</v>
      </c>
      <c r="GV77">
        <f t="shared" si="103"/>
        <v>0</v>
      </c>
      <c r="GW77">
        <v>1</v>
      </c>
      <c r="GX77">
        <f t="shared" si="104"/>
        <v>0</v>
      </c>
      <c r="HA77">
        <v>0</v>
      </c>
      <c r="HB77">
        <v>0</v>
      </c>
      <c r="HC77">
        <f t="shared" si="105"/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IK77">
        <v>0</v>
      </c>
    </row>
    <row r="78" spans="1:245" x14ac:dyDescent="0.2">
      <c r="A78">
        <v>17</v>
      </c>
      <c r="B78">
        <v>1</v>
      </c>
      <c r="C78">
        <f>ROW(SmtRes!A48)</f>
        <v>48</v>
      </c>
      <c r="D78">
        <f>ROW(EtalonRes!A44)</f>
        <v>44</v>
      </c>
      <c r="E78" t="s">
        <v>127</v>
      </c>
      <c r="F78" t="s">
        <v>128</v>
      </c>
      <c r="G78" t="s">
        <v>129</v>
      </c>
      <c r="H78" t="s">
        <v>121</v>
      </c>
      <c r="I78">
        <f>ROUND(15/100,9)</f>
        <v>0.15</v>
      </c>
      <c r="J78">
        <v>0</v>
      </c>
      <c r="K78">
        <f>ROUND(15/100,9)</f>
        <v>0.15</v>
      </c>
      <c r="O78">
        <f t="shared" si="66"/>
        <v>2057.75</v>
      </c>
      <c r="P78">
        <f t="shared" si="67"/>
        <v>692.48</v>
      </c>
      <c r="Q78">
        <f t="shared" si="68"/>
        <v>8.32</v>
      </c>
      <c r="R78">
        <f t="shared" si="69"/>
        <v>1.39</v>
      </c>
      <c r="S78">
        <f t="shared" si="70"/>
        <v>1356.95</v>
      </c>
      <c r="T78">
        <f t="shared" si="71"/>
        <v>0</v>
      </c>
      <c r="U78">
        <f t="shared" si="72"/>
        <v>2.589</v>
      </c>
      <c r="V78">
        <f t="shared" si="73"/>
        <v>0</v>
      </c>
      <c r="W78">
        <f t="shared" si="74"/>
        <v>0</v>
      </c>
      <c r="X78">
        <f t="shared" si="75"/>
        <v>949.87</v>
      </c>
      <c r="Y78">
        <f t="shared" si="76"/>
        <v>135.69999999999999</v>
      </c>
      <c r="AA78">
        <v>75705739</v>
      </c>
      <c r="AB78">
        <f t="shared" si="77"/>
        <v>13718.33</v>
      </c>
      <c r="AC78">
        <f t="shared" si="78"/>
        <v>4616.55</v>
      </c>
      <c r="AD78">
        <f t="shared" si="79"/>
        <v>55.47</v>
      </c>
      <c r="AE78">
        <f t="shared" si="80"/>
        <v>9.27</v>
      </c>
      <c r="AF78">
        <f t="shared" si="81"/>
        <v>9046.31</v>
      </c>
      <c r="AG78">
        <f t="shared" si="82"/>
        <v>0</v>
      </c>
      <c r="AH78">
        <f t="shared" si="83"/>
        <v>17.260000000000002</v>
      </c>
      <c r="AI78">
        <f t="shared" si="84"/>
        <v>0</v>
      </c>
      <c r="AJ78">
        <f t="shared" si="85"/>
        <v>0</v>
      </c>
      <c r="AK78">
        <v>13718.33</v>
      </c>
      <c r="AL78">
        <v>4616.55</v>
      </c>
      <c r="AM78">
        <v>55.47</v>
      </c>
      <c r="AN78">
        <v>9.27</v>
      </c>
      <c r="AO78">
        <v>9046.31</v>
      </c>
      <c r="AP78">
        <v>0</v>
      </c>
      <c r="AQ78">
        <v>17.260000000000002</v>
      </c>
      <c r="AR78">
        <v>0</v>
      </c>
      <c r="AS78">
        <v>0</v>
      </c>
      <c r="AT78">
        <v>70</v>
      </c>
      <c r="AU78">
        <v>10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4</v>
      </c>
      <c r="BJ78" t="s">
        <v>130</v>
      </c>
      <c r="BM78">
        <v>0</v>
      </c>
      <c r="BN78">
        <v>75371441</v>
      </c>
      <c r="BO78" t="s">
        <v>3</v>
      </c>
      <c r="BP78">
        <v>0</v>
      </c>
      <c r="BQ78">
        <v>1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70</v>
      </c>
      <c r="CA78">
        <v>10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86"/>
        <v>2057.75</v>
      </c>
      <c r="CQ78">
        <f t="shared" si="87"/>
        <v>4616.55</v>
      </c>
      <c r="CR78">
        <f t="shared" si="88"/>
        <v>55.47</v>
      </c>
      <c r="CS78">
        <f t="shared" si="89"/>
        <v>9.27</v>
      </c>
      <c r="CT78">
        <f t="shared" si="90"/>
        <v>9046.31</v>
      </c>
      <c r="CU78">
        <f t="shared" si="91"/>
        <v>0</v>
      </c>
      <c r="CV78">
        <f t="shared" si="92"/>
        <v>17.260000000000002</v>
      </c>
      <c r="CW78">
        <f t="shared" si="93"/>
        <v>0</v>
      </c>
      <c r="CX78">
        <f t="shared" si="94"/>
        <v>0</v>
      </c>
      <c r="CY78">
        <f t="shared" si="95"/>
        <v>949.86500000000001</v>
      </c>
      <c r="CZ78">
        <f t="shared" si="96"/>
        <v>135.69499999999999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1003</v>
      </c>
      <c r="DV78" t="s">
        <v>121</v>
      </c>
      <c r="DW78" t="s">
        <v>121</v>
      </c>
      <c r="DX78">
        <v>100</v>
      </c>
      <c r="DZ78" t="s">
        <v>3</v>
      </c>
      <c r="EA78" t="s">
        <v>3</v>
      </c>
      <c r="EB78" t="s">
        <v>3</v>
      </c>
      <c r="EC78" t="s">
        <v>3</v>
      </c>
      <c r="EE78">
        <v>75371444</v>
      </c>
      <c r="EF78">
        <v>1</v>
      </c>
      <c r="EG78" t="s">
        <v>20</v>
      </c>
      <c r="EH78">
        <v>0</v>
      </c>
      <c r="EI78" t="s">
        <v>3</v>
      </c>
      <c r="EJ78">
        <v>4</v>
      </c>
      <c r="EK78">
        <v>0</v>
      </c>
      <c r="EL78" t="s">
        <v>21</v>
      </c>
      <c r="EM78" t="s">
        <v>22</v>
      </c>
      <c r="EO78" t="s">
        <v>3</v>
      </c>
      <c r="EQ78">
        <v>0</v>
      </c>
      <c r="ER78">
        <v>13718.33</v>
      </c>
      <c r="ES78">
        <v>4616.55</v>
      </c>
      <c r="ET78">
        <v>55.47</v>
      </c>
      <c r="EU78">
        <v>9.27</v>
      </c>
      <c r="EV78">
        <v>9046.31</v>
      </c>
      <c r="EW78">
        <v>17.260000000000002</v>
      </c>
      <c r="EX78">
        <v>0</v>
      </c>
      <c r="EY78">
        <v>0</v>
      </c>
      <c r="FQ78">
        <v>0</v>
      </c>
      <c r="FR78">
        <f t="shared" si="97"/>
        <v>0</v>
      </c>
      <c r="FS78">
        <v>0</v>
      </c>
      <c r="FX78">
        <v>70</v>
      </c>
      <c r="FY78">
        <v>10</v>
      </c>
      <c r="GA78" t="s">
        <v>3</v>
      </c>
      <c r="GD78">
        <v>0</v>
      </c>
      <c r="GF78">
        <v>-113909118</v>
      </c>
      <c r="GG78">
        <v>2</v>
      </c>
      <c r="GH78">
        <v>1</v>
      </c>
      <c r="GI78">
        <v>-2</v>
      </c>
      <c r="GJ78">
        <v>0</v>
      </c>
      <c r="GK78">
        <f>ROUND(R78*(R12)/100,2)</f>
        <v>1.5</v>
      </c>
      <c r="GL78">
        <f t="shared" si="98"/>
        <v>0</v>
      </c>
      <c r="GM78">
        <f t="shared" si="99"/>
        <v>3144.82</v>
      </c>
      <c r="GN78">
        <f t="shared" si="100"/>
        <v>0</v>
      </c>
      <c r="GO78">
        <f t="shared" si="101"/>
        <v>0</v>
      </c>
      <c r="GP78">
        <f t="shared" si="102"/>
        <v>3144.82</v>
      </c>
      <c r="GR78">
        <v>0</v>
      </c>
      <c r="GS78">
        <v>0</v>
      </c>
      <c r="GT78">
        <v>0</v>
      </c>
      <c r="GU78" t="s">
        <v>3</v>
      </c>
      <c r="GV78">
        <f t="shared" si="103"/>
        <v>0</v>
      </c>
      <c r="GW78">
        <v>1</v>
      </c>
      <c r="GX78">
        <f t="shared" si="104"/>
        <v>0</v>
      </c>
      <c r="HA78">
        <v>0</v>
      </c>
      <c r="HB78">
        <v>0</v>
      </c>
      <c r="HC78">
        <f t="shared" si="105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IK78">
        <v>0</v>
      </c>
    </row>
    <row r="79" spans="1:245" x14ac:dyDescent="0.2">
      <c r="A79">
        <v>18</v>
      </c>
      <c r="B79">
        <v>1</v>
      </c>
      <c r="C79">
        <v>46</v>
      </c>
      <c r="E79" t="s">
        <v>131</v>
      </c>
      <c r="F79" t="s">
        <v>132</v>
      </c>
      <c r="G79" t="s">
        <v>133</v>
      </c>
      <c r="H79" t="s">
        <v>116</v>
      </c>
      <c r="I79">
        <f>I78*J79</f>
        <v>14.000000000000002</v>
      </c>
      <c r="J79">
        <v>93.333333333333343</v>
      </c>
      <c r="K79">
        <v>93.333332999999996</v>
      </c>
      <c r="O79">
        <f t="shared" si="66"/>
        <v>892.78</v>
      </c>
      <c r="P79">
        <f t="shared" si="67"/>
        <v>892.78</v>
      </c>
      <c r="Q79">
        <f t="shared" si="68"/>
        <v>0</v>
      </c>
      <c r="R79">
        <f t="shared" si="69"/>
        <v>0</v>
      </c>
      <c r="S79">
        <f t="shared" si="70"/>
        <v>0</v>
      </c>
      <c r="T79">
        <f t="shared" si="71"/>
        <v>0</v>
      </c>
      <c r="U79">
        <f t="shared" si="72"/>
        <v>0</v>
      </c>
      <c r="V79">
        <f t="shared" si="73"/>
        <v>0</v>
      </c>
      <c r="W79">
        <f t="shared" si="74"/>
        <v>0</v>
      </c>
      <c r="X79">
        <f t="shared" si="75"/>
        <v>0</v>
      </c>
      <c r="Y79">
        <f t="shared" si="76"/>
        <v>0</v>
      </c>
      <c r="AA79">
        <v>75705739</v>
      </c>
      <c r="AB79">
        <f t="shared" si="77"/>
        <v>63.77</v>
      </c>
      <c r="AC79">
        <f t="shared" si="78"/>
        <v>63.77</v>
      </c>
      <c r="AD79">
        <f t="shared" si="79"/>
        <v>0</v>
      </c>
      <c r="AE79">
        <f t="shared" si="80"/>
        <v>0</v>
      </c>
      <c r="AF79">
        <f t="shared" si="81"/>
        <v>0</v>
      </c>
      <c r="AG79">
        <f t="shared" si="82"/>
        <v>0</v>
      </c>
      <c r="AH79">
        <f t="shared" si="83"/>
        <v>0</v>
      </c>
      <c r="AI79">
        <f t="shared" si="84"/>
        <v>0</v>
      </c>
      <c r="AJ79">
        <f t="shared" si="85"/>
        <v>0</v>
      </c>
      <c r="AK79">
        <v>63.77</v>
      </c>
      <c r="AL79">
        <v>63.77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70</v>
      </c>
      <c r="AU79">
        <v>10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3</v>
      </c>
      <c r="BI79">
        <v>4</v>
      </c>
      <c r="BJ79" t="s">
        <v>134</v>
      </c>
      <c r="BM79">
        <v>0</v>
      </c>
      <c r="BN79">
        <v>75371441</v>
      </c>
      <c r="BO79" t="s">
        <v>3</v>
      </c>
      <c r="BP79">
        <v>0</v>
      </c>
      <c r="BQ79">
        <v>1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70</v>
      </c>
      <c r="CA79">
        <v>10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86"/>
        <v>892.78</v>
      </c>
      <c r="CQ79">
        <f t="shared" si="87"/>
        <v>63.77</v>
      </c>
      <c r="CR79">
        <f t="shared" si="88"/>
        <v>0</v>
      </c>
      <c r="CS79">
        <f t="shared" si="89"/>
        <v>0</v>
      </c>
      <c r="CT79">
        <f t="shared" si="90"/>
        <v>0</v>
      </c>
      <c r="CU79">
        <f t="shared" si="91"/>
        <v>0</v>
      </c>
      <c r="CV79">
        <f t="shared" si="92"/>
        <v>0</v>
      </c>
      <c r="CW79">
        <f t="shared" si="93"/>
        <v>0</v>
      </c>
      <c r="CX79">
        <f t="shared" si="94"/>
        <v>0</v>
      </c>
      <c r="CY79">
        <f t="shared" si="95"/>
        <v>0</v>
      </c>
      <c r="CZ79">
        <f t="shared" si="96"/>
        <v>0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1010</v>
      </c>
      <c r="DV79" t="s">
        <v>116</v>
      </c>
      <c r="DW79" t="s">
        <v>116</v>
      </c>
      <c r="DX79">
        <v>1</v>
      </c>
      <c r="DZ79" t="s">
        <v>3</v>
      </c>
      <c r="EA79" t="s">
        <v>3</v>
      </c>
      <c r="EB79" t="s">
        <v>3</v>
      </c>
      <c r="EC79" t="s">
        <v>3</v>
      </c>
      <c r="EE79">
        <v>75371444</v>
      </c>
      <c r="EF79">
        <v>1</v>
      </c>
      <c r="EG79" t="s">
        <v>20</v>
      </c>
      <c r="EH79">
        <v>0</v>
      </c>
      <c r="EI79" t="s">
        <v>3</v>
      </c>
      <c r="EJ79">
        <v>4</v>
      </c>
      <c r="EK79">
        <v>0</v>
      </c>
      <c r="EL79" t="s">
        <v>21</v>
      </c>
      <c r="EM79" t="s">
        <v>22</v>
      </c>
      <c r="EO79" t="s">
        <v>3</v>
      </c>
      <c r="EQ79">
        <v>0</v>
      </c>
      <c r="ER79">
        <v>63.77</v>
      </c>
      <c r="ES79">
        <v>63.77</v>
      </c>
      <c r="ET79">
        <v>0</v>
      </c>
      <c r="EU79">
        <v>0</v>
      </c>
      <c r="EV79">
        <v>0</v>
      </c>
      <c r="EW79">
        <v>0</v>
      </c>
      <c r="EX79">
        <v>0</v>
      </c>
      <c r="FQ79">
        <v>0</v>
      </c>
      <c r="FR79">
        <f t="shared" si="97"/>
        <v>0</v>
      </c>
      <c r="FS79">
        <v>0</v>
      </c>
      <c r="FX79">
        <v>70</v>
      </c>
      <c r="FY79">
        <v>10</v>
      </c>
      <c r="GA79" t="s">
        <v>3</v>
      </c>
      <c r="GD79">
        <v>0</v>
      </c>
      <c r="GF79">
        <v>510472555</v>
      </c>
      <c r="GG79">
        <v>2</v>
      </c>
      <c r="GH79">
        <v>1</v>
      </c>
      <c r="GI79">
        <v>-2</v>
      </c>
      <c r="GJ79">
        <v>0</v>
      </c>
      <c r="GK79">
        <f>ROUND(R79*(R12)/100,2)</f>
        <v>0</v>
      </c>
      <c r="GL79">
        <f t="shared" si="98"/>
        <v>0</v>
      </c>
      <c r="GM79">
        <f t="shared" si="99"/>
        <v>892.78</v>
      </c>
      <c r="GN79">
        <f t="shared" si="100"/>
        <v>0</v>
      </c>
      <c r="GO79">
        <f t="shared" si="101"/>
        <v>0</v>
      </c>
      <c r="GP79">
        <f t="shared" si="102"/>
        <v>892.78</v>
      </c>
      <c r="GR79">
        <v>0</v>
      </c>
      <c r="GS79">
        <v>0</v>
      </c>
      <c r="GT79">
        <v>0</v>
      </c>
      <c r="GU79" t="s">
        <v>3</v>
      </c>
      <c r="GV79">
        <f t="shared" si="103"/>
        <v>0</v>
      </c>
      <c r="GW79">
        <v>1</v>
      </c>
      <c r="GX79">
        <f t="shared" si="104"/>
        <v>0</v>
      </c>
      <c r="HA79">
        <v>0</v>
      </c>
      <c r="HB79">
        <v>0</v>
      </c>
      <c r="HC79">
        <f t="shared" si="105"/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IK79">
        <v>0</v>
      </c>
    </row>
    <row r="80" spans="1:245" x14ac:dyDescent="0.2">
      <c r="A80">
        <v>18</v>
      </c>
      <c r="B80">
        <v>1</v>
      </c>
      <c r="C80">
        <v>47</v>
      </c>
      <c r="E80" t="s">
        <v>135</v>
      </c>
      <c r="F80" t="s">
        <v>132</v>
      </c>
      <c r="G80" t="s">
        <v>133</v>
      </c>
      <c r="H80" t="s">
        <v>116</v>
      </c>
      <c r="I80">
        <f>I78*J80</f>
        <v>-0.75</v>
      </c>
      <c r="J80">
        <v>-5</v>
      </c>
      <c r="K80">
        <v>-5</v>
      </c>
      <c r="O80">
        <f t="shared" si="66"/>
        <v>-47.83</v>
      </c>
      <c r="P80">
        <f t="shared" si="67"/>
        <v>-47.83</v>
      </c>
      <c r="Q80">
        <f t="shared" si="68"/>
        <v>0</v>
      </c>
      <c r="R80">
        <f t="shared" si="69"/>
        <v>0</v>
      </c>
      <c r="S80">
        <f t="shared" si="70"/>
        <v>0</v>
      </c>
      <c r="T80">
        <f t="shared" si="71"/>
        <v>0</v>
      </c>
      <c r="U80">
        <f t="shared" si="72"/>
        <v>0</v>
      </c>
      <c r="V80">
        <f t="shared" si="73"/>
        <v>0</v>
      </c>
      <c r="W80">
        <f t="shared" si="74"/>
        <v>0</v>
      </c>
      <c r="X80">
        <f t="shared" si="75"/>
        <v>0</v>
      </c>
      <c r="Y80">
        <f t="shared" si="76"/>
        <v>0</v>
      </c>
      <c r="AA80">
        <v>75705739</v>
      </c>
      <c r="AB80">
        <f t="shared" si="77"/>
        <v>63.77</v>
      </c>
      <c r="AC80">
        <f t="shared" si="78"/>
        <v>63.77</v>
      </c>
      <c r="AD80">
        <f t="shared" si="79"/>
        <v>0</v>
      </c>
      <c r="AE80">
        <f t="shared" si="80"/>
        <v>0</v>
      </c>
      <c r="AF80">
        <f t="shared" si="81"/>
        <v>0</v>
      </c>
      <c r="AG80">
        <f t="shared" si="82"/>
        <v>0</v>
      </c>
      <c r="AH80">
        <f t="shared" si="83"/>
        <v>0</v>
      </c>
      <c r="AI80">
        <f t="shared" si="84"/>
        <v>0</v>
      </c>
      <c r="AJ80">
        <f t="shared" si="85"/>
        <v>0</v>
      </c>
      <c r="AK80">
        <v>63.77</v>
      </c>
      <c r="AL80">
        <v>63.77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70</v>
      </c>
      <c r="AU80">
        <v>10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3</v>
      </c>
      <c r="BI80">
        <v>4</v>
      </c>
      <c r="BJ80" t="s">
        <v>134</v>
      </c>
      <c r="BM80">
        <v>0</v>
      </c>
      <c r="BN80">
        <v>75371441</v>
      </c>
      <c r="BO80" t="s">
        <v>3</v>
      </c>
      <c r="BP80">
        <v>0</v>
      </c>
      <c r="BQ80">
        <v>1</v>
      </c>
      <c r="BR80">
        <v>1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70</v>
      </c>
      <c r="CA80">
        <v>10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86"/>
        <v>-47.83</v>
      </c>
      <c r="CQ80">
        <f t="shared" si="87"/>
        <v>63.77</v>
      </c>
      <c r="CR80">
        <f t="shared" si="88"/>
        <v>0</v>
      </c>
      <c r="CS80">
        <f t="shared" si="89"/>
        <v>0</v>
      </c>
      <c r="CT80">
        <f t="shared" si="90"/>
        <v>0</v>
      </c>
      <c r="CU80">
        <f t="shared" si="91"/>
        <v>0</v>
      </c>
      <c r="CV80">
        <f t="shared" si="92"/>
        <v>0</v>
      </c>
      <c r="CW80">
        <f t="shared" si="93"/>
        <v>0</v>
      </c>
      <c r="CX80">
        <f t="shared" si="94"/>
        <v>0</v>
      </c>
      <c r="CY80">
        <f t="shared" si="95"/>
        <v>0</v>
      </c>
      <c r="CZ80">
        <f t="shared" si="96"/>
        <v>0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1010</v>
      </c>
      <c r="DV80" t="s">
        <v>116</v>
      </c>
      <c r="DW80" t="s">
        <v>116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75371444</v>
      </c>
      <c r="EF80">
        <v>1</v>
      </c>
      <c r="EG80" t="s">
        <v>20</v>
      </c>
      <c r="EH80">
        <v>0</v>
      </c>
      <c r="EI80" t="s">
        <v>3</v>
      </c>
      <c r="EJ80">
        <v>4</v>
      </c>
      <c r="EK80">
        <v>0</v>
      </c>
      <c r="EL80" t="s">
        <v>21</v>
      </c>
      <c r="EM80" t="s">
        <v>22</v>
      </c>
      <c r="EO80" t="s">
        <v>3</v>
      </c>
      <c r="EQ80">
        <v>0</v>
      </c>
      <c r="ER80">
        <v>63.77</v>
      </c>
      <c r="ES80">
        <v>63.77</v>
      </c>
      <c r="ET80">
        <v>0</v>
      </c>
      <c r="EU80">
        <v>0</v>
      </c>
      <c r="EV80">
        <v>0</v>
      </c>
      <c r="EW80">
        <v>0</v>
      </c>
      <c r="EX80">
        <v>0</v>
      </c>
      <c r="FQ80">
        <v>0</v>
      </c>
      <c r="FR80">
        <f t="shared" si="97"/>
        <v>0</v>
      </c>
      <c r="FS80">
        <v>0</v>
      </c>
      <c r="FX80">
        <v>70</v>
      </c>
      <c r="FY80">
        <v>10</v>
      </c>
      <c r="GA80" t="s">
        <v>3</v>
      </c>
      <c r="GD80">
        <v>0</v>
      </c>
      <c r="GF80">
        <v>510472555</v>
      </c>
      <c r="GG80">
        <v>2</v>
      </c>
      <c r="GH80">
        <v>1</v>
      </c>
      <c r="GI80">
        <v>-2</v>
      </c>
      <c r="GJ80">
        <v>0</v>
      </c>
      <c r="GK80">
        <f>ROUND(R80*(R12)/100,2)</f>
        <v>0</v>
      </c>
      <c r="GL80">
        <f t="shared" si="98"/>
        <v>0</v>
      </c>
      <c r="GM80">
        <f t="shared" si="99"/>
        <v>-47.83</v>
      </c>
      <c r="GN80">
        <f t="shared" si="100"/>
        <v>0</v>
      </c>
      <c r="GO80">
        <f t="shared" si="101"/>
        <v>0</v>
      </c>
      <c r="GP80">
        <f t="shared" si="102"/>
        <v>-47.83</v>
      </c>
      <c r="GR80">
        <v>0</v>
      </c>
      <c r="GS80">
        <v>0</v>
      </c>
      <c r="GT80">
        <v>0</v>
      </c>
      <c r="GU80" t="s">
        <v>3</v>
      </c>
      <c r="GV80">
        <f t="shared" si="103"/>
        <v>0</v>
      </c>
      <c r="GW80">
        <v>1</v>
      </c>
      <c r="GX80">
        <f t="shared" si="104"/>
        <v>0</v>
      </c>
      <c r="HA80">
        <v>0</v>
      </c>
      <c r="HB80">
        <v>0</v>
      </c>
      <c r="HC80">
        <f t="shared" si="105"/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IK80">
        <v>0</v>
      </c>
    </row>
    <row r="81" spans="1:245" x14ac:dyDescent="0.2">
      <c r="A81">
        <v>17</v>
      </c>
      <c r="B81">
        <v>1</v>
      </c>
      <c r="C81">
        <f>ROW(SmtRes!A50)</f>
        <v>50</v>
      </c>
      <c r="D81">
        <f>ROW(EtalonRes!A45)</f>
        <v>45</v>
      </c>
      <c r="E81" t="s">
        <v>136</v>
      </c>
      <c r="F81" t="s">
        <v>137</v>
      </c>
      <c r="G81" t="s">
        <v>138</v>
      </c>
      <c r="H81" t="s">
        <v>121</v>
      </c>
      <c r="I81">
        <f>ROUND(15/100,9)</f>
        <v>0.15</v>
      </c>
      <c r="J81">
        <v>0</v>
      </c>
      <c r="K81">
        <f>ROUND(15/100,9)</f>
        <v>0.15</v>
      </c>
      <c r="O81">
        <f t="shared" si="66"/>
        <v>635.98</v>
      </c>
      <c r="P81">
        <f t="shared" si="67"/>
        <v>0</v>
      </c>
      <c r="Q81">
        <f t="shared" si="68"/>
        <v>0</v>
      </c>
      <c r="R81">
        <f t="shared" si="69"/>
        <v>0</v>
      </c>
      <c r="S81">
        <f t="shared" si="70"/>
        <v>635.98</v>
      </c>
      <c r="T81">
        <f t="shared" si="71"/>
        <v>0</v>
      </c>
      <c r="U81">
        <f t="shared" si="72"/>
        <v>1.2434999999999998</v>
      </c>
      <c r="V81">
        <f t="shared" si="73"/>
        <v>0</v>
      </c>
      <c r="W81">
        <f t="shared" si="74"/>
        <v>0</v>
      </c>
      <c r="X81">
        <f t="shared" si="75"/>
        <v>445.19</v>
      </c>
      <c r="Y81">
        <f t="shared" si="76"/>
        <v>63.6</v>
      </c>
      <c r="AA81">
        <v>75705739</v>
      </c>
      <c r="AB81">
        <f t="shared" si="77"/>
        <v>4239.84</v>
      </c>
      <c r="AC81">
        <f t="shared" si="78"/>
        <v>0</v>
      </c>
      <c r="AD81">
        <f t="shared" si="79"/>
        <v>0</v>
      </c>
      <c r="AE81">
        <f t="shared" si="80"/>
        <v>0</v>
      </c>
      <c r="AF81">
        <f t="shared" si="81"/>
        <v>4239.84</v>
      </c>
      <c r="AG81">
        <f t="shared" si="82"/>
        <v>0</v>
      </c>
      <c r="AH81">
        <f t="shared" si="83"/>
        <v>8.2899999999999991</v>
      </c>
      <c r="AI81">
        <f t="shared" si="84"/>
        <v>0</v>
      </c>
      <c r="AJ81">
        <f t="shared" si="85"/>
        <v>0</v>
      </c>
      <c r="AK81">
        <v>4239.84</v>
      </c>
      <c r="AL81">
        <v>0</v>
      </c>
      <c r="AM81">
        <v>0</v>
      </c>
      <c r="AN81">
        <v>0</v>
      </c>
      <c r="AO81">
        <v>4239.84</v>
      </c>
      <c r="AP81">
        <v>0</v>
      </c>
      <c r="AQ81">
        <v>8.2899999999999991</v>
      </c>
      <c r="AR81">
        <v>0</v>
      </c>
      <c r="AS81">
        <v>0</v>
      </c>
      <c r="AT81">
        <v>70</v>
      </c>
      <c r="AU81">
        <v>10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139</v>
      </c>
      <c r="BM81">
        <v>0</v>
      </c>
      <c r="BN81">
        <v>75371441</v>
      </c>
      <c r="BO81" t="s">
        <v>3</v>
      </c>
      <c r="BP81">
        <v>0</v>
      </c>
      <c r="BQ81">
        <v>1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70</v>
      </c>
      <c r="CA81">
        <v>10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86"/>
        <v>635.98</v>
      </c>
      <c r="CQ81">
        <f t="shared" si="87"/>
        <v>0</v>
      </c>
      <c r="CR81">
        <f t="shared" si="88"/>
        <v>0</v>
      </c>
      <c r="CS81">
        <f t="shared" si="89"/>
        <v>0</v>
      </c>
      <c r="CT81">
        <f t="shared" si="90"/>
        <v>4239.84</v>
      </c>
      <c r="CU81">
        <f t="shared" si="91"/>
        <v>0</v>
      </c>
      <c r="CV81">
        <f t="shared" si="92"/>
        <v>8.2899999999999991</v>
      </c>
      <c r="CW81">
        <f t="shared" si="93"/>
        <v>0</v>
      </c>
      <c r="CX81">
        <f t="shared" si="94"/>
        <v>0</v>
      </c>
      <c r="CY81">
        <f t="shared" si="95"/>
        <v>445.18599999999998</v>
      </c>
      <c r="CZ81">
        <f t="shared" si="96"/>
        <v>63.597999999999999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1003</v>
      </c>
      <c r="DV81" t="s">
        <v>121</v>
      </c>
      <c r="DW81" t="s">
        <v>121</v>
      </c>
      <c r="DX81">
        <v>100</v>
      </c>
      <c r="DZ81" t="s">
        <v>3</v>
      </c>
      <c r="EA81" t="s">
        <v>3</v>
      </c>
      <c r="EB81" t="s">
        <v>3</v>
      </c>
      <c r="EC81" t="s">
        <v>3</v>
      </c>
      <c r="EE81">
        <v>75371444</v>
      </c>
      <c r="EF81">
        <v>1</v>
      </c>
      <c r="EG81" t="s">
        <v>20</v>
      </c>
      <c r="EH81">
        <v>0</v>
      </c>
      <c r="EI81" t="s">
        <v>3</v>
      </c>
      <c r="EJ81">
        <v>4</v>
      </c>
      <c r="EK81">
        <v>0</v>
      </c>
      <c r="EL81" t="s">
        <v>21</v>
      </c>
      <c r="EM81" t="s">
        <v>22</v>
      </c>
      <c r="EO81" t="s">
        <v>3</v>
      </c>
      <c r="EQ81">
        <v>0</v>
      </c>
      <c r="ER81">
        <v>4239.84</v>
      </c>
      <c r="ES81">
        <v>0</v>
      </c>
      <c r="ET81">
        <v>0</v>
      </c>
      <c r="EU81">
        <v>0</v>
      </c>
      <c r="EV81">
        <v>4239.84</v>
      </c>
      <c r="EW81">
        <v>8.2899999999999991</v>
      </c>
      <c r="EX81">
        <v>0</v>
      </c>
      <c r="EY81">
        <v>0</v>
      </c>
      <c r="FQ81">
        <v>0</v>
      </c>
      <c r="FR81">
        <f t="shared" si="97"/>
        <v>0</v>
      </c>
      <c r="FS81">
        <v>0</v>
      </c>
      <c r="FX81">
        <v>70</v>
      </c>
      <c r="FY81">
        <v>10</v>
      </c>
      <c r="GA81" t="s">
        <v>3</v>
      </c>
      <c r="GD81">
        <v>0</v>
      </c>
      <c r="GF81">
        <v>-1765575746</v>
      </c>
      <c r="GG81">
        <v>2</v>
      </c>
      <c r="GH81">
        <v>1</v>
      </c>
      <c r="GI81">
        <v>-2</v>
      </c>
      <c r="GJ81">
        <v>0</v>
      </c>
      <c r="GK81">
        <f>ROUND(R81*(R12)/100,2)</f>
        <v>0</v>
      </c>
      <c r="GL81">
        <f t="shared" si="98"/>
        <v>0</v>
      </c>
      <c r="GM81">
        <f t="shared" si="99"/>
        <v>1144.77</v>
      </c>
      <c r="GN81">
        <f t="shared" si="100"/>
        <v>0</v>
      </c>
      <c r="GO81">
        <f t="shared" si="101"/>
        <v>0</v>
      </c>
      <c r="GP81">
        <f t="shared" si="102"/>
        <v>1144.77</v>
      </c>
      <c r="GR81">
        <v>0</v>
      </c>
      <c r="GS81">
        <v>0</v>
      </c>
      <c r="GT81">
        <v>0</v>
      </c>
      <c r="GU81" t="s">
        <v>3</v>
      </c>
      <c r="GV81">
        <f t="shared" si="103"/>
        <v>0</v>
      </c>
      <c r="GW81">
        <v>1</v>
      </c>
      <c r="GX81">
        <f t="shared" si="104"/>
        <v>0</v>
      </c>
      <c r="HA81">
        <v>0</v>
      </c>
      <c r="HB81">
        <v>0</v>
      </c>
      <c r="HC81">
        <f t="shared" si="105"/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18</v>
      </c>
      <c r="B82">
        <v>1</v>
      </c>
      <c r="C82">
        <v>50</v>
      </c>
      <c r="E82" t="s">
        <v>140</v>
      </c>
      <c r="F82" t="s">
        <v>141</v>
      </c>
      <c r="G82" t="s">
        <v>142</v>
      </c>
      <c r="H82" t="s">
        <v>143</v>
      </c>
      <c r="I82">
        <f>I81*J82</f>
        <v>1.5299999999999998E-2</v>
      </c>
      <c r="J82">
        <v>0.10199999999999999</v>
      </c>
      <c r="K82">
        <v>0.10199999999999999</v>
      </c>
      <c r="O82">
        <f t="shared" si="66"/>
        <v>1372.46</v>
      </c>
      <c r="P82">
        <f t="shared" si="67"/>
        <v>1372.46</v>
      </c>
      <c r="Q82">
        <f t="shared" si="68"/>
        <v>0</v>
      </c>
      <c r="R82">
        <f t="shared" si="69"/>
        <v>0</v>
      </c>
      <c r="S82">
        <f t="shared" si="70"/>
        <v>0</v>
      </c>
      <c r="T82">
        <f t="shared" si="71"/>
        <v>0</v>
      </c>
      <c r="U82">
        <f t="shared" si="72"/>
        <v>0</v>
      </c>
      <c r="V82">
        <f t="shared" si="73"/>
        <v>0</v>
      </c>
      <c r="W82">
        <f t="shared" si="74"/>
        <v>0</v>
      </c>
      <c r="X82">
        <f t="shared" si="75"/>
        <v>0</v>
      </c>
      <c r="Y82">
        <f t="shared" si="76"/>
        <v>0</v>
      </c>
      <c r="AA82">
        <v>75705739</v>
      </c>
      <c r="AB82">
        <f t="shared" si="77"/>
        <v>89703.17</v>
      </c>
      <c r="AC82">
        <f t="shared" si="78"/>
        <v>89703.17</v>
      </c>
      <c r="AD82">
        <f t="shared" si="79"/>
        <v>0</v>
      </c>
      <c r="AE82">
        <f t="shared" si="80"/>
        <v>0</v>
      </c>
      <c r="AF82">
        <f t="shared" si="81"/>
        <v>0</v>
      </c>
      <c r="AG82">
        <f t="shared" si="82"/>
        <v>0</v>
      </c>
      <c r="AH82">
        <f t="shared" si="83"/>
        <v>0</v>
      </c>
      <c r="AI82">
        <f t="shared" si="84"/>
        <v>0</v>
      </c>
      <c r="AJ82">
        <f t="shared" si="85"/>
        <v>0</v>
      </c>
      <c r="AK82">
        <v>89703.17</v>
      </c>
      <c r="AL82">
        <v>89703.17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70</v>
      </c>
      <c r="AU82">
        <v>10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3</v>
      </c>
      <c r="BI82">
        <v>4</v>
      </c>
      <c r="BJ82" t="s">
        <v>144</v>
      </c>
      <c r="BM82">
        <v>0</v>
      </c>
      <c r="BN82">
        <v>75371441</v>
      </c>
      <c r="BO82" t="s">
        <v>3</v>
      </c>
      <c r="BP82">
        <v>0</v>
      </c>
      <c r="BQ82">
        <v>1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70</v>
      </c>
      <c r="CA82">
        <v>10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86"/>
        <v>1372.46</v>
      </c>
      <c r="CQ82">
        <f t="shared" si="87"/>
        <v>89703.17</v>
      </c>
      <c r="CR82">
        <f t="shared" si="88"/>
        <v>0</v>
      </c>
      <c r="CS82">
        <f t="shared" si="89"/>
        <v>0</v>
      </c>
      <c r="CT82">
        <f t="shared" si="90"/>
        <v>0</v>
      </c>
      <c r="CU82">
        <f t="shared" si="91"/>
        <v>0</v>
      </c>
      <c r="CV82">
        <f t="shared" si="92"/>
        <v>0</v>
      </c>
      <c r="CW82">
        <f t="shared" si="93"/>
        <v>0</v>
      </c>
      <c r="CX82">
        <f t="shared" si="94"/>
        <v>0</v>
      </c>
      <c r="CY82">
        <f t="shared" si="95"/>
        <v>0</v>
      </c>
      <c r="CZ82">
        <f t="shared" si="96"/>
        <v>0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1003</v>
      </c>
      <c r="DV82" t="s">
        <v>143</v>
      </c>
      <c r="DW82" t="s">
        <v>143</v>
      </c>
      <c r="DX82">
        <v>1000</v>
      </c>
      <c r="DZ82" t="s">
        <v>3</v>
      </c>
      <c r="EA82" t="s">
        <v>3</v>
      </c>
      <c r="EB82" t="s">
        <v>3</v>
      </c>
      <c r="EC82" t="s">
        <v>3</v>
      </c>
      <c r="EE82">
        <v>75371444</v>
      </c>
      <c r="EF82">
        <v>1</v>
      </c>
      <c r="EG82" t="s">
        <v>20</v>
      </c>
      <c r="EH82">
        <v>0</v>
      </c>
      <c r="EI82" t="s">
        <v>3</v>
      </c>
      <c r="EJ82">
        <v>4</v>
      </c>
      <c r="EK82">
        <v>0</v>
      </c>
      <c r="EL82" t="s">
        <v>21</v>
      </c>
      <c r="EM82" t="s">
        <v>22</v>
      </c>
      <c r="EO82" t="s">
        <v>3</v>
      </c>
      <c r="EQ82">
        <v>0</v>
      </c>
      <c r="ER82">
        <v>89703.17</v>
      </c>
      <c r="ES82">
        <v>89703.17</v>
      </c>
      <c r="ET82">
        <v>0</v>
      </c>
      <c r="EU82">
        <v>0</v>
      </c>
      <c r="EV82">
        <v>0</v>
      </c>
      <c r="EW82">
        <v>0</v>
      </c>
      <c r="EX82">
        <v>0</v>
      </c>
      <c r="FQ82">
        <v>0</v>
      </c>
      <c r="FR82">
        <f t="shared" si="97"/>
        <v>0</v>
      </c>
      <c r="FS82">
        <v>0</v>
      </c>
      <c r="FX82">
        <v>70</v>
      </c>
      <c r="FY82">
        <v>10</v>
      </c>
      <c r="GA82" t="s">
        <v>3</v>
      </c>
      <c r="GD82">
        <v>0</v>
      </c>
      <c r="GF82">
        <v>-1673733971</v>
      </c>
      <c r="GG82">
        <v>2</v>
      </c>
      <c r="GH82">
        <v>1</v>
      </c>
      <c r="GI82">
        <v>-2</v>
      </c>
      <c r="GJ82">
        <v>0</v>
      </c>
      <c r="GK82">
        <f>ROUND(R82*(R12)/100,2)</f>
        <v>0</v>
      </c>
      <c r="GL82">
        <f t="shared" si="98"/>
        <v>0</v>
      </c>
      <c r="GM82">
        <f t="shared" si="99"/>
        <v>1372.46</v>
      </c>
      <c r="GN82">
        <f t="shared" si="100"/>
        <v>0</v>
      </c>
      <c r="GO82">
        <f t="shared" si="101"/>
        <v>0</v>
      </c>
      <c r="GP82">
        <f t="shared" si="102"/>
        <v>1372.46</v>
      </c>
      <c r="GR82">
        <v>0</v>
      </c>
      <c r="GS82">
        <v>0</v>
      </c>
      <c r="GT82">
        <v>0</v>
      </c>
      <c r="GU82" t="s">
        <v>3</v>
      </c>
      <c r="GV82">
        <f t="shared" si="103"/>
        <v>0</v>
      </c>
      <c r="GW82">
        <v>1</v>
      </c>
      <c r="GX82">
        <f t="shared" si="104"/>
        <v>0</v>
      </c>
      <c r="HA82">
        <v>0</v>
      </c>
      <c r="HB82">
        <v>0</v>
      </c>
      <c r="HC82">
        <f t="shared" si="105"/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17</v>
      </c>
      <c r="B83">
        <v>1</v>
      </c>
      <c r="C83">
        <f>ROW(SmtRes!A52)</f>
        <v>52</v>
      </c>
      <c r="D83">
        <f>ROW(EtalonRes!A46)</f>
        <v>46</v>
      </c>
      <c r="E83" t="s">
        <v>145</v>
      </c>
      <c r="F83" t="s">
        <v>146</v>
      </c>
      <c r="G83" t="s">
        <v>147</v>
      </c>
      <c r="H83" t="s">
        <v>121</v>
      </c>
      <c r="I83">
        <f>ROUND(14/100,9)</f>
        <v>0.14000000000000001</v>
      </c>
      <c r="J83">
        <v>0</v>
      </c>
      <c r="K83">
        <f>ROUND(14/100,9)</f>
        <v>0.14000000000000001</v>
      </c>
      <c r="O83">
        <f t="shared" si="66"/>
        <v>423.88</v>
      </c>
      <c r="P83">
        <f t="shared" si="67"/>
        <v>0</v>
      </c>
      <c r="Q83">
        <f t="shared" si="68"/>
        <v>0</v>
      </c>
      <c r="R83">
        <f t="shared" si="69"/>
        <v>0</v>
      </c>
      <c r="S83">
        <f t="shared" si="70"/>
        <v>423.88</v>
      </c>
      <c r="T83">
        <f t="shared" si="71"/>
        <v>0</v>
      </c>
      <c r="U83">
        <f t="shared" si="72"/>
        <v>0.82880000000000009</v>
      </c>
      <c r="V83">
        <f t="shared" si="73"/>
        <v>0</v>
      </c>
      <c r="W83">
        <f t="shared" si="74"/>
        <v>0</v>
      </c>
      <c r="X83">
        <f t="shared" si="75"/>
        <v>296.72000000000003</v>
      </c>
      <c r="Y83">
        <f t="shared" si="76"/>
        <v>42.39</v>
      </c>
      <c r="AA83">
        <v>75705739</v>
      </c>
      <c r="AB83">
        <f t="shared" si="77"/>
        <v>3027.72</v>
      </c>
      <c r="AC83">
        <f t="shared" si="78"/>
        <v>0</v>
      </c>
      <c r="AD83">
        <f t="shared" si="79"/>
        <v>0</v>
      </c>
      <c r="AE83">
        <f t="shared" si="80"/>
        <v>0</v>
      </c>
      <c r="AF83">
        <f t="shared" si="81"/>
        <v>3027.72</v>
      </c>
      <c r="AG83">
        <f t="shared" si="82"/>
        <v>0</v>
      </c>
      <c r="AH83">
        <f t="shared" si="83"/>
        <v>5.92</v>
      </c>
      <c r="AI83">
        <f t="shared" si="84"/>
        <v>0</v>
      </c>
      <c r="AJ83">
        <f t="shared" si="85"/>
        <v>0</v>
      </c>
      <c r="AK83">
        <v>3027.72</v>
      </c>
      <c r="AL83">
        <v>0</v>
      </c>
      <c r="AM83">
        <v>0</v>
      </c>
      <c r="AN83">
        <v>0</v>
      </c>
      <c r="AO83">
        <v>3027.72</v>
      </c>
      <c r="AP83">
        <v>0</v>
      </c>
      <c r="AQ83">
        <v>5.92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148</v>
      </c>
      <c r="BM83">
        <v>0</v>
      </c>
      <c r="BN83">
        <v>75371441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86"/>
        <v>423.88</v>
      </c>
      <c r="CQ83">
        <f t="shared" si="87"/>
        <v>0</v>
      </c>
      <c r="CR83">
        <f t="shared" si="88"/>
        <v>0</v>
      </c>
      <c r="CS83">
        <f t="shared" si="89"/>
        <v>0</v>
      </c>
      <c r="CT83">
        <f t="shared" si="90"/>
        <v>3027.72</v>
      </c>
      <c r="CU83">
        <f t="shared" si="91"/>
        <v>0</v>
      </c>
      <c r="CV83">
        <f t="shared" si="92"/>
        <v>5.92</v>
      </c>
      <c r="CW83">
        <f t="shared" si="93"/>
        <v>0</v>
      </c>
      <c r="CX83">
        <f t="shared" si="94"/>
        <v>0</v>
      </c>
      <c r="CY83">
        <f t="shared" si="95"/>
        <v>296.71600000000001</v>
      </c>
      <c r="CZ83">
        <f t="shared" si="96"/>
        <v>42.388000000000005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1003</v>
      </c>
      <c r="DV83" t="s">
        <v>121</v>
      </c>
      <c r="DW83" t="s">
        <v>121</v>
      </c>
      <c r="DX83">
        <v>100</v>
      </c>
      <c r="DZ83" t="s">
        <v>3</v>
      </c>
      <c r="EA83" t="s">
        <v>3</v>
      </c>
      <c r="EB83" t="s">
        <v>3</v>
      </c>
      <c r="EC83" t="s">
        <v>3</v>
      </c>
      <c r="EE83">
        <v>75371444</v>
      </c>
      <c r="EF83">
        <v>1</v>
      </c>
      <c r="EG83" t="s">
        <v>20</v>
      </c>
      <c r="EH83">
        <v>0</v>
      </c>
      <c r="EI83" t="s">
        <v>3</v>
      </c>
      <c r="EJ83">
        <v>4</v>
      </c>
      <c r="EK83">
        <v>0</v>
      </c>
      <c r="EL83" t="s">
        <v>21</v>
      </c>
      <c r="EM83" t="s">
        <v>22</v>
      </c>
      <c r="EO83" t="s">
        <v>3</v>
      </c>
      <c r="EQ83">
        <v>0</v>
      </c>
      <c r="ER83">
        <v>3027.72</v>
      </c>
      <c r="ES83">
        <v>0</v>
      </c>
      <c r="ET83">
        <v>0</v>
      </c>
      <c r="EU83">
        <v>0</v>
      </c>
      <c r="EV83">
        <v>3027.72</v>
      </c>
      <c r="EW83">
        <v>5.92</v>
      </c>
      <c r="EX83">
        <v>0</v>
      </c>
      <c r="EY83">
        <v>0</v>
      </c>
      <c r="FQ83">
        <v>0</v>
      </c>
      <c r="FR83">
        <f t="shared" si="97"/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-2077639379</v>
      </c>
      <c r="GG83">
        <v>2</v>
      </c>
      <c r="GH83">
        <v>1</v>
      </c>
      <c r="GI83">
        <v>-2</v>
      </c>
      <c r="GJ83">
        <v>0</v>
      </c>
      <c r="GK83">
        <f>ROUND(R83*(R12)/100,2)</f>
        <v>0</v>
      </c>
      <c r="GL83">
        <f t="shared" si="98"/>
        <v>0</v>
      </c>
      <c r="GM83">
        <f t="shared" si="99"/>
        <v>762.99</v>
      </c>
      <c r="GN83">
        <f t="shared" si="100"/>
        <v>0</v>
      </c>
      <c r="GO83">
        <f t="shared" si="101"/>
        <v>0</v>
      </c>
      <c r="GP83">
        <f t="shared" si="102"/>
        <v>762.99</v>
      </c>
      <c r="GR83">
        <v>0</v>
      </c>
      <c r="GS83">
        <v>0</v>
      </c>
      <c r="GT83">
        <v>0</v>
      </c>
      <c r="GU83" t="s">
        <v>3</v>
      </c>
      <c r="GV83">
        <f t="shared" si="103"/>
        <v>0</v>
      </c>
      <c r="GW83">
        <v>1</v>
      </c>
      <c r="GX83">
        <f t="shared" si="104"/>
        <v>0</v>
      </c>
      <c r="HA83">
        <v>0</v>
      </c>
      <c r="HB83">
        <v>0</v>
      </c>
      <c r="HC83">
        <f t="shared" si="105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4" spans="1:245" x14ac:dyDescent="0.2">
      <c r="A84">
        <v>18</v>
      </c>
      <c r="B84">
        <v>1</v>
      </c>
      <c r="C84">
        <v>52</v>
      </c>
      <c r="E84" t="s">
        <v>149</v>
      </c>
      <c r="F84" t="s">
        <v>141</v>
      </c>
      <c r="G84" t="s">
        <v>142</v>
      </c>
      <c r="H84" t="s">
        <v>143</v>
      </c>
      <c r="I84">
        <f>I83*J84</f>
        <v>1.4279999999999999E-2</v>
      </c>
      <c r="J84">
        <v>0.10199999999999998</v>
      </c>
      <c r="K84">
        <v>0.10199999999999999</v>
      </c>
      <c r="O84">
        <f t="shared" si="66"/>
        <v>1280.96</v>
      </c>
      <c r="P84">
        <f t="shared" si="67"/>
        <v>1280.96</v>
      </c>
      <c r="Q84">
        <f t="shared" si="68"/>
        <v>0</v>
      </c>
      <c r="R84">
        <f t="shared" si="69"/>
        <v>0</v>
      </c>
      <c r="S84">
        <f t="shared" si="70"/>
        <v>0</v>
      </c>
      <c r="T84">
        <f t="shared" si="71"/>
        <v>0</v>
      </c>
      <c r="U84">
        <f t="shared" si="72"/>
        <v>0</v>
      </c>
      <c r="V84">
        <f t="shared" si="73"/>
        <v>0</v>
      </c>
      <c r="W84">
        <f t="shared" si="74"/>
        <v>0</v>
      </c>
      <c r="X84">
        <f t="shared" si="75"/>
        <v>0</v>
      </c>
      <c r="Y84">
        <f t="shared" si="76"/>
        <v>0</v>
      </c>
      <c r="AA84">
        <v>75705739</v>
      </c>
      <c r="AB84">
        <f t="shared" si="77"/>
        <v>89703.17</v>
      </c>
      <c r="AC84">
        <f t="shared" si="78"/>
        <v>89703.17</v>
      </c>
      <c r="AD84">
        <f t="shared" si="79"/>
        <v>0</v>
      </c>
      <c r="AE84">
        <f t="shared" si="80"/>
        <v>0</v>
      </c>
      <c r="AF84">
        <f t="shared" si="81"/>
        <v>0</v>
      </c>
      <c r="AG84">
        <f t="shared" si="82"/>
        <v>0</v>
      </c>
      <c r="AH84">
        <f t="shared" si="83"/>
        <v>0</v>
      </c>
      <c r="AI84">
        <f t="shared" si="84"/>
        <v>0</v>
      </c>
      <c r="AJ84">
        <f t="shared" si="85"/>
        <v>0</v>
      </c>
      <c r="AK84">
        <v>89703.17</v>
      </c>
      <c r="AL84">
        <v>89703.17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70</v>
      </c>
      <c r="AU84">
        <v>10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3</v>
      </c>
      <c r="BI84">
        <v>4</v>
      </c>
      <c r="BJ84" t="s">
        <v>144</v>
      </c>
      <c r="BM84">
        <v>0</v>
      </c>
      <c r="BN84">
        <v>75371441</v>
      </c>
      <c r="BO84" t="s">
        <v>3</v>
      </c>
      <c r="BP84">
        <v>0</v>
      </c>
      <c r="BQ84">
        <v>1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70</v>
      </c>
      <c r="CA84">
        <v>10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86"/>
        <v>1280.96</v>
      </c>
      <c r="CQ84">
        <f t="shared" si="87"/>
        <v>89703.17</v>
      </c>
      <c r="CR84">
        <f t="shared" si="88"/>
        <v>0</v>
      </c>
      <c r="CS84">
        <f t="shared" si="89"/>
        <v>0</v>
      </c>
      <c r="CT84">
        <f t="shared" si="90"/>
        <v>0</v>
      </c>
      <c r="CU84">
        <f t="shared" si="91"/>
        <v>0</v>
      </c>
      <c r="CV84">
        <f t="shared" si="92"/>
        <v>0</v>
      </c>
      <c r="CW84">
        <f t="shared" si="93"/>
        <v>0</v>
      </c>
      <c r="CX84">
        <f t="shared" si="94"/>
        <v>0</v>
      </c>
      <c r="CY84">
        <f t="shared" si="95"/>
        <v>0</v>
      </c>
      <c r="CZ84">
        <f t="shared" si="96"/>
        <v>0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1003</v>
      </c>
      <c r="DV84" t="s">
        <v>143</v>
      </c>
      <c r="DW84" t="s">
        <v>143</v>
      </c>
      <c r="DX84">
        <v>1000</v>
      </c>
      <c r="DZ84" t="s">
        <v>3</v>
      </c>
      <c r="EA84" t="s">
        <v>3</v>
      </c>
      <c r="EB84" t="s">
        <v>3</v>
      </c>
      <c r="EC84" t="s">
        <v>3</v>
      </c>
      <c r="EE84">
        <v>75371444</v>
      </c>
      <c r="EF84">
        <v>1</v>
      </c>
      <c r="EG84" t="s">
        <v>20</v>
      </c>
      <c r="EH84">
        <v>0</v>
      </c>
      <c r="EI84" t="s">
        <v>3</v>
      </c>
      <c r="EJ84">
        <v>4</v>
      </c>
      <c r="EK84">
        <v>0</v>
      </c>
      <c r="EL84" t="s">
        <v>21</v>
      </c>
      <c r="EM84" t="s">
        <v>22</v>
      </c>
      <c r="EO84" t="s">
        <v>3</v>
      </c>
      <c r="EQ84">
        <v>0</v>
      </c>
      <c r="ER84">
        <v>89703.17</v>
      </c>
      <c r="ES84">
        <v>89703.17</v>
      </c>
      <c r="ET84">
        <v>0</v>
      </c>
      <c r="EU84">
        <v>0</v>
      </c>
      <c r="EV84">
        <v>0</v>
      </c>
      <c r="EW84">
        <v>0</v>
      </c>
      <c r="EX84">
        <v>0</v>
      </c>
      <c r="FQ84">
        <v>0</v>
      </c>
      <c r="FR84">
        <f t="shared" si="97"/>
        <v>0</v>
      </c>
      <c r="FS84">
        <v>0</v>
      </c>
      <c r="FX84">
        <v>70</v>
      </c>
      <c r="FY84">
        <v>10</v>
      </c>
      <c r="GA84" t="s">
        <v>3</v>
      </c>
      <c r="GD84">
        <v>0</v>
      </c>
      <c r="GF84">
        <v>-1673733971</v>
      </c>
      <c r="GG84">
        <v>2</v>
      </c>
      <c r="GH84">
        <v>1</v>
      </c>
      <c r="GI84">
        <v>-2</v>
      </c>
      <c r="GJ84">
        <v>0</v>
      </c>
      <c r="GK84">
        <f>ROUND(R84*(R12)/100,2)</f>
        <v>0</v>
      </c>
      <c r="GL84">
        <f t="shared" si="98"/>
        <v>0</v>
      </c>
      <c r="GM84">
        <f t="shared" si="99"/>
        <v>1280.96</v>
      </c>
      <c r="GN84">
        <f t="shared" si="100"/>
        <v>0</v>
      </c>
      <c r="GO84">
        <f t="shared" si="101"/>
        <v>0</v>
      </c>
      <c r="GP84">
        <f t="shared" si="102"/>
        <v>1280.96</v>
      </c>
      <c r="GR84">
        <v>0</v>
      </c>
      <c r="GS84">
        <v>0</v>
      </c>
      <c r="GT84">
        <v>0</v>
      </c>
      <c r="GU84" t="s">
        <v>3</v>
      </c>
      <c r="GV84">
        <f t="shared" si="103"/>
        <v>0</v>
      </c>
      <c r="GW84">
        <v>1</v>
      </c>
      <c r="GX84">
        <f t="shared" si="104"/>
        <v>0</v>
      </c>
      <c r="HA84">
        <v>0</v>
      </c>
      <c r="HB84">
        <v>0</v>
      </c>
      <c r="HC84">
        <f t="shared" si="105"/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1</v>
      </c>
      <c r="C85">
        <f>ROW(SmtRes!A55)</f>
        <v>55</v>
      </c>
      <c r="D85">
        <f>ROW(EtalonRes!A49)</f>
        <v>49</v>
      </c>
      <c r="E85" t="s">
        <v>150</v>
      </c>
      <c r="F85" t="s">
        <v>38</v>
      </c>
      <c r="G85" t="s">
        <v>39</v>
      </c>
      <c r="H85" t="s">
        <v>18</v>
      </c>
      <c r="I85">
        <f>ROUND(130/100,9)</f>
        <v>1.3</v>
      </c>
      <c r="J85">
        <v>0</v>
      </c>
      <c r="K85">
        <f>ROUND(130/100,9)</f>
        <v>1.3</v>
      </c>
      <c r="O85">
        <f t="shared" si="66"/>
        <v>3377.96</v>
      </c>
      <c r="P85">
        <f t="shared" si="67"/>
        <v>1854.79</v>
      </c>
      <c r="Q85">
        <f t="shared" si="68"/>
        <v>0</v>
      </c>
      <c r="R85">
        <f t="shared" si="69"/>
        <v>0</v>
      </c>
      <c r="S85">
        <f t="shared" si="70"/>
        <v>1523.17</v>
      </c>
      <c r="T85">
        <f t="shared" si="71"/>
        <v>0</v>
      </c>
      <c r="U85">
        <f t="shared" si="72"/>
        <v>3.9129999999999998</v>
      </c>
      <c r="V85">
        <f t="shared" si="73"/>
        <v>0</v>
      </c>
      <c r="W85">
        <f t="shared" si="74"/>
        <v>0</v>
      </c>
      <c r="X85">
        <f t="shared" si="75"/>
        <v>1066.22</v>
      </c>
      <c r="Y85">
        <f t="shared" si="76"/>
        <v>152.32</v>
      </c>
      <c r="AA85">
        <v>75705739</v>
      </c>
      <c r="AB85">
        <f t="shared" si="77"/>
        <v>2598.4299999999998</v>
      </c>
      <c r="AC85">
        <f t="shared" si="78"/>
        <v>1426.76</v>
      </c>
      <c r="AD85">
        <f t="shared" si="79"/>
        <v>0</v>
      </c>
      <c r="AE85">
        <f t="shared" si="80"/>
        <v>0</v>
      </c>
      <c r="AF85">
        <f t="shared" si="81"/>
        <v>1171.67</v>
      </c>
      <c r="AG85">
        <f t="shared" si="82"/>
        <v>0</v>
      </c>
      <c r="AH85">
        <f t="shared" si="83"/>
        <v>3.01</v>
      </c>
      <c r="AI85">
        <f t="shared" si="84"/>
        <v>0</v>
      </c>
      <c r="AJ85">
        <f t="shared" si="85"/>
        <v>0</v>
      </c>
      <c r="AK85">
        <v>2598.4299999999998</v>
      </c>
      <c r="AL85">
        <v>1426.76</v>
      </c>
      <c r="AM85">
        <v>0</v>
      </c>
      <c r="AN85">
        <v>0</v>
      </c>
      <c r="AO85">
        <v>1171.67</v>
      </c>
      <c r="AP85">
        <v>0</v>
      </c>
      <c r="AQ85">
        <v>3.01</v>
      </c>
      <c r="AR85">
        <v>0</v>
      </c>
      <c r="AS85">
        <v>0</v>
      </c>
      <c r="AT85">
        <v>70</v>
      </c>
      <c r="AU85">
        <v>10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4</v>
      </c>
      <c r="BJ85" t="s">
        <v>40</v>
      </c>
      <c r="BM85">
        <v>0</v>
      </c>
      <c r="BN85">
        <v>75371441</v>
      </c>
      <c r="BO85" t="s">
        <v>3</v>
      </c>
      <c r="BP85">
        <v>0</v>
      </c>
      <c r="BQ85">
        <v>1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70</v>
      </c>
      <c r="CA85">
        <v>10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86"/>
        <v>3377.96</v>
      </c>
      <c r="CQ85">
        <f t="shared" si="87"/>
        <v>1426.76</v>
      </c>
      <c r="CR85">
        <f t="shared" si="88"/>
        <v>0</v>
      </c>
      <c r="CS85">
        <f t="shared" si="89"/>
        <v>0</v>
      </c>
      <c r="CT85">
        <f t="shared" si="90"/>
        <v>1171.67</v>
      </c>
      <c r="CU85">
        <f t="shared" si="91"/>
        <v>0</v>
      </c>
      <c r="CV85">
        <f t="shared" si="92"/>
        <v>3.01</v>
      </c>
      <c r="CW85">
        <f t="shared" si="93"/>
        <v>0</v>
      </c>
      <c r="CX85">
        <f t="shared" si="94"/>
        <v>0</v>
      </c>
      <c r="CY85">
        <f t="shared" si="95"/>
        <v>1066.2190000000001</v>
      </c>
      <c r="CZ85">
        <f t="shared" si="96"/>
        <v>152.31700000000001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1005</v>
      </c>
      <c r="DV85" t="s">
        <v>18</v>
      </c>
      <c r="DW85" t="s">
        <v>18</v>
      </c>
      <c r="DX85">
        <v>100</v>
      </c>
      <c r="DZ85" t="s">
        <v>3</v>
      </c>
      <c r="EA85" t="s">
        <v>3</v>
      </c>
      <c r="EB85" t="s">
        <v>3</v>
      </c>
      <c r="EC85" t="s">
        <v>3</v>
      </c>
      <c r="EE85">
        <v>75371444</v>
      </c>
      <c r="EF85">
        <v>1</v>
      </c>
      <c r="EG85" t="s">
        <v>20</v>
      </c>
      <c r="EH85">
        <v>0</v>
      </c>
      <c r="EI85" t="s">
        <v>3</v>
      </c>
      <c r="EJ85">
        <v>4</v>
      </c>
      <c r="EK85">
        <v>0</v>
      </c>
      <c r="EL85" t="s">
        <v>21</v>
      </c>
      <c r="EM85" t="s">
        <v>22</v>
      </c>
      <c r="EO85" t="s">
        <v>3</v>
      </c>
      <c r="EQ85">
        <v>0</v>
      </c>
      <c r="ER85">
        <v>2598.4299999999998</v>
      </c>
      <c r="ES85">
        <v>1426.76</v>
      </c>
      <c r="ET85">
        <v>0</v>
      </c>
      <c r="EU85">
        <v>0</v>
      </c>
      <c r="EV85">
        <v>1171.67</v>
      </c>
      <c r="EW85">
        <v>3.01</v>
      </c>
      <c r="EX85">
        <v>0</v>
      </c>
      <c r="EY85">
        <v>0</v>
      </c>
      <c r="FQ85">
        <v>0</v>
      </c>
      <c r="FR85">
        <f t="shared" si="97"/>
        <v>0</v>
      </c>
      <c r="FS85">
        <v>0</v>
      </c>
      <c r="FX85">
        <v>70</v>
      </c>
      <c r="FY85">
        <v>10</v>
      </c>
      <c r="GA85" t="s">
        <v>3</v>
      </c>
      <c r="GD85">
        <v>0</v>
      </c>
      <c r="GF85">
        <v>-498150993</v>
      </c>
      <c r="GG85">
        <v>2</v>
      </c>
      <c r="GH85">
        <v>1</v>
      </c>
      <c r="GI85">
        <v>-2</v>
      </c>
      <c r="GJ85">
        <v>0</v>
      </c>
      <c r="GK85">
        <f>ROUND(R85*(R12)/100,2)</f>
        <v>0</v>
      </c>
      <c r="GL85">
        <f t="shared" si="98"/>
        <v>0</v>
      </c>
      <c r="GM85">
        <f t="shared" si="99"/>
        <v>4596.5</v>
      </c>
      <c r="GN85">
        <f t="shared" si="100"/>
        <v>0</v>
      </c>
      <c r="GO85">
        <f t="shared" si="101"/>
        <v>0</v>
      </c>
      <c r="GP85">
        <f t="shared" si="102"/>
        <v>4596.5</v>
      </c>
      <c r="GR85">
        <v>0</v>
      </c>
      <c r="GS85">
        <v>0</v>
      </c>
      <c r="GT85">
        <v>0</v>
      </c>
      <c r="GU85" t="s">
        <v>3</v>
      </c>
      <c r="GV85">
        <f t="shared" si="103"/>
        <v>0</v>
      </c>
      <c r="GW85">
        <v>1</v>
      </c>
      <c r="GX85">
        <f t="shared" si="104"/>
        <v>0</v>
      </c>
      <c r="HA85">
        <v>0</v>
      </c>
      <c r="HB85">
        <v>0</v>
      </c>
      <c r="HC85">
        <f t="shared" si="105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45" x14ac:dyDescent="0.2">
      <c r="A86">
        <v>17</v>
      </c>
      <c r="B86">
        <v>1</v>
      </c>
      <c r="C86">
        <f>ROW(SmtRes!A57)</f>
        <v>57</v>
      </c>
      <c r="D86">
        <f>ROW(EtalonRes!A51)</f>
        <v>51</v>
      </c>
      <c r="E86" t="s">
        <v>151</v>
      </c>
      <c r="F86" t="s">
        <v>42</v>
      </c>
      <c r="G86" t="s">
        <v>43</v>
      </c>
      <c r="H86" t="s">
        <v>18</v>
      </c>
      <c r="I86">
        <f>ROUND(130/100,9)</f>
        <v>1.3</v>
      </c>
      <c r="J86">
        <v>0</v>
      </c>
      <c r="K86">
        <f>ROUND(130/100,9)</f>
        <v>1.3</v>
      </c>
      <c r="O86">
        <f t="shared" si="66"/>
        <v>1280.28</v>
      </c>
      <c r="P86">
        <f t="shared" si="67"/>
        <v>0</v>
      </c>
      <c r="Q86">
        <f t="shared" si="68"/>
        <v>0</v>
      </c>
      <c r="R86">
        <f t="shared" si="69"/>
        <v>0</v>
      </c>
      <c r="S86">
        <f t="shared" si="70"/>
        <v>1280.28</v>
      </c>
      <c r="T86">
        <f t="shared" si="71"/>
        <v>0</v>
      </c>
      <c r="U86">
        <f t="shared" si="72"/>
        <v>3.2889999999999997</v>
      </c>
      <c r="V86">
        <f t="shared" si="73"/>
        <v>0</v>
      </c>
      <c r="W86">
        <f t="shared" si="74"/>
        <v>0</v>
      </c>
      <c r="X86">
        <f t="shared" si="75"/>
        <v>896.2</v>
      </c>
      <c r="Y86">
        <f t="shared" si="76"/>
        <v>128.03</v>
      </c>
      <c r="AA86">
        <v>75705739</v>
      </c>
      <c r="AB86">
        <f t="shared" si="77"/>
        <v>984.83</v>
      </c>
      <c r="AC86">
        <f t="shared" si="78"/>
        <v>0</v>
      </c>
      <c r="AD86">
        <f t="shared" si="79"/>
        <v>0</v>
      </c>
      <c r="AE86">
        <f t="shared" si="80"/>
        <v>0</v>
      </c>
      <c r="AF86">
        <f t="shared" si="81"/>
        <v>984.83</v>
      </c>
      <c r="AG86">
        <f t="shared" si="82"/>
        <v>0</v>
      </c>
      <c r="AH86">
        <f t="shared" si="83"/>
        <v>2.5299999999999998</v>
      </c>
      <c r="AI86">
        <f t="shared" si="84"/>
        <v>0</v>
      </c>
      <c r="AJ86">
        <f t="shared" si="85"/>
        <v>0</v>
      </c>
      <c r="AK86">
        <v>984.83</v>
      </c>
      <c r="AL86">
        <v>0</v>
      </c>
      <c r="AM86">
        <v>0</v>
      </c>
      <c r="AN86">
        <v>0</v>
      </c>
      <c r="AO86">
        <v>984.83</v>
      </c>
      <c r="AP86">
        <v>0</v>
      </c>
      <c r="AQ86">
        <v>2.5299999999999998</v>
      </c>
      <c r="AR86">
        <v>0</v>
      </c>
      <c r="AS86">
        <v>0</v>
      </c>
      <c r="AT86">
        <v>70</v>
      </c>
      <c r="AU86">
        <v>10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4</v>
      </c>
      <c r="BJ86" t="s">
        <v>44</v>
      </c>
      <c r="BM86">
        <v>0</v>
      </c>
      <c r="BN86">
        <v>75371441</v>
      </c>
      <c r="BO86" t="s">
        <v>3</v>
      </c>
      <c r="BP86">
        <v>0</v>
      </c>
      <c r="BQ86">
        <v>1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70</v>
      </c>
      <c r="CA86">
        <v>10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86"/>
        <v>1280.28</v>
      </c>
      <c r="CQ86">
        <f t="shared" si="87"/>
        <v>0</v>
      </c>
      <c r="CR86">
        <f t="shared" si="88"/>
        <v>0</v>
      </c>
      <c r="CS86">
        <f t="shared" si="89"/>
        <v>0</v>
      </c>
      <c r="CT86">
        <f t="shared" si="90"/>
        <v>984.83</v>
      </c>
      <c r="CU86">
        <f t="shared" si="91"/>
        <v>0</v>
      </c>
      <c r="CV86">
        <f t="shared" si="92"/>
        <v>2.5299999999999998</v>
      </c>
      <c r="CW86">
        <f t="shared" si="93"/>
        <v>0</v>
      </c>
      <c r="CX86">
        <f t="shared" si="94"/>
        <v>0</v>
      </c>
      <c r="CY86">
        <f t="shared" si="95"/>
        <v>896.19599999999991</v>
      </c>
      <c r="CZ86">
        <f t="shared" si="96"/>
        <v>128.02799999999999</v>
      </c>
      <c r="DC86" t="s">
        <v>3</v>
      </c>
      <c r="DD86" t="s">
        <v>3</v>
      </c>
      <c r="DE86" t="s">
        <v>3</v>
      </c>
      <c r="DF86" t="s">
        <v>3</v>
      </c>
      <c r="DG86" t="s">
        <v>3</v>
      </c>
      <c r="DH86" t="s">
        <v>3</v>
      </c>
      <c r="DI86" t="s">
        <v>3</v>
      </c>
      <c r="DJ86" t="s">
        <v>3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1005</v>
      </c>
      <c r="DV86" t="s">
        <v>18</v>
      </c>
      <c r="DW86" t="s">
        <v>18</v>
      </c>
      <c r="DX86">
        <v>100</v>
      </c>
      <c r="DZ86" t="s">
        <v>3</v>
      </c>
      <c r="EA86" t="s">
        <v>3</v>
      </c>
      <c r="EB86" t="s">
        <v>3</v>
      </c>
      <c r="EC86" t="s">
        <v>3</v>
      </c>
      <c r="EE86">
        <v>75371444</v>
      </c>
      <c r="EF86">
        <v>1</v>
      </c>
      <c r="EG86" t="s">
        <v>20</v>
      </c>
      <c r="EH86">
        <v>0</v>
      </c>
      <c r="EI86" t="s">
        <v>3</v>
      </c>
      <c r="EJ86">
        <v>4</v>
      </c>
      <c r="EK86">
        <v>0</v>
      </c>
      <c r="EL86" t="s">
        <v>21</v>
      </c>
      <c r="EM86" t="s">
        <v>22</v>
      </c>
      <c r="EO86" t="s">
        <v>3</v>
      </c>
      <c r="EQ86">
        <v>0</v>
      </c>
      <c r="ER86">
        <v>984.83</v>
      </c>
      <c r="ES86">
        <v>0</v>
      </c>
      <c r="ET86">
        <v>0</v>
      </c>
      <c r="EU86">
        <v>0</v>
      </c>
      <c r="EV86">
        <v>984.83</v>
      </c>
      <c r="EW86">
        <v>2.5299999999999998</v>
      </c>
      <c r="EX86">
        <v>0</v>
      </c>
      <c r="EY86">
        <v>0</v>
      </c>
      <c r="FQ86">
        <v>0</v>
      </c>
      <c r="FR86">
        <f t="shared" si="97"/>
        <v>0</v>
      </c>
      <c r="FS86">
        <v>0</v>
      </c>
      <c r="FX86">
        <v>70</v>
      </c>
      <c r="FY86">
        <v>10</v>
      </c>
      <c r="GA86" t="s">
        <v>3</v>
      </c>
      <c r="GD86">
        <v>0</v>
      </c>
      <c r="GF86">
        <v>-1305472168</v>
      </c>
      <c r="GG86">
        <v>2</v>
      </c>
      <c r="GH86">
        <v>1</v>
      </c>
      <c r="GI86">
        <v>-2</v>
      </c>
      <c r="GJ86">
        <v>0</v>
      </c>
      <c r="GK86">
        <f>ROUND(R86*(R12)/100,2)</f>
        <v>0</v>
      </c>
      <c r="GL86">
        <f t="shared" si="98"/>
        <v>0</v>
      </c>
      <c r="GM86">
        <f t="shared" si="99"/>
        <v>2304.5100000000002</v>
      </c>
      <c r="GN86">
        <f t="shared" si="100"/>
        <v>0</v>
      </c>
      <c r="GO86">
        <f t="shared" si="101"/>
        <v>0</v>
      </c>
      <c r="GP86">
        <f t="shared" si="102"/>
        <v>2304.5100000000002</v>
      </c>
      <c r="GR86">
        <v>0</v>
      </c>
      <c r="GS86">
        <v>0</v>
      </c>
      <c r="GT86">
        <v>0</v>
      </c>
      <c r="GU86" t="s">
        <v>3</v>
      </c>
      <c r="GV86">
        <f t="shared" si="103"/>
        <v>0</v>
      </c>
      <c r="GW86">
        <v>1</v>
      </c>
      <c r="GX86">
        <f t="shared" si="104"/>
        <v>0</v>
      </c>
      <c r="HA86">
        <v>0</v>
      </c>
      <c r="HB86">
        <v>0</v>
      </c>
      <c r="HC86">
        <f t="shared" si="105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8" spans="1:245" x14ac:dyDescent="0.2">
      <c r="A88" s="2">
        <v>51</v>
      </c>
      <c r="B88" s="2">
        <f>B65</f>
        <v>1</v>
      </c>
      <c r="C88" s="2">
        <f>A65</f>
        <v>4</v>
      </c>
      <c r="D88" s="2">
        <f>ROW(A65)</f>
        <v>65</v>
      </c>
      <c r="E88" s="2"/>
      <c r="F88" s="2" t="str">
        <f>IF(F65&lt;&gt;"",F65,"")</f>
        <v>Новый раздел</v>
      </c>
      <c r="G88" s="2" t="str">
        <f>IF(G65&lt;&gt;"",G65,"")</f>
        <v>Спортивный зал малый</v>
      </c>
      <c r="H88" s="2">
        <v>0</v>
      </c>
      <c r="I88" s="2"/>
      <c r="J88" s="2"/>
      <c r="K88" s="2"/>
      <c r="L88" s="2"/>
      <c r="M88" s="2"/>
      <c r="N88" s="2"/>
      <c r="O88" s="2">
        <f t="shared" ref="O88:T88" si="106">ROUND(AB88,2)</f>
        <v>238744.26</v>
      </c>
      <c r="P88" s="2">
        <f t="shared" si="106"/>
        <v>130352.15</v>
      </c>
      <c r="Q88" s="2">
        <f t="shared" si="106"/>
        <v>587.72</v>
      </c>
      <c r="R88" s="2">
        <f t="shared" si="106"/>
        <v>416.31</v>
      </c>
      <c r="S88" s="2">
        <f t="shared" si="106"/>
        <v>107804.39</v>
      </c>
      <c r="T88" s="2">
        <f t="shared" si="106"/>
        <v>0</v>
      </c>
      <c r="U88" s="2">
        <f>AH88</f>
        <v>243.60810000000001</v>
      </c>
      <c r="V88" s="2">
        <f>AI88</f>
        <v>0</v>
      </c>
      <c r="W88" s="2">
        <f>ROUND(AJ88,2)</f>
        <v>0</v>
      </c>
      <c r="X88" s="2">
        <f>ROUND(AK88,2)</f>
        <v>75463.100000000006</v>
      </c>
      <c r="Y88" s="2">
        <f>ROUND(AL88,2)</f>
        <v>10780.45</v>
      </c>
      <c r="Z88" s="2"/>
      <c r="AA88" s="2"/>
      <c r="AB88" s="2">
        <f>ROUND(SUMIF(AA69:AA86,"=75705739",O69:O86),2)</f>
        <v>238744.26</v>
      </c>
      <c r="AC88" s="2">
        <f>ROUND(SUMIF(AA69:AA86,"=75705739",P69:P86),2)</f>
        <v>130352.15</v>
      </c>
      <c r="AD88" s="2">
        <f>ROUND(SUMIF(AA69:AA86,"=75705739",Q69:Q86),2)</f>
        <v>587.72</v>
      </c>
      <c r="AE88" s="2">
        <f>ROUND(SUMIF(AA69:AA86,"=75705739",R69:R86),2)</f>
        <v>416.31</v>
      </c>
      <c r="AF88" s="2">
        <f>ROUND(SUMIF(AA69:AA86,"=75705739",S69:S86),2)</f>
        <v>107804.39</v>
      </c>
      <c r="AG88" s="2">
        <f>ROUND(SUMIF(AA69:AA86,"=75705739",T69:T86),2)</f>
        <v>0</v>
      </c>
      <c r="AH88" s="2">
        <f>SUMIF(AA69:AA86,"=75705739",U69:U86)</f>
        <v>243.60810000000001</v>
      </c>
      <c r="AI88" s="2">
        <f>SUMIF(AA69:AA86,"=75705739",V69:V86)</f>
        <v>0</v>
      </c>
      <c r="AJ88" s="2">
        <f>ROUND(SUMIF(AA69:AA86,"=75705739",W69:W86),2)</f>
        <v>0</v>
      </c>
      <c r="AK88" s="2">
        <f>ROUND(SUMIF(AA69:AA86,"=75705739",X69:X86),2)</f>
        <v>75463.100000000006</v>
      </c>
      <c r="AL88" s="2">
        <f>ROUND(SUMIF(AA69:AA86,"=75705739",Y69:Y86),2)</f>
        <v>10780.45</v>
      </c>
      <c r="AM88" s="2"/>
      <c r="AN88" s="2"/>
      <c r="AO88" s="2">
        <f t="shared" ref="AO88:BD88" si="107">ROUND(BX88,2)</f>
        <v>0</v>
      </c>
      <c r="AP88" s="2">
        <f t="shared" si="107"/>
        <v>0</v>
      </c>
      <c r="AQ88" s="2">
        <f t="shared" si="107"/>
        <v>0</v>
      </c>
      <c r="AR88" s="2">
        <f t="shared" si="107"/>
        <v>325437.42</v>
      </c>
      <c r="AS88" s="2">
        <f t="shared" si="107"/>
        <v>0</v>
      </c>
      <c r="AT88" s="2">
        <f t="shared" si="107"/>
        <v>0</v>
      </c>
      <c r="AU88" s="2">
        <f t="shared" si="107"/>
        <v>325437.42</v>
      </c>
      <c r="AV88" s="2">
        <f t="shared" si="107"/>
        <v>130352.15</v>
      </c>
      <c r="AW88" s="2">
        <f t="shared" si="107"/>
        <v>130352.15</v>
      </c>
      <c r="AX88" s="2">
        <f t="shared" si="107"/>
        <v>0</v>
      </c>
      <c r="AY88" s="2">
        <f t="shared" si="107"/>
        <v>130352.15</v>
      </c>
      <c r="AZ88" s="2">
        <f t="shared" si="107"/>
        <v>0</v>
      </c>
      <c r="BA88" s="2">
        <f t="shared" si="107"/>
        <v>0</v>
      </c>
      <c r="BB88" s="2">
        <f t="shared" si="107"/>
        <v>0</v>
      </c>
      <c r="BC88" s="2">
        <f t="shared" si="107"/>
        <v>0</v>
      </c>
      <c r="BD88" s="2">
        <f t="shared" si="107"/>
        <v>0</v>
      </c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>
        <f>ROUND(SUMIF(AA69:AA86,"=75705739",FQ69:FQ86),2)</f>
        <v>0</v>
      </c>
      <c r="BY88" s="2">
        <f>ROUND(SUMIF(AA69:AA86,"=75705739",FR69:FR86),2)</f>
        <v>0</v>
      </c>
      <c r="BZ88" s="2">
        <f>ROUND(SUMIF(AA69:AA86,"=75705739",GL69:GL86),2)</f>
        <v>0</v>
      </c>
      <c r="CA88" s="2">
        <f>ROUND(SUMIF(AA69:AA86,"=75705739",GM69:GM86),2)</f>
        <v>325437.42</v>
      </c>
      <c r="CB88" s="2">
        <f>ROUND(SUMIF(AA69:AA86,"=75705739",GN69:GN86),2)</f>
        <v>0</v>
      </c>
      <c r="CC88" s="2">
        <f>ROUND(SUMIF(AA69:AA86,"=75705739",GO69:GO86),2)</f>
        <v>0</v>
      </c>
      <c r="CD88" s="2">
        <f>ROUND(SUMIF(AA69:AA86,"=75705739",GP69:GP86),2)</f>
        <v>325437.42</v>
      </c>
      <c r="CE88" s="2">
        <f>AC88-BX88</f>
        <v>130352.15</v>
      </c>
      <c r="CF88" s="2">
        <f>AC88-BY88</f>
        <v>130352.15</v>
      </c>
      <c r="CG88" s="2">
        <f>BX88-BZ88</f>
        <v>0</v>
      </c>
      <c r="CH88" s="2">
        <f>AC88-BX88-BY88+BZ88</f>
        <v>130352.15</v>
      </c>
      <c r="CI88" s="2">
        <f>BY88-BZ88</f>
        <v>0</v>
      </c>
      <c r="CJ88" s="2">
        <f>ROUND(SUMIF(AA69:AA86,"=75705739",GX69:GX86),2)</f>
        <v>0</v>
      </c>
      <c r="CK88" s="2">
        <f>ROUND(SUMIF(AA69:AA86,"=75705739",GY69:GY86),2)</f>
        <v>0</v>
      </c>
      <c r="CL88" s="2">
        <f>ROUND(SUMIF(AA69:AA86,"=75705739",GZ69:GZ86),2)</f>
        <v>0</v>
      </c>
      <c r="CM88" s="2">
        <f>ROUND(SUMIF(AA69:AA86,"=75705739",HD69:HD86),2)</f>
        <v>0</v>
      </c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>
        <v>0</v>
      </c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201</v>
      </c>
      <c r="F90" s="4">
        <f>ROUND(Source!O88,O90)</f>
        <v>238744.26</v>
      </c>
      <c r="G90" s="4" t="s">
        <v>45</v>
      </c>
      <c r="H90" s="4" t="s">
        <v>46</v>
      </c>
      <c r="I90" s="4"/>
      <c r="J90" s="4"/>
      <c r="K90" s="4">
        <v>201</v>
      </c>
      <c r="L90" s="4">
        <v>1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238744.26</v>
      </c>
      <c r="X90" s="4">
        <v>1</v>
      </c>
      <c r="Y90" s="4">
        <v>238744.26</v>
      </c>
      <c r="Z90" s="4"/>
      <c r="AA90" s="4"/>
      <c r="AB90" s="4"/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202</v>
      </c>
      <c r="F91" s="4">
        <f>ROUND(Source!P88,O91)</f>
        <v>130352.15</v>
      </c>
      <c r="G91" s="4" t="s">
        <v>47</v>
      </c>
      <c r="H91" s="4" t="s">
        <v>48</v>
      </c>
      <c r="I91" s="4"/>
      <c r="J91" s="4"/>
      <c r="K91" s="4">
        <v>202</v>
      </c>
      <c r="L91" s="4">
        <v>2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130352.15</v>
      </c>
      <c r="X91" s="4">
        <v>1</v>
      </c>
      <c r="Y91" s="4">
        <v>130352.15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222</v>
      </c>
      <c r="F92" s="4">
        <f>ROUND(Source!AO88,O92)</f>
        <v>0</v>
      </c>
      <c r="G92" s="4" t="s">
        <v>49</v>
      </c>
      <c r="H92" s="4" t="s">
        <v>50</v>
      </c>
      <c r="I92" s="4"/>
      <c r="J92" s="4"/>
      <c r="K92" s="4">
        <v>222</v>
      </c>
      <c r="L92" s="4">
        <v>3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225</v>
      </c>
      <c r="F93" s="4">
        <f>ROUND(Source!AV88,O93)</f>
        <v>130352.15</v>
      </c>
      <c r="G93" s="4" t="s">
        <v>51</v>
      </c>
      <c r="H93" s="4" t="s">
        <v>52</v>
      </c>
      <c r="I93" s="4"/>
      <c r="J93" s="4"/>
      <c r="K93" s="4">
        <v>225</v>
      </c>
      <c r="L93" s="4">
        <v>4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130352.15</v>
      </c>
      <c r="X93" s="4">
        <v>1</v>
      </c>
      <c r="Y93" s="4">
        <v>130352.15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226</v>
      </c>
      <c r="F94" s="4">
        <f>ROUND(Source!AW88,O94)</f>
        <v>130352.15</v>
      </c>
      <c r="G94" s="4" t="s">
        <v>53</v>
      </c>
      <c r="H94" s="4" t="s">
        <v>54</v>
      </c>
      <c r="I94" s="4"/>
      <c r="J94" s="4"/>
      <c r="K94" s="4">
        <v>226</v>
      </c>
      <c r="L94" s="4">
        <v>5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130352.15</v>
      </c>
      <c r="X94" s="4">
        <v>1</v>
      </c>
      <c r="Y94" s="4">
        <v>130352.15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227</v>
      </c>
      <c r="F95" s="4">
        <f>ROUND(Source!AX88,O95)</f>
        <v>0</v>
      </c>
      <c r="G95" s="4" t="s">
        <v>55</v>
      </c>
      <c r="H95" s="4" t="s">
        <v>56</v>
      </c>
      <c r="I95" s="4"/>
      <c r="J95" s="4"/>
      <c r="K95" s="4">
        <v>227</v>
      </c>
      <c r="L95" s="4">
        <v>6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228</v>
      </c>
      <c r="F96" s="4">
        <f>ROUND(Source!AY88,O96)</f>
        <v>130352.15</v>
      </c>
      <c r="G96" s="4" t="s">
        <v>57</v>
      </c>
      <c r="H96" s="4" t="s">
        <v>58</v>
      </c>
      <c r="I96" s="4"/>
      <c r="J96" s="4"/>
      <c r="K96" s="4">
        <v>228</v>
      </c>
      <c r="L96" s="4">
        <v>7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130352.15</v>
      </c>
      <c r="X96" s="4">
        <v>1</v>
      </c>
      <c r="Y96" s="4">
        <v>130352.15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216</v>
      </c>
      <c r="F97" s="4">
        <f>ROUND(Source!AP88,O97)</f>
        <v>0</v>
      </c>
      <c r="G97" s="4" t="s">
        <v>59</v>
      </c>
      <c r="H97" s="4" t="s">
        <v>60</v>
      </c>
      <c r="I97" s="4"/>
      <c r="J97" s="4"/>
      <c r="K97" s="4">
        <v>216</v>
      </c>
      <c r="L97" s="4">
        <v>8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223</v>
      </c>
      <c r="F98" s="4">
        <f>ROUND(Source!AQ88,O98)</f>
        <v>0</v>
      </c>
      <c r="G98" s="4" t="s">
        <v>61</v>
      </c>
      <c r="H98" s="4" t="s">
        <v>62</v>
      </c>
      <c r="I98" s="4"/>
      <c r="J98" s="4"/>
      <c r="K98" s="4">
        <v>223</v>
      </c>
      <c r="L98" s="4">
        <v>9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229</v>
      </c>
      <c r="F99" s="4">
        <f>ROUND(Source!AZ88,O99)</f>
        <v>0</v>
      </c>
      <c r="G99" s="4" t="s">
        <v>63</v>
      </c>
      <c r="H99" s="4" t="s">
        <v>64</v>
      </c>
      <c r="I99" s="4"/>
      <c r="J99" s="4"/>
      <c r="K99" s="4">
        <v>229</v>
      </c>
      <c r="L99" s="4">
        <v>10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203</v>
      </c>
      <c r="F100" s="4">
        <f>ROUND(Source!Q88,O100)</f>
        <v>587.72</v>
      </c>
      <c r="G100" s="4" t="s">
        <v>65</v>
      </c>
      <c r="H100" s="4" t="s">
        <v>66</v>
      </c>
      <c r="I100" s="4"/>
      <c r="J100" s="4"/>
      <c r="K100" s="4">
        <v>203</v>
      </c>
      <c r="L100" s="4">
        <v>11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587.72</v>
      </c>
      <c r="X100" s="4">
        <v>1</v>
      </c>
      <c r="Y100" s="4">
        <v>587.72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231</v>
      </c>
      <c r="F101" s="4">
        <f>ROUND(Source!BB88,O101)</f>
        <v>0</v>
      </c>
      <c r="G101" s="4" t="s">
        <v>67</v>
      </c>
      <c r="H101" s="4" t="s">
        <v>68</v>
      </c>
      <c r="I101" s="4"/>
      <c r="J101" s="4"/>
      <c r="K101" s="4">
        <v>231</v>
      </c>
      <c r="L101" s="4">
        <v>12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204</v>
      </c>
      <c r="F102" s="4">
        <f>ROUND(Source!R88,O102)</f>
        <v>416.31</v>
      </c>
      <c r="G102" s="4" t="s">
        <v>69</v>
      </c>
      <c r="H102" s="4" t="s">
        <v>70</v>
      </c>
      <c r="I102" s="4"/>
      <c r="J102" s="4"/>
      <c r="K102" s="4">
        <v>204</v>
      </c>
      <c r="L102" s="4">
        <v>13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416.31</v>
      </c>
      <c r="X102" s="4">
        <v>1</v>
      </c>
      <c r="Y102" s="4">
        <v>416.31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205</v>
      </c>
      <c r="F103" s="4">
        <f>ROUND(Source!S88,O103)</f>
        <v>107804.39</v>
      </c>
      <c r="G103" s="4" t="s">
        <v>71</v>
      </c>
      <c r="H103" s="4" t="s">
        <v>72</v>
      </c>
      <c r="I103" s="4"/>
      <c r="J103" s="4"/>
      <c r="K103" s="4">
        <v>205</v>
      </c>
      <c r="L103" s="4">
        <v>14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107804.39</v>
      </c>
      <c r="X103" s="4">
        <v>1</v>
      </c>
      <c r="Y103" s="4">
        <v>107804.39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232</v>
      </c>
      <c r="F104" s="4">
        <f>ROUND(Source!BC88,O104)</f>
        <v>0</v>
      </c>
      <c r="G104" s="4" t="s">
        <v>73</v>
      </c>
      <c r="H104" s="4" t="s">
        <v>74</v>
      </c>
      <c r="I104" s="4"/>
      <c r="J104" s="4"/>
      <c r="K104" s="4">
        <v>232</v>
      </c>
      <c r="L104" s="4">
        <v>15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214</v>
      </c>
      <c r="F105" s="4">
        <f>ROUND(Source!AS88,O105)</f>
        <v>0</v>
      </c>
      <c r="G105" s="4" t="s">
        <v>75</v>
      </c>
      <c r="H105" s="4" t="s">
        <v>76</v>
      </c>
      <c r="I105" s="4"/>
      <c r="J105" s="4"/>
      <c r="K105" s="4">
        <v>214</v>
      </c>
      <c r="L105" s="4">
        <v>16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215</v>
      </c>
      <c r="F106" s="4">
        <f>ROUND(Source!AT88,O106)</f>
        <v>0</v>
      </c>
      <c r="G106" s="4" t="s">
        <v>77</v>
      </c>
      <c r="H106" s="4" t="s">
        <v>78</v>
      </c>
      <c r="I106" s="4"/>
      <c r="J106" s="4"/>
      <c r="K106" s="4">
        <v>215</v>
      </c>
      <c r="L106" s="4">
        <v>17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217</v>
      </c>
      <c r="F107" s="4">
        <f>ROUND(Source!AU88,O107)</f>
        <v>325437.42</v>
      </c>
      <c r="G107" s="4" t="s">
        <v>79</v>
      </c>
      <c r="H107" s="4" t="s">
        <v>80</v>
      </c>
      <c r="I107" s="4"/>
      <c r="J107" s="4"/>
      <c r="K107" s="4">
        <v>217</v>
      </c>
      <c r="L107" s="4">
        <v>18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325437.42</v>
      </c>
      <c r="X107" s="4">
        <v>1</v>
      </c>
      <c r="Y107" s="4">
        <v>325437.42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230</v>
      </c>
      <c r="F108" s="4">
        <f>ROUND(Source!BA88,O108)</f>
        <v>0</v>
      </c>
      <c r="G108" s="4" t="s">
        <v>81</v>
      </c>
      <c r="H108" s="4" t="s">
        <v>82</v>
      </c>
      <c r="I108" s="4"/>
      <c r="J108" s="4"/>
      <c r="K108" s="4">
        <v>230</v>
      </c>
      <c r="L108" s="4">
        <v>19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206</v>
      </c>
      <c r="F109" s="4">
        <f>ROUND(Source!T88,O109)</f>
        <v>0</v>
      </c>
      <c r="G109" s="4" t="s">
        <v>83</v>
      </c>
      <c r="H109" s="4" t="s">
        <v>84</v>
      </c>
      <c r="I109" s="4"/>
      <c r="J109" s="4"/>
      <c r="K109" s="4">
        <v>206</v>
      </c>
      <c r="L109" s="4">
        <v>20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207</v>
      </c>
      <c r="F110" s="4">
        <f>Source!U88</f>
        <v>243.60810000000001</v>
      </c>
      <c r="G110" s="4" t="s">
        <v>85</v>
      </c>
      <c r="H110" s="4" t="s">
        <v>86</v>
      </c>
      <c r="I110" s="4"/>
      <c r="J110" s="4"/>
      <c r="K110" s="4">
        <v>207</v>
      </c>
      <c r="L110" s="4">
        <v>21</v>
      </c>
      <c r="M110" s="4">
        <v>3</v>
      </c>
      <c r="N110" s="4" t="s">
        <v>3</v>
      </c>
      <c r="O110" s="4">
        <v>-1</v>
      </c>
      <c r="P110" s="4"/>
      <c r="Q110" s="4"/>
      <c r="R110" s="4"/>
      <c r="S110" s="4"/>
      <c r="T110" s="4"/>
      <c r="U110" s="4"/>
      <c r="V110" s="4"/>
      <c r="W110" s="4">
        <v>243.60810000000001</v>
      </c>
      <c r="X110" s="4">
        <v>1</v>
      </c>
      <c r="Y110" s="4">
        <v>243.60810000000001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208</v>
      </c>
      <c r="F111" s="4">
        <f>Source!V88</f>
        <v>0</v>
      </c>
      <c r="G111" s="4" t="s">
        <v>87</v>
      </c>
      <c r="H111" s="4" t="s">
        <v>88</v>
      </c>
      <c r="I111" s="4"/>
      <c r="J111" s="4"/>
      <c r="K111" s="4">
        <v>208</v>
      </c>
      <c r="L111" s="4">
        <v>22</v>
      </c>
      <c r="M111" s="4">
        <v>3</v>
      </c>
      <c r="N111" s="4" t="s">
        <v>3</v>
      </c>
      <c r="O111" s="4">
        <v>-1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209</v>
      </c>
      <c r="F112" s="4">
        <f>ROUND(Source!W88,O112)</f>
        <v>0</v>
      </c>
      <c r="G112" s="4" t="s">
        <v>89</v>
      </c>
      <c r="H112" s="4" t="s">
        <v>90</v>
      </c>
      <c r="I112" s="4"/>
      <c r="J112" s="4"/>
      <c r="K112" s="4">
        <v>209</v>
      </c>
      <c r="L112" s="4">
        <v>23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233</v>
      </c>
      <c r="F113" s="4">
        <f>ROUND(Source!BD88,O113)</f>
        <v>0</v>
      </c>
      <c r="G113" s="4" t="s">
        <v>91</v>
      </c>
      <c r="H113" s="4" t="s">
        <v>92</v>
      </c>
      <c r="I113" s="4"/>
      <c r="J113" s="4"/>
      <c r="K113" s="4">
        <v>233</v>
      </c>
      <c r="L113" s="4">
        <v>24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45" x14ac:dyDescent="0.2">
      <c r="A114" s="4">
        <v>50</v>
      </c>
      <c r="B114" s="4">
        <v>0</v>
      </c>
      <c r="C114" s="4">
        <v>0</v>
      </c>
      <c r="D114" s="4">
        <v>1</v>
      </c>
      <c r="E114" s="4">
        <v>210</v>
      </c>
      <c r="F114" s="4">
        <f>ROUND(Source!X88,O114)</f>
        <v>75463.100000000006</v>
      </c>
      <c r="G114" s="4" t="s">
        <v>93</v>
      </c>
      <c r="H114" s="4" t="s">
        <v>94</v>
      </c>
      <c r="I114" s="4"/>
      <c r="J114" s="4"/>
      <c r="K114" s="4">
        <v>210</v>
      </c>
      <c r="L114" s="4">
        <v>25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75463.100000000006</v>
      </c>
      <c r="X114" s="4">
        <v>1</v>
      </c>
      <c r="Y114" s="4">
        <v>75463.100000000006</v>
      </c>
      <c r="Z114" s="4"/>
      <c r="AA114" s="4"/>
      <c r="AB114" s="4"/>
    </row>
    <row r="115" spans="1:245" x14ac:dyDescent="0.2">
      <c r="A115" s="4">
        <v>50</v>
      </c>
      <c r="B115" s="4">
        <v>0</v>
      </c>
      <c r="C115" s="4">
        <v>0</v>
      </c>
      <c r="D115" s="4">
        <v>1</v>
      </c>
      <c r="E115" s="4">
        <v>211</v>
      </c>
      <c r="F115" s="4">
        <f>ROUND(Source!Y88,O115)</f>
        <v>10780.45</v>
      </c>
      <c r="G115" s="4" t="s">
        <v>95</v>
      </c>
      <c r="H115" s="4" t="s">
        <v>96</v>
      </c>
      <c r="I115" s="4"/>
      <c r="J115" s="4"/>
      <c r="K115" s="4">
        <v>211</v>
      </c>
      <c r="L115" s="4">
        <v>26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10780.45</v>
      </c>
      <c r="X115" s="4">
        <v>1</v>
      </c>
      <c r="Y115" s="4">
        <v>10780.45</v>
      </c>
      <c r="Z115" s="4"/>
      <c r="AA115" s="4"/>
      <c r="AB115" s="4"/>
    </row>
    <row r="116" spans="1:245" x14ac:dyDescent="0.2">
      <c r="A116" s="4">
        <v>50</v>
      </c>
      <c r="B116" s="4">
        <v>0</v>
      </c>
      <c r="C116" s="4">
        <v>0</v>
      </c>
      <c r="D116" s="4">
        <v>1</v>
      </c>
      <c r="E116" s="4">
        <v>224</v>
      </c>
      <c r="F116" s="4">
        <f>ROUND(Source!AR88,O116)</f>
        <v>325437.42</v>
      </c>
      <c r="G116" s="4" t="s">
        <v>97</v>
      </c>
      <c r="H116" s="4" t="s">
        <v>98</v>
      </c>
      <c r="I116" s="4"/>
      <c r="J116" s="4"/>
      <c r="K116" s="4">
        <v>224</v>
      </c>
      <c r="L116" s="4">
        <v>27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325437.42</v>
      </c>
      <c r="X116" s="4">
        <v>1</v>
      </c>
      <c r="Y116" s="4">
        <v>325437.42</v>
      </c>
      <c r="Z116" s="4"/>
      <c r="AA116" s="4"/>
      <c r="AB116" s="4"/>
    </row>
    <row r="118" spans="1:245" x14ac:dyDescent="0.2">
      <c r="A118" s="1">
        <v>4</v>
      </c>
      <c r="B118" s="1">
        <v>1</v>
      </c>
      <c r="C118" s="1"/>
      <c r="D118" s="1">
        <f>ROW(A126)</f>
        <v>126</v>
      </c>
      <c r="E118" s="1"/>
      <c r="F118" s="1" t="s">
        <v>13</v>
      </c>
      <c r="G118" s="1" t="s">
        <v>152</v>
      </c>
      <c r="H118" s="1" t="s">
        <v>3</v>
      </c>
      <c r="I118" s="1">
        <v>0</v>
      </c>
      <c r="J118" s="1"/>
      <c r="K118" s="1">
        <v>0</v>
      </c>
      <c r="L118" s="1"/>
      <c r="M118" s="1" t="s">
        <v>3</v>
      </c>
      <c r="N118" s="1"/>
      <c r="O118" s="1"/>
      <c r="P118" s="1"/>
      <c r="Q118" s="1"/>
      <c r="R118" s="1"/>
      <c r="S118" s="1">
        <v>0</v>
      </c>
      <c r="T118" s="1"/>
      <c r="U118" s="1" t="s">
        <v>3</v>
      </c>
      <c r="V118" s="1">
        <v>0</v>
      </c>
      <c r="W118" s="1"/>
      <c r="X118" s="1"/>
      <c r="Y118" s="1"/>
      <c r="Z118" s="1"/>
      <c r="AA118" s="1"/>
      <c r="AB118" s="1" t="s">
        <v>3</v>
      </c>
      <c r="AC118" s="1" t="s">
        <v>3</v>
      </c>
      <c r="AD118" s="1" t="s">
        <v>3</v>
      </c>
      <c r="AE118" s="1" t="s">
        <v>3</v>
      </c>
      <c r="AF118" s="1" t="s">
        <v>3</v>
      </c>
      <c r="AG118" s="1" t="s">
        <v>3</v>
      </c>
      <c r="AH118" s="1"/>
      <c r="AI118" s="1"/>
      <c r="AJ118" s="1"/>
      <c r="AK118" s="1"/>
      <c r="AL118" s="1"/>
      <c r="AM118" s="1"/>
      <c r="AN118" s="1"/>
      <c r="AO118" s="1"/>
      <c r="AP118" s="1" t="s">
        <v>3</v>
      </c>
      <c r="AQ118" s="1" t="s">
        <v>3</v>
      </c>
      <c r="AR118" s="1" t="s">
        <v>3</v>
      </c>
      <c r="AS118" s="1"/>
      <c r="AT118" s="1"/>
      <c r="AU118" s="1"/>
      <c r="AV118" s="1"/>
      <c r="AW118" s="1"/>
      <c r="AX118" s="1"/>
      <c r="AY118" s="1"/>
      <c r="AZ118" s="1" t="s">
        <v>3</v>
      </c>
      <c r="BA118" s="1"/>
      <c r="BB118" s="1" t="s">
        <v>3</v>
      </c>
      <c r="BC118" s="1" t="s">
        <v>3</v>
      </c>
      <c r="BD118" s="1" t="s">
        <v>3</v>
      </c>
      <c r="BE118" s="1" t="s">
        <v>3</v>
      </c>
      <c r="BF118" s="1" t="s">
        <v>3</v>
      </c>
      <c r="BG118" s="1" t="s">
        <v>3</v>
      </c>
      <c r="BH118" s="1" t="s">
        <v>3</v>
      </c>
      <c r="BI118" s="1" t="s">
        <v>3</v>
      </c>
      <c r="BJ118" s="1" t="s">
        <v>3</v>
      </c>
      <c r="BK118" s="1" t="s">
        <v>3</v>
      </c>
      <c r="BL118" s="1" t="s">
        <v>3</v>
      </c>
      <c r="BM118" s="1" t="s">
        <v>3</v>
      </c>
      <c r="BN118" s="1" t="s">
        <v>3</v>
      </c>
      <c r="BO118" s="1" t="s">
        <v>3</v>
      </c>
      <c r="BP118" s="1" t="s">
        <v>3</v>
      </c>
      <c r="BQ118" s="1"/>
      <c r="BR118" s="1"/>
      <c r="BS118" s="1"/>
      <c r="BT118" s="1"/>
      <c r="BU118" s="1"/>
      <c r="BV118" s="1"/>
      <c r="BW118" s="1"/>
      <c r="BX118" s="1">
        <v>0</v>
      </c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>
        <v>0</v>
      </c>
    </row>
    <row r="120" spans="1:245" x14ac:dyDescent="0.2">
      <c r="A120" s="2">
        <v>52</v>
      </c>
      <c r="B120" s="2">
        <f t="shared" ref="B120:G120" si="108">B126</f>
        <v>1</v>
      </c>
      <c r="C120" s="2">
        <f t="shared" si="108"/>
        <v>4</v>
      </c>
      <c r="D120" s="2">
        <f t="shared" si="108"/>
        <v>118</v>
      </c>
      <c r="E120" s="2">
        <f t="shared" si="108"/>
        <v>0</v>
      </c>
      <c r="F120" s="2" t="str">
        <f t="shared" si="108"/>
        <v>Новый раздел</v>
      </c>
      <c r="G120" s="2" t="str">
        <f t="shared" si="108"/>
        <v>Мусор</v>
      </c>
      <c r="H120" s="2"/>
      <c r="I120" s="2"/>
      <c r="J120" s="2"/>
      <c r="K120" s="2"/>
      <c r="L120" s="2"/>
      <c r="M120" s="2"/>
      <c r="N120" s="2"/>
      <c r="O120" s="2">
        <f t="shared" ref="O120:AT120" si="109">O126</f>
        <v>146.51</v>
      </c>
      <c r="P120" s="2">
        <f t="shared" si="109"/>
        <v>0</v>
      </c>
      <c r="Q120" s="2">
        <f t="shared" si="109"/>
        <v>146.51</v>
      </c>
      <c r="R120" s="2">
        <f t="shared" si="109"/>
        <v>87.99</v>
      </c>
      <c r="S120" s="2">
        <f t="shared" si="109"/>
        <v>0</v>
      </c>
      <c r="T120" s="2">
        <f t="shared" si="109"/>
        <v>0</v>
      </c>
      <c r="U120" s="2">
        <f t="shared" si="109"/>
        <v>0</v>
      </c>
      <c r="V120" s="2">
        <f t="shared" si="109"/>
        <v>0</v>
      </c>
      <c r="W120" s="2">
        <f t="shared" si="109"/>
        <v>0</v>
      </c>
      <c r="X120" s="2">
        <f t="shared" si="109"/>
        <v>0</v>
      </c>
      <c r="Y120" s="2">
        <f t="shared" si="109"/>
        <v>0</v>
      </c>
      <c r="Z120" s="2">
        <f t="shared" si="109"/>
        <v>0</v>
      </c>
      <c r="AA120" s="2">
        <f t="shared" si="109"/>
        <v>0</v>
      </c>
      <c r="AB120" s="2">
        <f t="shared" si="109"/>
        <v>146.51</v>
      </c>
      <c r="AC120" s="2">
        <f t="shared" si="109"/>
        <v>0</v>
      </c>
      <c r="AD120" s="2">
        <f t="shared" si="109"/>
        <v>146.51</v>
      </c>
      <c r="AE120" s="2">
        <f t="shared" si="109"/>
        <v>87.99</v>
      </c>
      <c r="AF120" s="2">
        <f t="shared" si="109"/>
        <v>0</v>
      </c>
      <c r="AG120" s="2">
        <f t="shared" si="109"/>
        <v>0</v>
      </c>
      <c r="AH120" s="2">
        <f t="shared" si="109"/>
        <v>0</v>
      </c>
      <c r="AI120" s="2">
        <f t="shared" si="109"/>
        <v>0</v>
      </c>
      <c r="AJ120" s="2">
        <f t="shared" si="109"/>
        <v>0</v>
      </c>
      <c r="AK120" s="2">
        <f t="shared" si="109"/>
        <v>0</v>
      </c>
      <c r="AL120" s="2">
        <f t="shared" si="109"/>
        <v>0</v>
      </c>
      <c r="AM120" s="2">
        <f t="shared" si="109"/>
        <v>0</v>
      </c>
      <c r="AN120" s="2">
        <f t="shared" si="109"/>
        <v>0</v>
      </c>
      <c r="AO120" s="2">
        <f t="shared" si="109"/>
        <v>0</v>
      </c>
      <c r="AP120" s="2">
        <f t="shared" si="109"/>
        <v>0</v>
      </c>
      <c r="AQ120" s="2">
        <f t="shared" si="109"/>
        <v>0</v>
      </c>
      <c r="AR120" s="2">
        <f t="shared" si="109"/>
        <v>150</v>
      </c>
      <c r="AS120" s="2">
        <f t="shared" si="109"/>
        <v>0</v>
      </c>
      <c r="AT120" s="2">
        <f t="shared" si="109"/>
        <v>0</v>
      </c>
      <c r="AU120" s="2">
        <f t="shared" ref="AU120:BZ120" si="110">AU126</f>
        <v>150</v>
      </c>
      <c r="AV120" s="2">
        <f t="shared" si="110"/>
        <v>0</v>
      </c>
      <c r="AW120" s="2">
        <f t="shared" si="110"/>
        <v>0</v>
      </c>
      <c r="AX120" s="2">
        <f t="shared" si="110"/>
        <v>0</v>
      </c>
      <c r="AY120" s="2">
        <f t="shared" si="110"/>
        <v>0</v>
      </c>
      <c r="AZ120" s="2">
        <f t="shared" si="110"/>
        <v>0</v>
      </c>
      <c r="BA120" s="2">
        <f t="shared" si="110"/>
        <v>0</v>
      </c>
      <c r="BB120" s="2">
        <f t="shared" si="110"/>
        <v>0</v>
      </c>
      <c r="BC120" s="2">
        <f t="shared" si="110"/>
        <v>0</v>
      </c>
      <c r="BD120" s="2">
        <f t="shared" si="110"/>
        <v>0</v>
      </c>
      <c r="BE120" s="2">
        <f t="shared" si="110"/>
        <v>0</v>
      </c>
      <c r="BF120" s="2">
        <f t="shared" si="110"/>
        <v>0</v>
      </c>
      <c r="BG120" s="2">
        <f t="shared" si="110"/>
        <v>0</v>
      </c>
      <c r="BH120" s="2">
        <f t="shared" si="110"/>
        <v>0</v>
      </c>
      <c r="BI120" s="2">
        <f t="shared" si="110"/>
        <v>0</v>
      </c>
      <c r="BJ120" s="2">
        <f t="shared" si="110"/>
        <v>0</v>
      </c>
      <c r="BK120" s="2">
        <f t="shared" si="110"/>
        <v>0</v>
      </c>
      <c r="BL120" s="2">
        <f t="shared" si="110"/>
        <v>0</v>
      </c>
      <c r="BM120" s="2">
        <f t="shared" si="110"/>
        <v>0</v>
      </c>
      <c r="BN120" s="2">
        <f t="shared" si="110"/>
        <v>0</v>
      </c>
      <c r="BO120" s="2">
        <f t="shared" si="110"/>
        <v>0</v>
      </c>
      <c r="BP120" s="2">
        <f t="shared" si="110"/>
        <v>0</v>
      </c>
      <c r="BQ120" s="2">
        <f t="shared" si="110"/>
        <v>0</v>
      </c>
      <c r="BR120" s="2">
        <f t="shared" si="110"/>
        <v>0</v>
      </c>
      <c r="BS120" s="2">
        <f t="shared" si="110"/>
        <v>0</v>
      </c>
      <c r="BT120" s="2">
        <f t="shared" si="110"/>
        <v>0</v>
      </c>
      <c r="BU120" s="2">
        <f t="shared" si="110"/>
        <v>0</v>
      </c>
      <c r="BV120" s="2">
        <f t="shared" si="110"/>
        <v>0</v>
      </c>
      <c r="BW120" s="2">
        <f t="shared" si="110"/>
        <v>0</v>
      </c>
      <c r="BX120" s="2">
        <f t="shared" si="110"/>
        <v>0</v>
      </c>
      <c r="BY120" s="2">
        <f t="shared" si="110"/>
        <v>0</v>
      </c>
      <c r="BZ120" s="2">
        <f t="shared" si="110"/>
        <v>0</v>
      </c>
      <c r="CA120" s="2">
        <f t="shared" ref="CA120:DF120" si="111">CA126</f>
        <v>150</v>
      </c>
      <c r="CB120" s="2">
        <f t="shared" si="111"/>
        <v>0</v>
      </c>
      <c r="CC120" s="2">
        <f t="shared" si="111"/>
        <v>0</v>
      </c>
      <c r="CD120" s="2">
        <f t="shared" si="111"/>
        <v>150</v>
      </c>
      <c r="CE120" s="2">
        <f t="shared" si="111"/>
        <v>0</v>
      </c>
      <c r="CF120" s="2">
        <f t="shared" si="111"/>
        <v>0</v>
      </c>
      <c r="CG120" s="2">
        <f t="shared" si="111"/>
        <v>0</v>
      </c>
      <c r="CH120" s="2">
        <f t="shared" si="111"/>
        <v>0</v>
      </c>
      <c r="CI120" s="2">
        <f t="shared" si="111"/>
        <v>0</v>
      </c>
      <c r="CJ120" s="2">
        <f t="shared" si="111"/>
        <v>0</v>
      </c>
      <c r="CK120" s="2">
        <f t="shared" si="111"/>
        <v>0</v>
      </c>
      <c r="CL120" s="2">
        <f t="shared" si="111"/>
        <v>0</v>
      </c>
      <c r="CM120" s="2">
        <f t="shared" si="111"/>
        <v>0</v>
      </c>
      <c r="CN120" s="2">
        <f t="shared" si="111"/>
        <v>0</v>
      </c>
      <c r="CO120" s="2">
        <f t="shared" si="111"/>
        <v>0</v>
      </c>
      <c r="CP120" s="2">
        <f t="shared" si="111"/>
        <v>0</v>
      </c>
      <c r="CQ120" s="2">
        <f t="shared" si="111"/>
        <v>0</v>
      </c>
      <c r="CR120" s="2">
        <f t="shared" si="111"/>
        <v>0</v>
      </c>
      <c r="CS120" s="2">
        <f t="shared" si="111"/>
        <v>0</v>
      </c>
      <c r="CT120" s="2">
        <f t="shared" si="111"/>
        <v>0</v>
      </c>
      <c r="CU120" s="2">
        <f t="shared" si="111"/>
        <v>0</v>
      </c>
      <c r="CV120" s="2">
        <f t="shared" si="111"/>
        <v>0</v>
      </c>
      <c r="CW120" s="2">
        <f t="shared" si="111"/>
        <v>0</v>
      </c>
      <c r="CX120" s="2">
        <f t="shared" si="111"/>
        <v>0</v>
      </c>
      <c r="CY120" s="2">
        <f t="shared" si="111"/>
        <v>0</v>
      </c>
      <c r="CZ120" s="2">
        <f t="shared" si="111"/>
        <v>0</v>
      </c>
      <c r="DA120" s="2">
        <f t="shared" si="111"/>
        <v>0</v>
      </c>
      <c r="DB120" s="2">
        <f t="shared" si="111"/>
        <v>0</v>
      </c>
      <c r="DC120" s="2">
        <f t="shared" si="111"/>
        <v>0</v>
      </c>
      <c r="DD120" s="2">
        <f t="shared" si="111"/>
        <v>0</v>
      </c>
      <c r="DE120" s="2">
        <f t="shared" si="111"/>
        <v>0</v>
      </c>
      <c r="DF120" s="2">
        <f t="shared" si="111"/>
        <v>0</v>
      </c>
      <c r="DG120" s="3">
        <f t="shared" ref="DG120:EL120" si="112">DG126</f>
        <v>0</v>
      </c>
      <c r="DH120" s="3">
        <f t="shared" si="112"/>
        <v>0</v>
      </c>
      <c r="DI120" s="3">
        <f t="shared" si="112"/>
        <v>0</v>
      </c>
      <c r="DJ120" s="3">
        <f t="shared" si="112"/>
        <v>0</v>
      </c>
      <c r="DK120" s="3">
        <f t="shared" si="112"/>
        <v>0</v>
      </c>
      <c r="DL120" s="3">
        <f t="shared" si="112"/>
        <v>0</v>
      </c>
      <c r="DM120" s="3">
        <f t="shared" si="112"/>
        <v>0</v>
      </c>
      <c r="DN120" s="3">
        <f t="shared" si="112"/>
        <v>0</v>
      </c>
      <c r="DO120" s="3">
        <f t="shared" si="112"/>
        <v>0</v>
      </c>
      <c r="DP120" s="3">
        <f t="shared" si="112"/>
        <v>0</v>
      </c>
      <c r="DQ120" s="3">
        <f t="shared" si="112"/>
        <v>0</v>
      </c>
      <c r="DR120" s="3">
        <f t="shared" si="112"/>
        <v>0</v>
      </c>
      <c r="DS120" s="3">
        <f t="shared" si="112"/>
        <v>0</v>
      </c>
      <c r="DT120" s="3">
        <f t="shared" si="112"/>
        <v>0</v>
      </c>
      <c r="DU120" s="3">
        <f t="shared" si="112"/>
        <v>0</v>
      </c>
      <c r="DV120" s="3">
        <f t="shared" si="112"/>
        <v>0</v>
      </c>
      <c r="DW120" s="3">
        <f t="shared" si="112"/>
        <v>0</v>
      </c>
      <c r="DX120" s="3">
        <f t="shared" si="112"/>
        <v>0</v>
      </c>
      <c r="DY120" s="3">
        <f t="shared" si="112"/>
        <v>0</v>
      </c>
      <c r="DZ120" s="3">
        <f t="shared" si="112"/>
        <v>0</v>
      </c>
      <c r="EA120" s="3">
        <f t="shared" si="112"/>
        <v>0</v>
      </c>
      <c r="EB120" s="3">
        <f t="shared" si="112"/>
        <v>0</v>
      </c>
      <c r="EC120" s="3">
        <f t="shared" si="112"/>
        <v>0</v>
      </c>
      <c r="ED120" s="3">
        <f t="shared" si="112"/>
        <v>0</v>
      </c>
      <c r="EE120" s="3">
        <f t="shared" si="112"/>
        <v>0</v>
      </c>
      <c r="EF120" s="3">
        <f t="shared" si="112"/>
        <v>0</v>
      </c>
      <c r="EG120" s="3">
        <f t="shared" si="112"/>
        <v>0</v>
      </c>
      <c r="EH120" s="3">
        <f t="shared" si="112"/>
        <v>0</v>
      </c>
      <c r="EI120" s="3">
        <f t="shared" si="112"/>
        <v>0</v>
      </c>
      <c r="EJ120" s="3">
        <f t="shared" si="112"/>
        <v>0</v>
      </c>
      <c r="EK120" s="3">
        <f t="shared" si="112"/>
        <v>0</v>
      </c>
      <c r="EL120" s="3">
        <f t="shared" si="112"/>
        <v>0</v>
      </c>
      <c r="EM120" s="3">
        <f t="shared" ref="EM120:FR120" si="113">EM126</f>
        <v>0</v>
      </c>
      <c r="EN120" s="3">
        <f t="shared" si="113"/>
        <v>0</v>
      </c>
      <c r="EO120" s="3">
        <f t="shared" si="113"/>
        <v>0</v>
      </c>
      <c r="EP120" s="3">
        <f t="shared" si="113"/>
        <v>0</v>
      </c>
      <c r="EQ120" s="3">
        <f t="shared" si="113"/>
        <v>0</v>
      </c>
      <c r="ER120" s="3">
        <f t="shared" si="113"/>
        <v>0</v>
      </c>
      <c r="ES120" s="3">
        <f t="shared" si="113"/>
        <v>0</v>
      </c>
      <c r="ET120" s="3">
        <f t="shared" si="113"/>
        <v>0</v>
      </c>
      <c r="EU120" s="3">
        <f t="shared" si="113"/>
        <v>0</v>
      </c>
      <c r="EV120" s="3">
        <f t="shared" si="113"/>
        <v>0</v>
      </c>
      <c r="EW120" s="3">
        <f t="shared" si="113"/>
        <v>0</v>
      </c>
      <c r="EX120" s="3">
        <f t="shared" si="113"/>
        <v>0</v>
      </c>
      <c r="EY120" s="3">
        <f t="shared" si="113"/>
        <v>0</v>
      </c>
      <c r="EZ120" s="3">
        <f t="shared" si="113"/>
        <v>0</v>
      </c>
      <c r="FA120" s="3">
        <f t="shared" si="113"/>
        <v>0</v>
      </c>
      <c r="FB120" s="3">
        <f t="shared" si="113"/>
        <v>0</v>
      </c>
      <c r="FC120" s="3">
        <f t="shared" si="113"/>
        <v>0</v>
      </c>
      <c r="FD120" s="3">
        <f t="shared" si="113"/>
        <v>0</v>
      </c>
      <c r="FE120" s="3">
        <f t="shared" si="113"/>
        <v>0</v>
      </c>
      <c r="FF120" s="3">
        <f t="shared" si="113"/>
        <v>0</v>
      </c>
      <c r="FG120" s="3">
        <f t="shared" si="113"/>
        <v>0</v>
      </c>
      <c r="FH120" s="3">
        <f t="shared" si="113"/>
        <v>0</v>
      </c>
      <c r="FI120" s="3">
        <f t="shared" si="113"/>
        <v>0</v>
      </c>
      <c r="FJ120" s="3">
        <f t="shared" si="113"/>
        <v>0</v>
      </c>
      <c r="FK120" s="3">
        <f t="shared" si="113"/>
        <v>0</v>
      </c>
      <c r="FL120" s="3">
        <f t="shared" si="113"/>
        <v>0</v>
      </c>
      <c r="FM120" s="3">
        <f t="shared" si="113"/>
        <v>0</v>
      </c>
      <c r="FN120" s="3">
        <f t="shared" si="113"/>
        <v>0</v>
      </c>
      <c r="FO120" s="3">
        <f t="shared" si="113"/>
        <v>0</v>
      </c>
      <c r="FP120" s="3">
        <f t="shared" si="113"/>
        <v>0</v>
      </c>
      <c r="FQ120" s="3">
        <f t="shared" si="113"/>
        <v>0</v>
      </c>
      <c r="FR120" s="3">
        <f t="shared" si="113"/>
        <v>0</v>
      </c>
      <c r="FS120" s="3">
        <f t="shared" ref="FS120:GX120" si="114">FS126</f>
        <v>0</v>
      </c>
      <c r="FT120" s="3">
        <f t="shared" si="114"/>
        <v>0</v>
      </c>
      <c r="FU120" s="3">
        <f t="shared" si="114"/>
        <v>0</v>
      </c>
      <c r="FV120" s="3">
        <f t="shared" si="114"/>
        <v>0</v>
      </c>
      <c r="FW120" s="3">
        <f t="shared" si="114"/>
        <v>0</v>
      </c>
      <c r="FX120" s="3">
        <f t="shared" si="114"/>
        <v>0</v>
      </c>
      <c r="FY120" s="3">
        <f t="shared" si="114"/>
        <v>0</v>
      </c>
      <c r="FZ120" s="3">
        <f t="shared" si="114"/>
        <v>0</v>
      </c>
      <c r="GA120" s="3">
        <f t="shared" si="114"/>
        <v>0</v>
      </c>
      <c r="GB120" s="3">
        <f t="shared" si="114"/>
        <v>0</v>
      </c>
      <c r="GC120" s="3">
        <f t="shared" si="114"/>
        <v>0</v>
      </c>
      <c r="GD120" s="3">
        <f t="shared" si="114"/>
        <v>0</v>
      </c>
      <c r="GE120" s="3">
        <f t="shared" si="114"/>
        <v>0</v>
      </c>
      <c r="GF120" s="3">
        <f t="shared" si="114"/>
        <v>0</v>
      </c>
      <c r="GG120" s="3">
        <f t="shared" si="114"/>
        <v>0</v>
      </c>
      <c r="GH120" s="3">
        <f t="shared" si="114"/>
        <v>0</v>
      </c>
      <c r="GI120" s="3">
        <f t="shared" si="114"/>
        <v>0</v>
      </c>
      <c r="GJ120" s="3">
        <f t="shared" si="114"/>
        <v>0</v>
      </c>
      <c r="GK120" s="3">
        <f t="shared" si="114"/>
        <v>0</v>
      </c>
      <c r="GL120" s="3">
        <f t="shared" si="114"/>
        <v>0</v>
      </c>
      <c r="GM120" s="3">
        <f t="shared" si="114"/>
        <v>0</v>
      </c>
      <c r="GN120" s="3">
        <f t="shared" si="114"/>
        <v>0</v>
      </c>
      <c r="GO120" s="3">
        <f t="shared" si="114"/>
        <v>0</v>
      </c>
      <c r="GP120" s="3">
        <f t="shared" si="114"/>
        <v>0</v>
      </c>
      <c r="GQ120" s="3">
        <f t="shared" si="114"/>
        <v>0</v>
      </c>
      <c r="GR120" s="3">
        <f t="shared" si="114"/>
        <v>0</v>
      </c>
      <c r="GS120" s="3">
        <f t="shared" si="114"/>
        <v>0</v>
      </c>
      <c r="GT120" s="3">
        <f t="shared" si="114"/>
        <v>0</v>
      </c>
      <c r="GU120" s="3">
        <f t="shared" si="114"/>
        <v>0</v>
      </c>
      <c r="GV120" s="3">
        <f t="shared" si="114"/>
        <v>0</v>
      </c>
      <c r="GW120" s="3">
        <f t="shared" si="114"/>
        <v>0</v>
      </c>
      <c r="GX120" s="3">
        <f t="shared" si="114"/>
        <v>0</v>
      </c>
    </row>
    <row r="122" spans="1:245" x14ac:dyDescent="0.2">
      <c r="A122">
        <v>17</v>
      </c>
      <c r="B122">
        <v>1</v>
      </c>
      <c r="C122">
        <f>ROW(SmtRes!A58)</f>
        <v>58</v>
      </c>
      <c r="D122">
        <f>ROW(EtalonRes!A52)</f>
        <v>52</v>
      </c>
      <c r="E122" t="s">
        <v>153</v>
      </c>
      <c r="F122" t="s">
        <v>154</v>
      </c>
      <c r="G122" t="s">
        <v>155</v>
      </c>
      <c r="H122" t="s">
        <v>35</v>
      </c>
      <c r="I122">
        <v>6.4000000000000001E-2</v>
      </c>
      <c r="J122">
        <v>0</v>
      </c>
      <c r="K122">
        <v>6.4000000000000001E-2</v>
      </c>
      <c r="O122">
        <f>ROUND(CP122,2)</f>
        <v>7.54</v>
      </c>
      <c r="P122">
        <f>ROUND(CQ122*I122,2)</f>
        <v>0</v>
      </c>
      <c r="Q122">
        <f>ROUND(CR122*I122,2)</f>
        <v>7.54</v>
      </c>
      <c r="R122">
        <f>ROUND(CS122*I122,2)</f>
        <v>3.23</v>
      </c>
      <c r="S122">
        <f>ROUND(CT122*I122,2)</f>
        <v>0</v>
      </c>
      <c r="T122">
        <f>ROUND(CU122*I122,2)</f>
        <v>0</v>
      </c>
      <c r="U122">
        <f>CV122*I122</f>
        <v>0</v>
      </c>
      <c r="V122">
        <f>CW122*I122</f>
        <v>0</v>
      </c>
      <c r="W122">
        <f>ROUND(CX122*I122,2)</f>
        <v>0</v>
      </c>
      <c r="X122">
        <f t="shared" ref="X122:Y124" si="115">ROUND(CY122,2)</f>
        <v>0</v>
      </c>
      <c r="Y122">
        <f t="shared" si="115"/>
        <v>0</v>
      </c>
      <c r="AA122">
        <v>75705739</v>
      </c>
      <c r="AB122">
        <f>ROUND((AC122+AD122+AF122),6)</f>
        <v>117.87</v>
      </c>
      <c r="AC122">
        <f>ROUND((ES122),6)</f>
        <v>0</v>
      </c>
      <c r="AD122">
        <f>ROUND((((ET122)-(EU122))+AE122),6)</f>
        <v>117.87</v>
      </c>
      <c r="AE122">
        <f>ROUND((EU122),6)</f>
        <v>50.5</v>
      </c>
      <c r="AF122">
        <f>ROUND((EV122),6)</f>
        <v>0</v>
      </c>
      <c r="AG122">
        <f>ROUND((AP122),6)</f>
        <v>0</v>
      </c>
      <c r="AH122">
        <f>(EW122)</f>
        <v>0</v>
      </c>
      <c r="AI122">
        <f>(EX122)</f>
        <v>0</v>
      </c>
      <c r="AJ122">
        <f>(AS122)</f>
        <v>0</v>
      </c>
      <c r="AK122">
        <v>117.87</v>
      </c>
      <c r="AL122">
        <v>0</v>
      </c>
      <c r="AM122">
        <v>117.87</v>
      </c>
      <c r="AN122">
        <v>50.5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70</v>
      </c>
      <c r="AU122">
        <v>10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4</v>
      </c>
      <c r="BJ122" t="s">
        <v>156</v>
      </c>
      <c r="BM122">
        <v>0</v>
      </c>
      <c r="BN122">
        <v>75371441</v>
      </c>
      <c r="BO122" t="s">
        <v>3</v>
      </c>
      <c r="BP122">
        <v>0</v>
      </c>
      <c r="BQ122">
        <v>1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70</v>
      </c>
      <c r="CA122">
        <v>10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>(P122+Q122+S122)</f>
        <v>7.54</v>
      </c>
      <c r="CQ122">
        <f>(AC122*BC122*AW122)</f>
        <v>0</v>
      </c>
      <c r="CR122">
        <f>((((ET122)*BB122-(EU122)*BS122)+AE122*BS122)*AV122)</f>
        <v>117.87</v>
      </c>
      <c r="CS122">
        <f>(AE122*BS122*AV122)</f>
        <v>50.5</v>
      </c>
      <c r="CT122">
        <f>(AF122*BA122*AV122)</f>
        <v>0</v>
      </c>
      <c r="CU122">
        <f>AG122</f>
        <v>0</v>
      </c>
      <c r="CV122">
        <f>(AH122*AV122)</f>
        <v>0</v>
      </c>
      <c r="CW122">
        <f t="shared" ref="CW122:CX124" si="116">AI122</f>
        <v>0</v>
      </c>
      <c r="CX122">
        <f t="shared" si="116"/>
        <v>0</v>
      </c>
      <c r="CY122">
        <f>((S122*BZ122)/100)</f>
        <v>0</v>
      </c>
      <c r="CZ122">
        <f>((S122*CA122)/100)</f>
        <v>0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1009</v>
      </c>
      <c r="DV122" t="s">
        <v>35</v>
      </c>
      <c r="DW122" t="s">
        <v>35</v>
      </c>
      <c r="DX122">
        <v>1000</v>
      </c>
      <c r="DZ122" t="s">
        <v>3</v>
      </c>
      <c r="EA122" t="s">
        <v>3</v>
      </c>
      <c r="EB122" t="s">
        <v>3</v>
      </c>
      <c r="EC122" t="s">
        <v>3</v>
      </c>
      <c r="EE122">
        <v>75371444</v>
      </c>
      <c r="EF122">
        <v>1</v>
      </c>
      <c r="EG122" t="s">
        <v>20</v>
      </c>
      <c r="EH122">
        <v>0</v>
      </c>
      <c r="EI122" t="s">
        <v>3</v>
      </c>
      <c r="EJ122">
        <v>4</v>
      </c>
      <c r="EK122">
        <v>0</v>
      </c>
      <c r="EL122" t="s">
        <v>21</v>
      </c>
      <c r="EM122" t="s">
        <v>22</v>
      </c>
      <c r="EO122" t="s">
        <v>3</v>
      </c>
      <c r="EQ122">
        <v>0</v>
      </c>
      <c r="ER122">
        <v>117.87</v>
      </c>
      <c r="ES122">
        <v>0</v>
      </c>
      <c r="ET122">
        <v>117.87</v>
      </c>
      <c r="EU122">
        <v>50.5</v>
      </c>
      <c r="EV122">
        <v>0</v>
      </c>
      <c r="EW122">
        <v>0</v>
      </c>
      <c r="EX122">
        <v>0</v>
      </c>
      <c r="EY122">
        <v>0</v>
      </c>
      <c r="FQ122">
        <v>0</v>
      </c>
      <c r="FR122">
        <f>ROUND(IF(BI122=3,GM122,0),2)</f>
        <v>0</v>
      </c>
      <c r="FS122">
        <v>0</v>
      </c>
      <c r="FX122">
        <v>70</v>
      </c>
      <c r="FY122">
        <v>10</v>
      </c>
      <c r="GA122" t="s">
        <v>3</v>
      </c>
      <c r="GD122">
        <v>0</v>
      </c>
      <c r="GF122">
        <v>202864010</v>
      </c>
      <c r="GG122">
        <v>2</v>
      </c>
      <c r="GH122">
        <v>1</v>
      </c>
      <c r="GI122">
        <v>-2</v>
      </c>
      <c r="GJ122">
        <v>0</v>
      </c>
      <c r="GK122">
        <f>ROUND(R122*(R12)/100,2)</f>
        <v>3.49</v>
      </c>
      <c r="GL122">
        <f>ROUND(IF(AND(BH122=3,BI122=3,FS122&lt;&gt;0),P122,0),2)</f>
        <v>0</v>
      </c>
      <c r="GM122">
        <f>ROUND(O122+X122+Y122+GK122,2)+GX122</f>
        <v>11.03</v>
      </c>
      <c r="GN122">
        <f>IF(OR(BI122=0,BI122=1),GM122-GX122,0)</f>
        <v>0</v>
      </c>
      <c r="GO122">
        <f>IF(BI122=2,GM122-GX122,0)</f>
        <v>0</v>
      </c>
      <c r="GP122">
        <f>IF(BI122=4,GM122-GX122,0)</f>
        <v>11.03</v>
      </c>
      <c r="GR122">
        <v>0</v>
      </c>
      <c r="GS122">
        <v>3</v>
      </c>
      <c r="GT122">
        <v>0</v>
      </c>
      <c r="GU122" t="s">
        <v>3</v>
      </c>
      <c r="GV122">
        <f>ROUND((GT122),6)</f>
        <v>0</v>
      </c>
      <c r="GW122">
        <v>1</v>
      </c>
      <c r="GX122">
        <f>ROUND(HC122*I122,2)</f>
        <v>0</v>
      </c>
      <c r="HA122">
        <v>0</v>
      </c>
      <c r="HB122">
        <v>0</v>
      </c>
      <c r="HC122">
        <f>GV122*GW122</f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IK122">
        <v>0</v>
      </c>
    </row>
    <row r="123" spans="1:245" x14ac:dyDescent="0.2">
      <c r="A123">
        <v>17</v>
      </c>
      <c r="B123">
        <v>1</v>
      </c>
      <c r="C123">
        <f>ROW(SmtRes!A60)</f>
        <v>60</v>
      </c>
      <c r="D123">
        <f>ROW(EtalonRes!A54)</f>
        <v>54</v>
      </c>
      <c r="E123" t="s">
        <v>157</v>
      </c>
      <c r="F123" t="s">
        <v>158</v>
      </c>
      <c r="G123" t="s">
        <v>159</v>
      </c>
      <c r="H123" t="s">
        <v>35</v>
      </c>
      <c r="I123">
        <f>ROUND(I122,9)</f>
        <v>6.4000000000000001E-2</v>
      </c>
      <c r="J123">
        <v>0</v>
      </c>
      <c r="K123">
        <f>ROUND(I122,9)</f>
        <v>6.4000000000000001E-2</v>
      </c>
      <c r="O123">
        <f>ROUND(CP123,2)</f>
        <v>5.86</v>
      </c>
      <c r="P123">
        <f>ROUND(CQ123*I123,2)</f>
        <v>0</v>
      </c>
      <c r="Q123">
        <f>ROUND(CR123*I123,2)</f>
        <v>5.86</v>
      </c>
      <c r="R123">
        <f>ROUND(CS123*I123,2)</f>
        <v>3.57</v>
      </c>
      <c r="S123">
        <f>ROUND(CT123*I123,2)</f>
        <v>0</v>
      </c>
      <c r="T123">
        <f>ROUND(CU123*I123,2)</f>
        <v>0</v>
      </c>
      <c r="U123">
        <f>CV123*I123</f>
        <v>0</v>
      </c>
      <c r="V123">
        <f>CW123*I123</f>
        <v>0</v>
      </c>
      <c r="W123">
        <f>ROUND(CX123*I123,2)</f>
        <v>0</v>
      </c>
      <c r="X123">
        <f t="shared" si="115"/>
        <v>0</v>
      </c>
      <c r="Y123">
        <f t="shared" si="115"/>
        <v>0</v>
      </c>
      <c r="AA123">
        <v>75705739</v>
      </c>
      <c r="AB123">
        <f>ROUND((AC123+AD123+AF123),6)</f>
        <v>91.5</v>
      </c>
      <c r="AC123">
        <f>ROUND((ES123),6)</f>
        <v>0</v>
      </c>
      <c r="AD123">
        <f>ROUND((((ET123)-(EU123))+AE123),6)</f>
        <v>91.5</v>
      </c>
      <c r="AE123">
        <f>ROUND((EU123),6)</f>
        <v>55.79</v>
      </c>
      <c r="AF123">
        <f>ROUND((EV123),6)</f>
        <v>0</v>
      </c>
      <c r="AG123">
        <f>ROUND((AP123),6)</f>
        <v>0</v>
      </c>
      <c r="AH123">
        <f>(EW123)</f>
        <v>0</v>
      </c>
      <c r="AI123">
        <f>(EX123)</f>
        <v>0</v>
      </c>
      <c r="AJ123">
        <f>(AS123)</f>
        <v>0</v>
      </c>
      <c r="AK123">
        <v>91.5</v>
      </c>
      <c r="AL123">
        <v>0</v>
      </c>
      <c r="AM123">
        <v>91.5</v>
      </c>
      <c r="AN123">
        <v>55.79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4</v>
      </c>
      <c r="BJ123" t="s">
        <v>160</v>
      </c>
      <c r="BM123">
        <v>1</v>
      </c>
      <c r="BN123">
        <v>75371441</v>
      </c>
      <c r="BO123" t="s">
        <v>3</v>
      </c>
      <c r="BP123">
        <v>0</v>
      </c>
      <c r="BQ123">
        <v>1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0</v>
      </c>
      <c r="CA123">
        <v>0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>(P123+Q123+S123)</f>
        <v>5.86</v>
      </c>
      <c r="CQ123">
        <f>(AC123*BC123*AW123)</f>
        <v>0</v>
      </c>
      <c r="CR123">
        <f>((((ET123)*BB123-(EU123)*BS123)+AE123*BS123)*AV123)</f>
        <v>91.5</v>
      </c>
      <c r="CS123">
        <f>(AE123*BS123*AV123)</f>
        <v>55.79</v>
      </c>
      <c r="CT123">
        <f>(AF123*BA123*AV123)</f>
        <v>0</v>
      </c>
      <c r="CU123">
        <f>AG123</f>
        <v>0</v>
      </c>
      <c r="CV123">
        <f>(AH123*AV123)</f>
        <v>0</v>
      </c>
      <c r="CW123">
        <f t="shared" si="116"/>
        <v>0</v>
      </c>
      <c r="CX123">
        <f t="shared" si="116"/>
        <v>0</v>
      </c>
      <c r="CY123">
        <f>((S123*BZ123)/100)</f>
        <v>0</v>
      </c>
      <c r="CZ123">
        <f>((S123*CA123)/100)</f>
        <v>0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1009</v>
      </c>
      <c r="DV123" t="s">
        <v>35</v>
      </c>
      <c r="DW123" t="s">
        <v>35</v>
      </c>
      <c r="DX123">
        <v>1000</v>
      </c>
      <c r="DZ123" t="s">
        <v>3</v>
      </c>
      <c r="EA123" t="s">
        <v>3</v>
      </c>
      <c r="EB123" t="s">
        <v>3</v>
      </c>
      <c r="EC123" t="s">
        <v>3</v>
      </c>
      <c r="EE123">
        <v>75371446</v>
      </c>
      <c r="EF123">
        <v>1</v>
      </c>
      <c r="EG123" t="s">
        <v>20</v>
      </c>
      <c r="EH123">
        <v>0</v>
      </c>
      <c r="EI123" t="s">
        <v>3</v>
      </c>
      <c r="EJ123">
        <v>4</v>
      </c>
      <c r="EK123">
        <v>1</v>
      </c>
      <c r="EL123" t="s">
        <v>161</v>
      </c>
      <c r="EM123" t="s">
        <v>22</v>
      </c>
      <c r="EO123" t="s">
        <v>3</v>
      </c>
      <c r="EQ123">
        <v>0</v>
      </c>
      <c r="ER123">
        <v>91.5</v>
      </c>
      <c r="ES123">
        <v>0</v>
      </c>
      <c r="ET123">
        <v>91.5</v>
      </c>
      <c r="EU123">
        <v>55.79</v>
      </c>
      <c r="EV123">
        <v>0</v>
      </c>
      <c r="EW123">
        <v>0</v>
      </c>
      <c r="EX123">
        <v>0</v>
      </c>
      <c r="EY123">
        <v>0</v>
      </c>
      <c r="FQ123">
        <v>0</v>
      </c>
      <c r="FR123">
        <f>ROUND(IF(BI123=3,GM123,0),2)</f>
        <v>0</v>
      </c>
      <c r="FS123">
        <v>0</v>
      </c>
      <c r="FX123">
        <v>0</v>
      </c>
      <c r="FY123">
        <v>0</v>
      </c>
      <c r="GA123" t="s">
        <v>3</v>
      </c>
      <c r="GD123">
        <v>1</v>
      </c>
      <c r="GF123">
        <v>877741387</v>
      </c>
      <c r="GG123">
        <v>2</v>
      </c>
      <c r="GH123">
        <v>1</v>
      </c>
      <c r="GI123">
        <v>-2</v>
      </c>
      <c r="GJ123">
        <v>0</v>
      </c>
      <c r="GK123">
        <v>0</v>
      </c>
      <c r="GL123">
        <f>ROUND(IF(AND(BH123=3,BI123=3,FS123&lt;&gt;0),P123,0),2)</f>
        <v>0</v>
      </c>
      <c r="GM123">
        <f>ROUND(O123+X123+Y123,2)+GX123</f>
        <v>5.86</v>
      </c>
      <c r="GN123">
        <f>IF(OR(BI123=0,BI123=1),GM123-GX123,0)</f>
        <v>0</v>
      </c>
      <c r="GO123">
        <f>IF(BI123=2,GM123-GX123,0)</f>
        <v>0</v>
      </c>
      <c r="GP123">
        <f>IF(BI123=4,GM123-GX123,0)</f>
        <v>5.86</v>
      </c>
      <c r="GR123">
        <v>0</v>
      </c>
      <c r="GS123">
        <v>0</v>
      </c>
      <c r="GT123">
        <v>0</v>
      </c>
      <c r="GU123" t="s">
        <v>3</v>
      </c>
      <c r="GV123">
        <f>ROUND((GT123),6)</f>
        <v>0</v>
      </c>
      <c r="GW123">
        <v>1</v>
      </c>
      <c r="GX123">
        <f>ROUND(HC123*I123,2)</f>
        <v>0</v>
      </c>
      <c r="HA123">
        <v>0</v>
      </c>
      <c r="HB123">
        <v>0</v>
      </c>
      <c r="HC123">
        <f>GV123*GW123</f>
        <v>0</v>
      </c>
      <c r="HE123" t="s">
        <v>3</v>
      </c>
      <c r="HF123" t="s">
        <v>3</v>
      </c>
      <c r="HM123" t="s">
        <v>3</v>
      </c>
      <c r="HN123" t="s">
        <v>3</v>
      </c>
      <c r="HO123" t="s">
        <v>3</v>
      </c>
      <c r="HP123" t="s">
        <v>3</v>
      </c>
      <c r="HQ123" t="s">
        <v>3</v>
      </c>
      <c r="IK123">
        <v>0</v>
      </c>
    </row>
    <row r="124" spans="1:245" x14ac:dyDescent="0.2">
      <c r="A124">
        <v>17</v>
      </c>
      <c r="B124">
        <v>1</v>
      </c>
      <c r="C124">
        <f>ROW(SmtRes!A62)</f>
        <v>62</v>
      </c>
      <c r="D124">
        <f>ROW(EtalonRes!A56)</f>
        <v>56</v>
      </c>
      <c r="E124" t="s">
        <v>162</v>
      </c>
      <c r="F124" t="s">
        <v>163</v>
      </c>
      <c r="G124" t="s">
        <v>164</v>
      </c>
      <c r="H124" t="s">
        <v>35</v>
      </c>
      <c r="I124">
        <f>ROUND(I122,9)</f>
        <v>6.4000000000000001E-2</v>
      </c>
      <c r="J124">
        <v>0</v>
      </c>
      <c r="K124">
        <f>ROUND(I122,9)</f>
        <v>6.4000000000000001E-2</v>
      </c>
      <c r="O124">
        <f>ROUND(CP124,2)</f>
        <v>133.11000000000001</v>
      </c>
      <c r="P124">
        <f>ROUND(CQ124*I124,2)</f>
        <v>0</v>
      </c>
      <c r="Q124">
        <f>ROUND(CR124*I124,2)</f>
        <v>133.11000000000001</v>
      </c>
      <c r="R124">
        <f>ROUND(CS124*I124,2)</f>
        <v>81.19</v>
      </c>
      <c r="S124">
        <f>ROUND(CT124*I124,2)</f>
        <v>0</v>
      </c>
      <c r="T124">
        <f>ROUND(CU124*I124,2)</f>
        <v>0</v>
      </c>
      <c r="U124">
        <f>CV124*I124</f>
        <v>0</v>
      </c>
      <c r="V124">
        <f>CW124*I124</f>
        <v>0</v>
      </c>
      <c r="W124">
        <f>ROUND(CX124*I124,2)</f>
        <v>0</v>
      </c>
      <c r="X124">
        <f t="shared" si="115"/>
        <v>0</v>
      </c>
      <c r="Y124">
        <f t="shared" si="115"/>
        <v>0</v>
      </c>
      <c r="AA124">
        <v>75705739</v>
      </c>
      <c r="AB124">
        <f>ROUND((AC124+AD124+AF124),6)</f>
        <v>2079.84</v>
      </c>
      <c r="AC124">
        <f>ROUND((ES124),6)</f>
        <v>0</v>
      </c>
      <c r="AD124">
        <f>ROUND(((((ET124*48))-((EU124*48)))+AE124),6)</f>
        <v>2079.84</v>
      </c>
      <c r="AE124">
        <f>ROUND(((EU124*48)),6)</f>
        <v>1268.6400000000001</v>
      </c>
      <c r="AF124">
        <f>ROUND(((EV124*48)),6)</f>
        <v>0</v>
      </c>
      <c r="AG124">
        <f>ROUND((AP124),6)</f>
        <v>0</v>
      </c>
      <c r="AH124">
        <f>((EW124*48))</f>
        <v>0</v>
      </c>
      <c r="AI124">
        <f>((EX124*48))</f>
        <v>0</v>
      </c>
      <c r="AJ124">
        <f>(AS124)</f>
        <v>0</v>
      </c>
      <c r="AK124">
        <v>43.33</v>
      </c>
      <c r="AL124">
        <v>0</v>
      </c>
      <c r="AM124">
        <v>43.33</v>
      </c>
      <c r="AN124">
        <v>26.43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4</v>
      </c>
      <c r="BJ124" t="s">
        <v>165</v>
      </c>
      <c r="BM124">
        <v>1</v>
      </c>
      <c r="BN124">
        <v>75371441</v>
      </c>
      <c r="BO124" t="s">
        <v>3</v>
      </c>
      <c r="BP124">
        <v>0</v>
      </c>
      <c r="BQ124">
        <v>1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0</v>
      </c>
      <c r="CA124">
        <v>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>(P124+Q124+S124)</f>
        <v>133.11000000000001</v>
      </c>
      <c r="CQ124">
        <f>(AC124*BC124*AW124)</f>
        <v>0</v>
      </c>
      <c r="CR124">
        <f>(((((ET124*48))*BB124-((EU124*48))*BS124)+AE124*BS124)*AV124)</f>
        <v>2079.84</v>
      </c>
      <c r="CS124">
        <f>(AE124*BS124*AV124)</f>
        <v>1268.6400000000001</v>
      </c>
      <c r="CT124">
        <f>(AF124*BA124*AV124)</f>
        <v>0</v>
      </c>
      <c r="CU124">
        <f>AG124</f>
        <v>0</v>
      </c>
      <c r="CV124">
        <f>(AH124*AV124)</f>
        <v>0</v>
      </c>
      <c r="CW124">
        <f t="shared" si="116"/>
        <v>0</v>
      </c>
      <c r="CX124">
        <f t="shared" si="116"/>
        <v>0</v>
      </c>
      <c r="CY124">
        <f>((S124*BZ124)/100)</f>
        <v>0</v>
      </c>
      <c r="CZ124">
        <f>((S124*CA124)/100)</f>
        <v>0</v>
      </c>
      <c r="DC124" t="s">
        <v>3</v>
      </c>
      <c r="DD124" t="s">
        <v>3</v>
      </c>
      <c r="DE124" t="s">
        <v>166</v>
      </c>
      <c r="DF124" t="s">
        <v>166</v>
      </c>
      <c r="DG124" t="s">
        <v>166</v>
      </c>
      <c r="DH124" t="s">
        <v>3</v>
      </c>
      <c r="DI124" t="s">
        <v>166</v>
      </c>
      <c r="DJ124" t="s">
        <v>166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1009</v>
      </c>
      <c r="DV124" t="s">
        <v>35</v>
      </c>
      <c r="DW124" t="s">
        <v>35</v>
      </c>
      <c r="DX124">
        <v>1000</v>
      </c>
      <c r="DZ124" t="s">
        <v>3</v>
      </c>
      <c r="EA124" t="s">
        <v>3</v>
      </c>
      <c r="EB124" t="s">
        <v>3</v>
      </c>
      <c r="EC124" t="s">
        <v>3</v>
      </c>
      <c r="EE124">
        <v>75371446</v>
      </c>
      <c r="EF124">
        <v>1</v>
      </c>
      <c r="EG124" t="s">
        <v>20</v>
      </c>
      <c r="EH124">
        <v>0</v>
      </c>
      <c r="EI124" t="s">
        <v>3</v>
      </c>
      <c r="EJ124">
        <v>4</v>
      </c>
      <c r="EK124">
        <v>1</v>
      </c>
      <c r="EL124" t="s">
        <v>161</v>
      </c>
      <c r="EM124" t="s">
        <v>22</v>
      </c>
      <c r="EO124" t="s">
        <v>3</v>
      </c>
      <c r="EQ124">
        <v>0</v>
      </c>
      <c r="ER124">
        <v>43.33</v>
      </c>
      <c r="ES124">
        <v>0</v>
      </c>
      <c r="ET124">
        <v>43.33</v>
      </c>
      <c r="EU124">
        <v>26.43</v>
      </c>
      <c r="EV124">
        <v>0</v>
      </c>
      <c r="EW124">
        <v>0</v>
      </c>
      <c r="EX124">
        <v>0</v>
      </c>
      <c r="EY124">
        <v>0</v>
      </c>
      <c r="FQ124">
        <v>0</v>
      </c>
      <c r="FR124">
        <f>ROUND(IF(BI124=3,GM124,0),2)</f>
        <v>0</v>
      </c>
      <c r="FS124">
        <v>0</v>
      </c>
      <c r="FX124">
        <v>0</v>
      </c>
      <c r="FY124">
        <v>0</v>
      </c>
      <c r="GA124" t="s">
        <v>3</v>
      </c>
      <c r="GD124">
        <v>1</v>
      </c>
      <c r="GF124">
        <v>134341046</v>
      </c>
      <c r="GG124">
        <v>2</v>
      </c>
      <c r="GH124">
        <v>1</v>
      </c>
      <c r="GI124">
        <v>-2</v>
      </c>
      <c r="GJ124">
        <v>0</v>
      </c>
      <c r="GK124">
        <v>0</v>
      </c>
      <c r="GL124">
        <f>ROUND(IF(AND(BH124=3,BI124=3,FS124&lt;&gt;0),P124,0),2)</f>
        <v>0</v>
      </c>
      <c r="GM124">
        <f>ROUND(O124+X124+Y124,2)+GX124</f>
        <v>133.11000000000001</v>
      </c>
      <c r="GN124">
        <f>IF(OR(BI124=0,BI124=1),GM124-GX124,0)</f>
        <v>0</v>
      </c>
      <c r="GO124">
        <f>IF(BI124=2,GM124-GX124,0)</f>
        <v>0</v>
      </c>
      <c r="GP124">
        <f>IF(BI124=4,GM124-GX124,0)</f>
        <v>133.11000000000001</v>
      </c>
      <c r="GR124">
        <v>0</v>
      </c>
      <c r="GS124">
        <v>0</v>
      </c>
      <c r="GT124">
        <v>0</v>
      </c>
      <c r="GU124" t="s">
        <v>3</v>
      </c>
      <c r="GV124">
        <f>ROUND((GT124),6)</f>
        <v>0</v>
      </c>
      <c r="GW124">
        <v>1</v>
      </c>
      <c r="GX124">
        <f>ROUND(HC124*I124,2)</f>
        <v>0</v>
      </c>
      <c r="HA124">
        <v>0</v>
      </c>
      <c r="HB124">
        <v>0</v>
      </c>
      <c r="HC124">
        <f>GV124*GW124</f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6" spans="1:245" x14ac:dyDescent="0.2">
      <c r="A126" s="2">
        <v>51</v>
      </c>
      <c r="B126" s="2">
        <f>B118</f>
        <v>1</v>
      </c>
      <c r="C126" s="2">
        <f>A118</f>
        <v>4</v>
      </c>
      <c r="D126" s="2">
        <f>ROW(A118)</f>
        <v>118</v>
      </c>
      <c r="E126" s="2"/>
      <c r="F126" s="2" t="str">
        <f>IF(F118&lt;&gt;"",F118,"")</f>
        <v>Новый раздел</v>
      </c>
      <c r="G126" s="2" t="str">
        <f>IF(G118&lt;&gt;"",G118,"")</f>
        <v>Мусор</v>
      </c>
      <c r="H126" s="2">
        <v>0</v>
      </c>
      <c r="I126" s="2"/>
      <c r="J126" s="2"/>
      <c r="K126" s="2"/>
      <c r="L126" s="2"/>
      <c r="M126" s="2"/>
      <c r="N126" s="2"/>
      <c r="O126" s="2">
        <f t="shared" ref="O126:T126" si="117">ROUND(AB126,2)</f>
        <v>146.51</v>
      </c>
      <c r="P126" s="2">
        <f t="shared" si="117"/>
        <v>0</v>
      </c>
      <c r="Q126" s="2">
        <f t="shared" si="117"/>
        <v>146.51</v>
      </c>
      <c r="R126" s="2">
        <f t="shared" si="117"/>
        <v>87.99</v>
      </c>
      <c r="S126" s="2">
        <f t="shared" si="117"/>
        <v>0</v>
      </c>
      <c r="T126" s="2">
        <f t="shared" si="117"/>
        <v>0</v>
      </c>
      <c r="U126" s="2">
        <f>AH126</f>
        <v>0</v>
      </c>
      <c r="V126" s="2">
        <f>AI126</f>
        <v>0</v>
      </c>
      <c r="W126" s="2">
        <f>ROUND(AJ126,2)</f>
        <v>0</v>
      </c>
      <c r="X126" s="2">
        <f>ROUND(AK126,2)</f>
        <v>0</v>
      </c>
      <c r="Y126" s="2">
        <f>ROUND(AL126,2)</f>
        <v>0</v>
      </c>
      <c r="Z126" s="2"/>
      <c r="AA126" s="2"/>
      <c r="AB126" s="2">
        <f>ROUND(SUMIF(AA122:AA124,"=75705739",O122:O124),2)</f>
        <v>146.51</v>
      </c>
      <c r="AC126" s="2">
        <f>ROUND(SUMIF(AA122:AA124,"=75705739",P122:P124),2)</f>
        <v>0</v>
      </c>
      <c r="AD126" s="2">
        <f>ROUND(SUMIF(AA122:AA124,"=75705739",Q122:Q124),2)</f>
        <v>146.51</v>
      </c>
      <c r="AE126" s="2">
        <f>ROUND(SUMIF(AA122:AA124,"=75705739",R122:R124),2)</f>
        <v>87.99</v>
      </c>
      <c r="AF126" s="2">
        <f>ROUND(SUMIF(AA122:AA124,"=75705739",S122:S124),2)</f>
        <v>0</v>
      </c>
      <c r="AG126" s="2">
        <f>ROUND(SUMIF(AA122:AA124,"=75705739",T122:T124),2)</f>
        <v>0</v>
      </c>
      <c r="AH126" s="2">
        <f>SUMIF(AA122:AA124,"=75705739",U122:U124)</f>
        <v>0</v>
      </c>
      <c r="AI126" s="2">
        <f>SUMIF(AA122:AA124,"=75705739",V122:V124)</f>
        <v>0</v>
      </c>
      <c r="AJ126" s="2">
        <f>ROUND(SUMIF(AA122:AA124,"=75705739",W122:W124),2)</f>
        <v>0</v>
      </c>
      <c r="AK126" s="2">
        <f>ROUND(SUMIF(AA122:AA124,"=75705739",X122:X124),2)</f>
        <v>0</v>
      </c>
      <c r="AL126" s="2">
        <f>ROUND(SUMIF(AA122:AA124,"=75705739",Y122:Y124),2)</f>
        <v>0</v>
      </c>
      <c r="AM126" s="2"/>
      <c r="AN126" s="2"/>
      <c r="AO126" s="2">
        <f t="shared" ref="AO126:BD126" si="118">ROUND(BX126,2)</f>
        <v>0</v>
      </c>
      <c r="AP126" s="2">
        <f t="shared" si="118"/>
        <v>0</v>
      </c>
      <c r="AQ126" s="2">
        <f t="shared" si="118"/>
        <v>0</v>
      </c>
      <c r="AR126" s="2">
        <f t="shared" si="118"/>
        <v>150</v>
      </c>
      <c r="AS126" s="2">
        <f t="shared" si="118"/>
        <v>0</v>
      </c>
      <c r="AT126" s="2">
        <f t="shared" si="118"/>
        <v>0</v>
      </c>
      <c r="AU126" s="2">
        <f t="shared" si="118"/>
        <v>150</v>
      </c>
      <c r="AV126" s="2">
        <f t="shared" si="118"/>
        <v>0</v>
      </c>
      <c r="AW126" s="2">
        <f t="shared" si="118"/>
        <v>0</v>
      </c>
      <c r="AX126" s="2">
        <f t="shared" si="118"/>
        <v>0</v>
      </c>
      <c r="AY126" s="2">
        <f t="shared" si="118"/>
        <v>0</v>
      </c>
      <c r="AZ126" s="2">
        <f t="shared" si="118"/>
        <v>0</v>
      </c>
      <c r="BA126" s="2">
        <f t="shared" si="118"/>
        <v>0</v>
      </c>
      <c r="BB126" s="2">
        <f t="shared" si="118"/>
        <v>0</v>
      </c>
      <c r="BC126" s="2">
        <f t="shared" si="118"/>
        <v>0</v>
      </c>
      <c r="BD126" s="2">
        <f t="shared" si="118"/>
        <v>0</v>
      </c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>
        <f>ROUND(SUMIF(AA122:AA124,"=75705739",FQ122:FQ124),2)</f>
        <v>0</v>
      </c>
      <c r="BY126" s="2">
        <f>ROUND(SUMIF(AA122:AA124,"=75705739",FR122:FR124),2)</f>
        <v>0</v>
      </c>
      <c r="BZ126" s="2">
        <f>ROUND(SUMIF(AA122:AA124,"=75705739",GL122:GL124),2)</f>
        <v>0</v>
      </c>
      <c r="CA126" s="2">
        <f>ROUND(SUMIF(AA122:AA124,"=75705739",GM122:GM124),2)</f>
        <v>150</v>
      </c>
      <c r="CB126" s="2">
        <f>ROUND(SUMIF(AA122:AA124,"=75705739",GN122:GN124),2)</f>
        <v>0</v>
      </c>
      <c r="CC126" s="2">
        <f>ROUND(SUMIF(AA122:AA124,"=75705739",GO122:GO124),2)</f>
        <v>0</v>
      </c>
      <c r="CD126" s="2">
        <f>ROUND(SUMIF(AA122:AA124,"=75705739",GP122:GP124),2)</f>
        <v>150</v>
      </c>
      <c r="CE126" s="2">
        <f>AC126-BX126</f>
        <v>0</v>
      </c>
      <c r="CF126" s="2">
        <f>AC126-BY126</f>
        <v>0</v>
      </c>
      <c r="CG126" s="2">
        <f>BX126-BZ126</f>
        <v>0</v>
      </c>
      <c r="CH126" s="2">
        <f>AC126-BX126-BY126+BZ126</f>
        <v>0</v>
      </c>
      <c r="CI126" s="2">
        <f>BY126-BZ126</f>
        <v>0</v>
      </c>
      <c r="CJ126" s="2">
        <f>ROUND(SUMIF(AA122:AA124,"=75705739",GX122:GX124),2)</f>
        <v>0</v>
      </c>
      <c r="CK126" s="2">
        <f>ROUND(SUMIF(AA122:AA124,"=75705739",GY122:GY124),2)</f>
        <v>0</v>
      </c>
      <c r="CL126" s="2">
        <f>ROUND(SUMIF(AA122:AA124,"=75705739",GZ122:GZ124),2)</f>
        <v>0</v>
      </c>
      <c r="CM126" s="2">
        <f>ROUND(SUMIF(AA122:AA124,"=75705739",HD122:HD124),2)</f>
        <v>0</v>
      </c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>
        <v>0</v>
      </c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201</v>
      </c>
      <c r="F128" s="4">
        <f>ROUND(Source!O126,O128)</f>
        <v>146.51</v>
      </c>
      <c r="G128" s="4" t="s">
        <v>45</v>
      </c>
      <c r="H128" s="4" t="s">
        <v>46</v>
      </c>
      <c r="I128" s="4"/>
      <c r="J128" s="4"/>
      <c r="K128" s="4">
        <v>201</v>
      </c>
      <c r="L128" s="4">
        <v>1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146.51</v>
      </c>
      <c r="X128" s="4">
        <v>1</v>
      </c>
      <c r="Y128" s="4">
        <v>146.51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202</v>
      </c>
      <c r="F129" s="4">
        <f>ROUND(Source!P126,O129)</f>
        <v>0</v>
      </c>
      <c r="G129" s="4" t="s">
        <v>47</v>
      </c>
      <c r="H129" s="4" t="s">
        <v>48</v>
      </c>
      <c r="I129" s="4"/>
      <c r="J129" s="4"/>
      <c r="K129" s="4">
        <v>202</v>
      </c>
      <c r="L129" s="4">
        <v>2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222</v>
      </c>
      <c r="F130" s="4">
        <f>ROUND(Source!AO126,O130)</f>
        <v>0</v>
      </c>
      <c r="G130" s="4" t="s">
        <v>49</v>
      </c>
      <c r="H130" s="4" t="s">
        <v>50</v>
      </c>
      <c r="I130" s="4"/>
      <c r="J130" s="4"/>
      <c r="K130" s="4">
        <v>222</v>
      </c>
      <c r="L130" s="4">
        <v>3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225</v>
      </c>
      <c r="F131" s="4">
        <f>ROUND(Source!AV126,O131)</f>
        <v>0</v>
      </c>
      <c r="G131" s="4" t="s">
        <v>51</v>
      </c>
      <c r="H131" s="4" t="s">
        <v>52</v>
      </c>
      <c r="I131" s="4"/>
      <c r="J131" s="4"/>
      <c r="K131" s="4">
        <v>225</v>
      </c>
      <c r="L131" s="4">
        <v>4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226</v>
      </c>
      <c r="F132" s="4">
        <f>ROUND(Source!AW126,O132)</f>
        <v>0</v>
      </c>
      <c r="G132" s="4" t="s">
        <v>53</v>
      </c>
      <c r="H132" s="4" t="s">
        <v>54</v>
      </c>
      <c r="I132" s="4"/>
      <c r="J132" s="4"/>
      <c r="K132" s="4">
        <v>226</v>
      </c>
      <c r="L132" s="4">
        <v>5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227</v>
      </c>
      <c r="F133" s="4">
        <f>ROUND(Source!AX126,O133)</f>
        <v>0</v>
      </c>
      <c r="G133" s="4" t="s">
        <v>55</v>
      </c>
      <c r="H133" s="4" t="s">
        <v>56</v>
      </c>
      <c r="I133" s="4"/>
      <c r="J133" s="4"/>
      <c r="K133" s="4">
        <v>227</v>
      </c>
      <c r="L133" s="4">
        <v>6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228</v>
      </c>
      <c r="F134" s="4">
        <f>ROUND(Source!AY126,O134)</f>
        <v>0</v>
      </c>
      <c r="G134" s="4" t="s">
        <v>57</v>
      </c>
      <c r="H134" s="4" t="s">
        <v>58</v>
      </c>
      <c r="I134" s="4"/>
      <c r="J134" s="4"/>
      <c r="K134" s="4">
        <v>228</v>
      </c>
      <c r="L134" s="4">
        <v>7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216</v>
      </c>
      <c r="F135" s="4">
        <f>ROUND(Source!AP126,O135)</f>
        <v>0</v>
      </c>
      <c r="G135" s="4" t="s">
        <v>59</v>
      </c>
      <c r="H135" s="4" t="s">
        <v>60</v>
      </c>
      <c r="I135" s="4"/>
      <c r="J135" s="4"/>
      <c r="K135" s="4">
        <v>216</v>
      </c>
      <c r="L135" s="4">
        <v>8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223</v>
      </c>
      <c r="F136" s="4">
        <f>ROUND(Source!AQ126,O136)</f>
        <v>0</v>
      </c>
      <c r="G136" s="4" t="s">
        <v>61</v>
      </c>
      <c r="H136" s="4" t="s">
        <v>62</v>
      </c>
      <c r="I136" s="4"/>
      <c r="J136" s="4"/>
      <c r="K136" s="4">
        <v>223</v>
      </c>
      <c r="L136" s="4">
        <v>9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229</v>
      </c>
      <c r="F137" s="4">
        <f>ROUND(Source!AZ126,O137)</f>
        <v>0</v>
      </c>
      <c r="G137" s="4" t="s">
        <v>63</v>
      </c>
      <c r="H137" s="4" t="s">
        <v>64</v>
      </c>
      <c r="I137" s="4"/>
      <c r="J137" s="4"/>
      <c r="K137" s="4">
        <v>229</v>
      </c>
      <c r="L137" s="4">
        <v>10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203</v>
      </c>
      <c r="F138" s="4">
        <f>ROUND(Source!Q126,O138)</f>
        <v>146.51</v>
      </c>
      <c r="G138" s="4" t="s">
        <v>65</v>
      </c>
      <c r="H138" s="4" t="s">
        <v>66</v>
      </c>
      <c r="I138" s="4"/>
      <c r="J138" s="4"/>
      <c r="K138" s="4">
        <v>203</v>
      </c>
      <c r="L138" s="4">
        <v>11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146.51</v>
      </c>
      <c r="X138" s="4">
        <v>1</v>
      </c>
      <c r="Y138" s="4">
        <v>146.51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231</v>
      </c>
      <c r="F139" s="4">
        <f>ROUND(Source!BB126,O139)</f>
        <v>0</v>
      </c>
      <c r="G139" s="4" t="s">
        <v>67</v>
      </c>
      <c r="H139" s="4" t="s">
        <v>68</v>
      </c>
      <c r="I139" s="4"/>
      <c r="J139" s="4"/>
      <c r="K139" s="4">
        <v>231</v>
      </c>
      <c r="L139" s="4">
        <v>12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204</v>
      </c>
      <c r="F140" s="4">
        <f>ROUND(Source!R126,O140)</f>
        <v>87.99</v>
      </c>
      <c r="G140" s="4" t="s">
        <v>69</v>
      </c>
      <c r="H140" s="4" t="s">
        <v>70</v>
      </c>
      <c r="I140" s="4"/>
      <c r="J140" s="4"/>
      <c r="K140" s="4">
        <v>204</v>
      </c>
      <c r="L140" s="4">
        <v>13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87.99</v>
      </c>
      <c r="X140" s="4">
        <v>1</v>
      </c>
      <c r="Y140" s="4">
        <v>87.99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205</v>
      </c>
      <c r="F141" s="4">
        <f>ROUND(Source!S126,O141)</f>
        <v>0</v>
      </c>
      <c r="G141" s="4" t="s">
        <v>71</v>
      </c>
      <c r="H141" s="4" t="s">
        <v>72</v>
      </c>
      <c r="I141" s="4"/>
      <c r="J141" s="4"/>
      <c r="K141" s="4">
        <v>205</v>
      </c>
      <c r="L141" s="4">
        <v>14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232</v>
      </c>
      <c r="F142" s="4">
        <f>ROUND(Source!BC126,O142)</f>
        <v>0</v>
      </c>
      <c r="G142" s="4" t="s">
        <v>73</v>
      </c>
      <c r="H142" s="4" t="s">
        <v>74</v>
      </c>
      <c r="I142" s="4"/>
      <c r="J142" s="4"/>
      <c r="K142" s="4">
        <v>232</v>
      </c>
      <c r="L142" s="4">
        <v>15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214</v>
      </c>
      <c r="F143" s="4">
        <f>ROUND(Source!AS126,O143)</f>
        <v>0</v>
      </c>
      <c r="G143" s="4" t="s">
        <v>75</v>
      </c>
      <c r="H143" s="4" t="s">
        <v>76</v>
      </c>
      <c r="I143" s="4"/>
      <c r="J143" s="4"/>
      <c r="K143" s="4">
        <v>214</v>
      </c>
      <c r="L143" s="4">
        <v>16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215</v>
      </c>
      <c r="F144" s="4">
        <f>ROUND(Source!AT126,O144)</f>
        <v>0</v>
      </c>
      <c r="G144" s="4" t="s">
        <v>77</v>
      </c>
      <c r="H144" s="4" t="s">
        <v>78</v>
      </c>
      <c r="I144" s="4"/>
      <c r="J144" s="4"/>
      <c r="K144" s="4">
        <v>215</v>
      </c>
      <c r="L144" s="4">
        <v>17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06" x14ac:dyDescent="0.2">
      <c r="A145" s="4">
        <v>50</v>
      </c>
      <c r="B145" s="4">
        <v>0</v>
      </c>
      <c r="C145" s="4">
        <v>0</v>
      </c>
      <c r="D145" s="4">
        <v>1</v>
      </c>
      <c r="E145" s="4">
        <v>217</v>
      </c>
      <c r="F145" s="4">
        <f>ROUND(Source!AU126,O145)</f>
        <v>150</v>
      </c>
      <c r="G145" s="4" t="s">
        <v>79</v>
      </c>
      <c r="H145" s="4" t="s">
        <v>80</v>
      </c>
      <c r="I145" s="4"/>
      <c r="J145" s="4"/>
      <c r="K145" s="4">
        <v>217</v>
      </c>
      <c r="L145" s="4">
        <v>18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150</v>
      </c>
      <c r="X145" s="4">
        <v>1</v>
      </c>
      <c r="Y145" s="4">
        <v>150</v>
      </c>
      <c r="Z145" s="4"/>
      <c r="AA145" s="4"/>
      <c r="AB145" s="4"/>
    </row>
    <row r="146" spans="1:206" x14ac:dyDescent="0.2">
      <c r="A146" s="4">
        <v>50</v>
      </c>
      <c r="B146" s="4">
        <v>0</v>
      </c>
      <c r="C146" s="4">
        <v>0</v>
      </c>
      <c r="D146" s="4">
        <v>1</v>
      </c>
      <c r="E146" s="4">
        <v>230</v>
      </c>
      <c r="F146" s="4">
        <f>ROUND(Source!BA126,O146)</f>
        <v>0</v>
      </c>
      <c r="G146" s="4" t="s">
        <v>81</v>
      </c>
      <c r="H146" s="4" t="s">
        <v>82</v>
      </c>
      <c r="I146" s="4"/>
      <c r="J146" s="4"/>
      <c r="K146" s="4">
        <v>230</v>
      </c>
      <c r="L146" s="4">
        <v>19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06" x14ac:dyDescent="0.2">
      <c r="A147" s="4">
        <v>50</v>
      </c>
      <c r="B147" s="4">
        <v>0</v>
      </c>
      <c r="C147" s="4">
        <v>0</v>
      </c>
      <c r="D147" s="4">
        <v>1</v>
      </c>
      <c r="E147" s="4">
        <v>206</v>
      </c>
      <c r="F147" s="4">
        <f>ROUND(Source!T126,O147)</f>
        <v>0</v>
      </c>
      <c r="G147" s="4" t="s">
        <v>83</v>
      </c>
      <c r="H147" s="4" t="s">
        <v>84</v>
      </c>
      <c r="I147" s="4"/>
      <c r="J147" s="4"/>
      <c r="K147" s="4">
        <v>206</v>
      </c>
      <c r="L147" s="4">
        <v>20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06" x14ac:dyDescent="0.2">
      <c r="A148" s="4">
        <v>50</v>
      </c>
      <c r="B148" s="4">
        <v>0</v>
      </c>
      <c r="C148" s="4">
        <v>0</v>
      </c>
      <c r="D148" s="4">
        <v>1</v>
      </c>
      <c r="E148" s="4">
        <v>207</v>
      </c>
      <c r="F148" s="4">
        <f>Source!U126</f>
        <v>0</v>
      </c>
      <c r="G148" s="4" t="s">
        <v>85</v>
      </c>
      <c r="H148" s="4" t="s">
        <v>86</v>
      </c>
      <c r="I148" s="4"/>
      <c r="J148" s="4"/>
      <c r="K148" s="4">
        <v>207</v>
      </c>
      <c r="L148" s="4">
        <v>21</v>
      </c>
      <c r="M148" s="4">
        <v>3</v>
      </c>
      <c r="N148" s="4" t="s">
        <v>3</v>
      </c>
      <c r="O148" s="4">
        <v>-1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06" x14ac:dyDescent="0.2">
      <c r="A149" s="4">
        <v>50</v>
      </c>
      <c r="B149" s="4">
        <v>0</v>
      </c>
      <c r="C149" s="4">
        <v>0</v>
      </c>
      <c r="D149" s="4">
        <v>1</v>
      </c>
      <c r="E149" s="4">
        <v>208</v>
      </c>
      <c r="F149" s="4">
        <f>Source!V126</f>
        <v>0</v>
      </c>
      <c r="G149" s="4" t="s">
        <v>87</v>
      </c>
      <c r="H149" s="4" t="s">
        <v>88</v>
      </c>
      <c r="I149" s="4"/>
      <c r="J149" s="4"/>
      <c r="K149" s="4">
        <v>208</v>
      </c>
      <c r="L149" s="4">
        <v>22</v>
      </c>
      <c r="M149" s="4">
        <v>3</v>
      </c>
      <c r="N149" s="4" t="s">
        <v>3</v>
      </c>
      <c r="O149" s="4">
        <v>-1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06" x14ac:dyDescent="0.2">
      <c r="A150" s="4">
        <v>50</v>
      </c>
      <c r="B150" s="4">
        <v>0</v>
      </c>
      <c r="C150" s="4">
        <v>0</v>
      </c>
      <c r="D150" s="4">
        <v>1</v>
      </c>
      <c r="E150" s="4">
        <v>209</v>
      </c>
      <c r="F150" s="4">
        <f>ROUND(Source!W126,O150)</f>
        <v>0</v>
      </c>
      <c r="G150" s="4" t="s">
        <v>89</v>
      </c>
      <c r="H150" s="4" t="s">
        <v>90</v>
      </c>
      <c r="I150" s="4"/>
      <c r="J150" s="4"/>
      <c r="K150" s="4">
        <v>209</v>
      </c>
      <c r="L150" s="4">
        <v>23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06" x14ac:dyDescent="0.2">
      <c r="A151" s="4">
        <v>50</v>
      </c>
      <c r="B151" s="4">
        <v>0</v>
      </c>
      <c r="C151" s="4">
        <v>0</v>
      </c>
      <c r="D151" s="4">
        <v>1</v>
      </c>
      <c r="E151" s="4">
        <v>233</v>
      </c>
      <c r="F151" s="4">
        <f>ROUND(Source!BD126,O151)</f>
        <v>0</v>
      </c>
      <c r="G151" s="4" t="s">
        <v>91</v>
      </c>
      <c r="H151" s="4" t="s">
        <v>92</v>
      </c>
      <c r="I151" s="4"/>
      <c r="J151" s="4"/>
      <c r="K151" s="4">
        <v>233</v>
      </c>
      <c r="L151" s="4">
        <v>24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06" x14ac:dyDescent="0.2">
      <c r="A152" s="4">
        <v>50</v>
      </c>
      <c r="B152" s="4">
        <v>0</v>
      </c>
      <c r="C152" s="4">
        <v>0</v>
      </c>
      <c r="D152" s="4">
        <v>1</v>
      </c>
      <c r="E152" s="4">
        <v>210</v>
      </c>
      <c r="F152" s="4">
        <f>ROUND(Source!X126,O152)</f>
        <v>0</v>
      </c>
      <c r="G152" s="4" t="s">
        <v>93</v>
      </c>
      <c r="H152" s="4" t="s">
        <v>94</v>
      </c>
      <c r="I152" s="4"/>
      <c r="J152" s="4"/>
      <c r="K152" s="4">
        <v>210</v>
      </c>
      <c r="L152" s="4">
        <v>25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06" x14ac:dyDescent="0.2">
      <c r="A153" s="4">
        <v>50</v>
      </c>
      <c r="B153" s="4">
        <v>0</v>
      </c>
      <c r="C153" s="4">
        <v>0</v>
      </c>
      <c r="D153" s="4">
        <v>1</v>
      </c>
      <c r="E153" s="4">
        <v>211</v>
      </c>
      <c r="F153" s="4">
        <f>ROUND(Source!Y126,O153)</f>
        <v>0</v>
      </c>
      <c r="G153" s="4" t="s">
        <v>95</v>
      </c>
      <c r="H153" s="4" t="s">
        <v>96</v>
      </c>
      <c r="I153" s="4"/>
      <c r="J153" s="4"/>
      <c r="K153" s="4">
        <v>211</v>
      </c>
      <c r="L153" s="4">
        <v>26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06" x14ac:dyDescent="0.2">
      <c r="A154" s="4">
        <v>50</v>
      </c>
      <c r="B154" s="4">
        <v>0</v>
      </c>
      <c r="C154" s="4">
        <v>0</v>
      </c>
      <c r="D154" s="4">
        <v>1</v>
      </c>
      <c r="E154" s="4">
        <v>224</v>
      </c>
      <c r="F154" s="4">
        <f>ROUND(Source!AR126,O154)</f>
        <v>150</v>
      </c>
      <c r="G154" s="4" t="s">
        <v>97</v>
      </c>
      <c r="H154" s="4" t="s">
        <v>98</v>
      </c>
      <c r="I154" s="4"/>
      <c r="J154" s="4"/>
      <c r="K154" s="4">
        <v>224</v>
      </c>
      <c r="L154" s="4">
        <v>27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150</v>
      </c>
      <c r="X154" s="4">
        <v>1</v>
      </c>
      <c r="Y154" s="4">
        <v>150</v>
      </c>
      <c r="Z154" s="4"/>
      <c r="AA154" s="4"/>
      <c r="AB154" s="4"/>
    </row>
    <row r="156" spans="1:206" x14ac:dyDescent="0.2">
      <c r="A156" s="2">
        <v>51</v>
      </c>
      <c r="B156" s="2">
        <f>B20</f>
        <v>1</v>
      </c>
      <c r="C156" s="2">
        <f>A20</f>
        <v>3</v>
      </c>
      <c r="D156" s="2">
        <f>ROW(A20)</f>
        <v>20</v>
      </c>
      <c r="E156" s="2"/>
      <c r="F156" s="2" t="str">
        <f>IF(F20&lt;&gt;"",F20,"")</f>
        <v/>
      </c>
      <c r="G156" s="2" t="str">
        <f>IF(G20&lt;&gt;"",G20,"")</f>
        <v>Новая локальная смета</v>
      </c>
      <c r="H156" s="2">
        <v>0</v>
      </c>
      <c r="I156" s="2"/>
      <c r="J156" s="2"/>
      <c r="K156" s="2"/>
      <c r="L156" s="2"/>
      <c r="M156" s="2"/>
      <c r="N156" s="2"/>
      <c r="O156" s="2">
        <f t="shared" ref="O156:T156" si="119">ROUND(O35+O88+O126+AB156,2)</f>
        <v>366859.1</v>
      </c>
      <c r="P156" s="2">
        <f t="shared" si="119"/>
        <v>168503.26</v>
      </c>
      <c r="Q156" s="2">
        <f t="shared" si="119"/>
        <v>1048.3699999999999</v>
      </c>
      <c r="R156" s="2">
        <f t="shared" si="119"/>
        <v>729.47</v>
      </c>
      <c r="S156" s="2">
        <f t="shared" si="119"/>
        <v>197307.47</v>
      </c>
      <c r="T156" s="2">
        <f t="shared" si="119"/>
        <v>0</v>
      </c>
      <c r="U156" s="2">
        <f>U35+U88+U126+AH156</f>
        <v>443.14323000000002</v>
      </c>
      <c r="V156" s="2">
        <f>V35+V88+V126+AI156</f>
        <v>0</v>
      </c>
      <c r="W156" s="2">
        <f>ROUND(W35+W88+W126+AJ156,2)</f>
        <v>0</v>
      </c>
      <c r="X156" s="2">
        <f>ROUND(X35+X88+X126+AK156,2)</f>
        <v>138115.25</v>
      </c>
      <c r="Y156" s="2">
        <f>ROUND(Y35+Y88+Y126+AL156,2)</f>
        <v>19730.759999999998</v>
      </c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>
        <f t="shared" ref="AO156:BD156" si="120">ROUND(AO35+AO88+AO126+BX156,2)</f>
        <v>0</v>
      </c>
      <c r="AP156" s="2">
        <f t="shared" si="120"/>
        <v>0</v>
      </c>
      <c r="AQ156" s="2">
        <f t="shared" si="120"/>
        <v>0</v>
      </c>
      <c r="AR156" s="2">
        <f t="shared" si="120"/>
        <v>525401.39</v>
      </c>
      <c r="AS156" s="2">
        <f t="shared" si="120"/>
        <v>0</v>
      </c>
      <c r="AT156" s="2">
        <f t="shared" si="120"/>
        <v>0</v>
      </c>
      <c r="AU156" s="2">
        <f t="shared" si="120"/>
        <v>525401.39</v>
      </c>
      <c r="AV156" s="2">
        <f t="shared" si="120"/>
        <v>168503.26</v>
      </c>
      <c r="AW156" s="2">
        <f t="shared" si="120"/>
        <v>168503.26</v>
      </c>
      <c r="AX156" s="2">
        <f t="shared" si="120"/>
        <v>0</v>
      </c>
      <c r="AY156" s="2">
        <f t="shared" si="120"/>
        <v>168503.26</v>
      </c>
      <c r="AZ156" s="2">
        <f t="shared" si="120"/>
        <v>0</v>
      </c>
      <c r="BA156" s="2">
        <f t="shared" si="120"/>
        <v>0</v>
      </c>
      <c r="BB156" s="2">
        <f t="shared" si="120"/>
        <v>0</v>
      </c>
      <c r="BC156" s="2">
        <f t="shared" si="120"/>
        <v>0</v>
      </c>
      <c r="BD156" s="2">
        <f t="shared" si="120"/>
        <v>0</v>
      </c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>
        <v>0</v>
      </c>
    </row>
    <row r="158" spans="1:206" x14ac:dyDescent="0.2">
      <c r="A158" s="4">
        <v>50</v>
      </c>
      <c r="B158" s="4">
        <v>0</v>
      </c>
      <c r="C158" s="4">
        <v>0</v>
      </c>
      <c r="D158" s="4">
        <v>1</v>
      </c>
      <c r="E158" s="4">
        <v>201</v>
      </c>
      <c r="F158" s="4">
        <f>ROUND(Source!O156,O158)</f>
        <v>366859.1</v>
      </c>
      <c r="G158" s="4" t="s">
        <v>45</v>
      </c>
      <c r="H158" s="4" t="s">
        <v>46</v>
      </c>
      <c r="I158" s="4"/>
      <c r="J158" s="4"/>
      <c r="K158" s="4">
        <v>201</v>
      </c>
      <c r="L158" s="4">
        <v>1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366859.1</v>
      </c>
      <c r="X158" s="4">
        <v>1</v>
      </c>
      <c r="Y158" s="4">
        <v>366859.1</v>
      </c>
      <c r="Z158" s="4"/>
      <c r="AA158" s="4"/>
      <c r="AB158" s="4"/>
    </row>
    <row r="159" spans="1:206" x14ac:dyDescent="0.2">
      <c r="A159" s="4">
        <v>50</v>
      </c>
      <c r="B159" s="4">
        <v>0</v>
      </c>
      <c r="C159" s="4">
        <v>0</v>
      </c>
      <c r="D159" s="4">
        <v>1</v>
      </c>
      <c r="E159" s="4">
        <v>202</v>
      </c>
      <c r="F159" s="4">
        <f>ROUND(Source!P156,O159)</f>
        <v>168503.26</v>
      </c>
      <c r="G159" s="4" t="s">
        <v>47</v>
      </c>
      <c r="H159" s="4" t="s">
        <v>48</v>
      </c>
      <c r="I159" s="4"/>
      <c r="J159" s="4"/>
      <c r="K159" s="4">
        <v>202</v>
      </c>
      <c r="L159" s="4">
        <v>2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168503.26</v>
      </c>
      <c r="X159" s="4">
        <v>1</v>
      </c>
      <c r="Y159" s="4">
        <v>168503.26</v>
      </c>
      <c r="Z159" s="4"/>
      <c r="AA159" s="4"/>
      <c r="AB159" s="4"/>
    </row>
    <row r="160" spans="1:206" x14ac:dyDescent="0.2">
      <c r="A160" s="4">
        <v>50</v>
      </c>
      <c r="B160" s="4">
        <v>0</v>
      </c>
      <c r="C160" s="4">
        <v>0</v>
      </c>
      <c r="D160" s="4">
        <v>1</v>
      </c>
      <c r="E160" s="4">
        <v>222</v>
      </c>
      <c r="F160" s="4">
        <f>ROUND(Source!AO156,O160)</f>
        <v>0</v>
      </c>
      <c r="G160" s="4" t="s">
        <v>49</v>
      </c>
      <c r="H160" s="4" t="s">
        <v>50</v>
      </c>
      <c r="I160" s="4"/>
      <c r="J160" s="4"/>
      <c r="K160" s="4">
        <v>222</v>
      </c>
      <c r="L160" s="4">
        <v>3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225</v>
      </c>
      <c r="F161" s="4">
        <f>ROUND(Source!AV156,O161)</f>
        <v>168503.26</v>
      </c>
      <c r="G161" s="4" t="s">
        <v>51</v>
      </c>
      <c r="H161" s="4" t="s">
        <v>52</v>
      </c>
      <c r="I161" s="4"/>
      <c r="J161" s="4"/>
      <c r="K161" s="4">
        <v>225</v>
      </c>
      <c r="L161" s="4">
        <v>4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168503.26</v>
      </c>
      <c r="X161" s="4">
        <v>1</v>
      </c>
      <c r="Y161" s="4">
        <v>168503.26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226</v>
      </c>
      <c r="F162" s="4">
        <f>ROUND(Source!AW156,O162)</f>
        <v>168503.26</v>
      </c>
      <c r="G162" s="4" t="s">
        <v>53</v>
      </c>
      <c r="H162" s="4" t="s">
        <v>54</v>
      </c>
      <c r="I162" s="4"/>
      <c r="J162" s="4"/>
      <c r="K162" s="4">
        <v>226</v>
      </c>
      <c r="L162" s="4">
        <v>5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168503.26</v>
      </c>
      <c r="X162" s="4">
        <v>1</v>
      </c>
      <c r="Y162" s="4">
        <v>168503.26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227</v>
      </c>
      <c r="F163" s="4">
        <f>ROUND(Source!AX156,O163)</f>
        <v>0</v>
      </c>
      <c r="G163" s="4" t="s">
        <v>55</v>
      </c>
      <c r="H163" s="4" t="s">
        <v>56</v>
      </c>
      <c r="I163" s="4"/>
      <c r="J163" s="4"/>
      <c r="K163" s="4">
        <v>227</v>
      </c>
      <c r="L163" s="4">
        <v>6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228</v>
      </c>
      <c r="F164" s="4">
        <f>ROUND(Source!AY156,O164)</f>
        <v>168503.26</v>
      </c>
      <c r="G164" s="4" t="s">
        <v>57</v>
      </c>
      <c r="H164" s="4" t="s">
        <v>58</v>
      </c>
      <c r="I164" s="4"/>
      <c r="J164" s="4"/>
      <c r="K164" s="4">
        <v>228</v>
      </c>
      <c r="L164" s="4">
        <v>7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168503.26</v>
      </c>
      <c r="X164" s="4">
        <v>1</v>
      </c>
      <c r="Y164" s="4">
        <v>168503.26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216</v>
      </c>
      <c r="F165" s="4">
        <f>ROUND(Source!AP156,O165)</f>
        <v>0</v>
      </c>
      <c r="G165" s="4" t="s">
        <v>59</v>
      </c>
      <c r="H165" s="4" t="s">
        <v>60</v>
      </c>
      <c r="I165" s="4"/>
      <c r="J165" s="4"/>
      <c r="K165" s="4">
        <v>216</v>
      </c>
      <c r="L165" s="4">
        <v>8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223</v>
      </c>
      <c r="F166" s="4">
        <f>ROUND(Source!AQ156,O166)</f>
        <v>0</v>
      </c>
      <c r="G166" s="4" t="s">
        <v>61</v>
      </c>
      <c r="H166" s="4" t="s">
        <v>62</v>
      </c>
      <c r="I166" s="4"/>
      <c r="J166" s="4"/>
      <c r="K166" s="4">
        <v>223</v>
      </c>
      <c r="L166" s="4">
        <v>9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229</v>
      </c>
      <c r="F167" s="4">
        <f>ROUND(Source!AZ156,O167)</f>
        <v>0</v>
      </c>
      <c r="G167" s="4" t="s">
        <v>63</v>
      </c>
      <c r="H167" s="4" t="s">
        <v>64</v>
      </c>
      <c r="I167" s="4"/>
      <c r="J167" s="4"/>
      <c r="K167" s="4">
        <v>229</v>
      </c>
      <c r="L167" s="4">
        <v>10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203</v>
      </c>
      <c r="F168" s="4">
        <f>ROUND(Source!Q156,O168)</f>
        <v>1048.3699999999999</v>
      </c>
      <c r="G168" s="4" t="s">
        <v>65</v>
      </c>
      <c r="H168" s="4" t="s">
        <v>66</v>
      </c>
      <c r="I168" s="4"/>
      <c r="J168" s="4"/>
      <c r="K168" s="4">
        <v>203</v>
      </c>
      <c r="L168" s="4">
        <v>11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1048.3699999999999</v>
      </c>
      <c r="X168" s="4">
        <v>1</v>
      </c>
      <c r="Y168" s="4">
        <v>1048.3699999999999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231</v>
      </c>
      <c r="F169" s="4">
        <f>ROUND(Source!BB156,O169)</f>
        <v>0</v>
      </c>
      <c r="G169" s="4" t="s">
        <v>67</v>
      </c>
      <c r="H169" s="4" t="s">
        <v>68</v>
      </c>
      <c r="I169" s="4"/>
      <c r="J169" s="4"/>
      <c r="K169" s="4">
        <v>231</v>
      </c>
      <c r="L169" s="4">
        <v>12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204</v>
      </c>
      <c r="F170" s="4">
        <f>ROUND(Source!R156,O170)</f>
        <v>729.47</v>
      </c>
      <c r="G170" s="4" t="s">
        <v>69</v>
      </c>
      <c r="H170" s="4" t="s">
        <v>70</v>
      </c>
      <c r="I170" s="4"/>
      <c r="J170" s="4"/>
      <c r="K170" s="4">
        <v>204</v>
      </c>
      <c r="L170" s="4">
        <v>13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729.47</v>
      </c>
      <c r="X170" s="4">
        <v>1</v>
      </c>
      <c r="Y170" s="4">
        <v>729.47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205</v>
      </c>
      <c r="F171" s="4">
        <f>ROUND(Source!S156,O171)</f>
        <v>197307.47</v>
      </c>
      <c r="G171" s="4" t="s">
        <v>71</v>
      </c>
      <c r="H171" s="4" t="s">
        <v>72</v>
      </c>
      <c r="I171" s="4"/>
      <c r="J171" s="4"/>
      <c r="K171" s="4">
        <v>205</v>
      </c>
      <c r="L171" s="4">
        <v>14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197307.47</v>
      </c>
      <c r="X171" s="4">
        <v>1</v>
      </c>
      <c r="Y171" s="4">
        <v>197307.47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232</v>
      </c>
      <c r="F172" s="4">
        <f>ROUND(Source!BC156,O172)</f>
        <v>0</v>
      </c>
      <c r="G172" s="4" t="s">
        <v>73</v>
      </c>
      <c r="H172" s="4" t="s">
        <v>74</v>
      </c>
      <c r="I172" s="4"/>
      <c r="J172" s="4"/>
      <c r="K172" s="4">
        <v>232</v>
      </c>
      <c r="L172" s="4">
        <v>15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214</v>
      </c>
      <c r="F173" s="4">
        <f>ROUND(Source!AS156,O173)</f>
        <v>0</v>
      </c>
      <c r="G173" s="4" t="s">
        <v>75</v>
      </c>
      <c r="H173" s="4" t="s">
        <v>76</v>
      </c>
      <c r="I173" s="4"/>
      <c r="J173" s="4"/>
      <c r="K173" s="4">
        <v>214</v>
      </c>
      <c r="L173" s="4">
        <v>16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215</v>
      </c>
      <c r="F174" s="4">
        <f>ROUND(Source!AT156,O174)</f>
        <v>0</v>
      </c>
      <c r="G174" s="4" t="s">
        <v>77</v>
      </c>
      <c r="H174" s="4" t="s">
        <v>78</v>
      </c>
      <c r="I174" s="4"/>
      <c r="J174" s="4"/>
      <c r="K174" s="4">
        <v>215</v>
      </c>
      <c r="L174" s="4">
        <v>17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217</v>
      </c>
      <c r="F175" s="4">
        <f>ROUND(Source!AU156,O175)</f>
        <v>525401.39</v>
      </c>
      <c r="G175" s="4" t="s">
        <v>79</v>
      </c>
      <c r="H175" s="4" t="s">
        <v>80</v>
      </c>
      <c r="I175" s="4"/>
      <c r="J175" s="4"/>
      <c r="K175" s="4">
        <v>217</v>
      </c>
      <c r="L175" s="4">
        <v>18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525401.39</v>
      </c>
      <c r="X175" s="4">
        <v>1</v>
      </c>
      <c r="Y175" s="4">
        <v>525401.39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230</v>
      </c>
      <c r="F176" s="4">
        <f>ROUND(Source!BA156,O176)</f>
        <v>0</v>
      </c>
      <c r="G176" s="4" t="s">
        <v>81</v>
      </c>
      <c r="H176" s="4" t="s">
        <v>82</v>
      </c>
      <c r="I176" s="4"/>
      <c r="J176" s="4"/>
      <c r="K176" s="4">
        <v>230</v>
      </c>
      <c r="L176" s="4">
        <v>19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06" x14ac:dyDescent="0.2">
      <c r="A177" s="4">
        <v>50</v>
      </c>
      <c r="B177" s="4">
        <v>0</v>
      </c>
      <c r="C177" s="4">
        <v>0</v>
      </c>
      <c r="D177" s="4">
        <v>1</v>
      </c>
      <c r="E177" s="4">
        <v>206</v>
      </c>
      <c r="F177" s="4">
        <f>ROUND(Source!T156,O177)</f>
        <v>0</v>
      </c>
      <c r="G177" s="4" t="s">
        <v>83</v>
      </c>
      <c r="H177" s="4" t="s">
        <v>84</v>
      </c>
      <c r="I177" s="4"/>
      <c r="J177" s="4"/>
      <c r="K177" s="4">
        <v>206</v>
      </c>
      <c r="L177" s="4">
        <v>20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06" x14ac:dyDescent="0.2">
      <c r="A178" s="4">
        <v>50</v>
      </c>
      <c r="B178" s="4">
        <v>0</v>
      </c>
      <c r="C178" s="4">
        <v>0</v>
      </c>
      <c r="D178" s="4">
        <v>1</v>
      </c>
      <c r="E178" s="4">
        <v>207</v>
      </c>
      <c r="F178" s="4">
        <f>Source!U156</f>
        <v>443.14323000000002</v>
      </c>
      <c r="G178" s="4" t="s">
        <v>85</v>
      </c>
      <c r="H178" s="4" t="s">
        <v>86</v>
      </c>
      <c r="I178" s="4"/>
      <c r="J178" s="4"/>
      <c r="K178" s="4">
        <v>207</v>
      </c>
      <c r="L178" s="4">
        <v>21</v>
      </c>
      <c r="M178" s="4">
        <v>3</v>
      </c>
      <c r="N178" s="4" t="s">
        <v>3</v>
      </c>
      <c r="O178" s="4">
        <v>-1</v>
      </c>
      <c r="P178" s="4"/>
      <c r="Q178" s="4"/>
      <c r="R178" s="4"/>
      <c r="S178" s="4"/>
      <c r="T178" s="4"/>
      <c r="U178" s="4"/>
      <c r="V178" s="4"/>
      <c r="W178" s="4">
        <v>443.1432299999999</v>
      </c>
      <c r="X178" s="4">
        <v>1</v>
      </c>
      <c r="Y178" s="4">
        <v>443.1432299999999</v>
      </c>
      <c r="Z178" s="4"/>
      <c r="AA178" s="4"/>
      <c r="AB178" s="4"/>
    </row>
    <row r="179" spans="1:206" x14ac:dyDescent="0.2">
      <c r="A179" s="4">
        <v>50</v>
      </c>
      <c r="B179" s="4">
        <v>0</v>
      </c>
      <c r="C179" s="4">
        <v>0</v>
      </c>
      <c r="D179" s="4">
        <v>1</v>
      </c>
      <c r="E179" s="4">
        <v>208</v>
      </c>
      <c r="F179" s="4">
        <f>Source!V156</f>
        <v>0</v>
      </c>
      <c r="G179" s="4" t="s">
        <v>87</v>
      </c>
      <c r="H179" s="4" t="s">
        <v>88</v>
      </c>
      <c r="I179" s="4"/>
      <c r="J179" s="4"/>
      <c r="K179" s="4">
        <v>208</v>
      </c>
      <c r="L179" s="4">
        <v>22</v>
      </c>
      <c r="M179" s="4">
        <v>3</v>
      </c>
      <c r="N179" s="4" t="s">
        <v>3</v>
      </c>
      <c r="O179" s="4">
        <v>-1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209</v>
      </c>
      <c r="F180" s="4">
        <f>ROUND(Source!W156,O180)</f>
        <v>0</v>
      </c>
      <c r="G180" s="4" t="s">
        <v>89</v>
      </c>
      <c r="H180" s="4" t="s">
        <v>90</v>
      </c>
      <c r="I180" s="4"/>
      <c r="J180" s="4"/>
      <c r="K180" s="4">
        <v>209</v>
      </c>
      <c r="L180" s="4">
        <v>23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233</v>
      </c>
      <c r="F181" s="4">
        <f>ROUND(Source!BD156,O181)</f>
        <v>0</v>
      </c>
      <c r="G181" s="4" t="s">
        <v>91</v>
      </c>
      <c r="H181" s="4" t="s">
        <v>92</v>
      </c>
      <c r="I181" s="4"/>
      <c r="J181" s="4"/>
      <c r="K181" s="4">
        <v>233</v>
      </c>
      <c r="L181" s="4">
        <v>24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210</v>
      </c>
      <c r="F182" s="4">
        <f>ROUND(Source!X156,O182)</f>
        <v>138115.25</v>
      </c>
      <c r="G182" s="4" t="s">
        <v>93</v>
      </c>
      <c r="H182" s="4" t="s">
        <v>94</v>
      </c>
      <c r="I182" s="4"/>
      <c r="J182" s="4"/>
      <c r="K182" s="4">
        <v>210</v>
      </c>
      <c r="L182" s="4">
        <v>25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138115.25</v>
      </c>
      <c r="X182" s="4">
        <v>1</v>
      </c>
      <c r="Y182" s="4">
        <v>138115.25</v>
      </c>
      <c r="Z182" s="4"/>
      <c r="AA182" s="4"/>
      <c r="AB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211</v>
      </c>
      <c r="F183" s="4">
        <f>ROUND(Source!Y156,O183)</f>
        <v>19730.759999999998</v>
      </c>
      <c r="G183" s="4" t="s">
        <v>95</v>
      </c>
      <c r="H183" s="4" t="s">
        <v>96</v>
      </c>
      <c r="I183" s="4"/>
      <c r="J183" s="4"/>
      <c r="K183" s="4">
        <v>211</v>
      </c>
      <c r="L183" s="4">
        <v>26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19730.759999999998</v>
      </c>
      <c r="X183" s="4">
        <v>1</v>
      </c>
      <c r="Y183" s="4">
        <v>19730.759999999998</v>
      </c>
      <c r="Z183" s="4"/>
      <c r="AA183" s="4"/>
      <c r="AB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224</v>
      </c>
      <c r="F184" s="4">
        <f>ROUND(Source!AR156,O184)</f>
        <v>525401.39</v>
      </c>
      <c r="G184" s="4" t="s">
        <v>97</v>
      </c>
      <c r="H184" s="4" t="s">
        <v>98</v>
      </c>
      <c r="I184" s="4"/>
      <c r="J184" s="4"/>
      <c r="K184" s="4">
        <v>224</v>
      </c>
      <c r="L184" s="4">
        <v>27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525401.39</v>
      </c>
      <c r="X184" s="4">
        <v>1</v>
      </c>
      <c r="Y184" s="4">
        <v>525401.39</v>
      </c>
      <c r="Z184" s="4"/>
      <c r="AA184" s="4"/>
      <c r="AB184" s="4"/>
    </row>
    <row r="186" spans="1:206" x14ac:dyDescent="0.2">
      <c r="A186" s="2">
        <v>51</v>
      </c>
      <c r="B186" s="2">
        <f>B12</f>
        <v>222</v>
      </c>
      <c r="C186" s="2">
        <f>A12</f>
        <v>1</v>
      </c>
      <c r="D186" s="2">
        <f>ROW(A12)</f>
        <v>12</v>
      </c>
      <c r="E186" s="2"/>
      <c r="F186" s="2" t="str">
        <f>IF(F12&lt;&gt;"",F12,"")</f>
        <v>Новый объект</v>
      </c>
      <c r="G186" s="2" t="str">
        <f>IF(G12&lt;&gt;"",G12,"")</f>
        <v>ГБОУ Школа №1440. Осенний б-р д. 10 корп. 3 (в ценах на 01.04.2025 г)</v>
      </c>
      <c r="H186" s="2">
        <v>0</v>
      </c>
      <c r="I186" s="2"/>
      <c r="J186" s="2"/>
      <c r="K186" s="2"/>
      <c r="L186" s="2"/>
      <c r="M186" s="2"/>
      <c r="N186" s="2"/>
      <c r="O186" s="2">
        <f t="shared" ref="O186:T186" si="121">ROUND(O156,2)</f>
        <v>366859.1</v>
      </c>
      <c r="P186" s="2">
        <f t="shared" si="121"/>
        <v>168503.26</v>
      </c>
      <c r="Q186" s="2">
        <f t="shared" si="121"/>
        <v>1048.3699999999999</v>
      </c>
      <c r="R186" s="2">
        <f t="shared" si="121"/>
        <v>729.47</v>
      </c>
      <c r="S186" s="2">
        <f t="shared" si="121"/>
        <v>197307.47</v>
      </c>
      <c r="T186" s="2">
        <f t="shared" si="121"/>
        <v>0</v>
      </c>
      <c r="U186" s="2">
        <f>U156</f>
        <v>443.14323000000002</v>
      </c>
      <c r="V186" s="2">
        <f>V156</f>
        <v>0</v>
      </c>
      <c r="W186" s="2">
        <f>ROUND(W156,2)</f>
        <v>0</v>
      </c>
      <c r="X186" s="2">
        <f>ROUND(X156,2)</f>
        <v>138115.25</v>
      </c>
      <c r="Y186" s="2">
        <f>ROUND(Y156,2)</f>
        <v>19730.759999999998</v>
      </c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>
        <f t="shared" ref="AO186:BD186" si="122">ROUND(AO156,2)</f>
        <v>0</v>
      </c>
      <c r="AP186" s="2">
        <f t="shared" si="122"/>
        <v>0</v>
      </c>
      <c r="AQ186" s="2">
        <f t="shared" si="122"/>
        <v>0</v>
      </c>
      <c r="AR186" s="2">
        <f t="shared" si="122"/>
        <v>525401.39</v>
      </c>
      <c r="AS186" s="2">
        <f t="shared" si="122"/>
        <v>0</v>
      </c>
      <c r="AT186" s="2">
        <f t="shared" si="122"/>
        <v>0</v>
      </c>
      <c r="AU186" s="2">
        <f t="shared" si="122"/>
        <v>525401.39</v>
      </c>
      <c r="AV186" s="2">
        <f t="shared" si="122"/>
        <v>168503.26</v>
      </c>
      <c r="AW186" s="2">
        <f t="shared" si="122"/>
        <v>168503.26</v>
      </c>
      <c r="AX186" s="2">
        <f t="shared" si="122"/>
        <v>0</v>
      </c>
      <c r="AY186" s="2">
        <f t="shared" si="122"/>
        <v>168503.26</v>
      </c>
      <c r="AZ186" s="2">
        <f t="shared" si="122"/>
        <v>0</v>
      </c>
      <c r="BA186" s="2">
        <f t="shared" si="122"/>
        <v>0</v>
      </c>
      <c r="BB186" s="2">
        <f t="shared" si="122"/>
        <v>0</v>
      </c>
      <c r="BC186" s="2">
        <f t="shared" si="122"/>
        <v>0</v>
      </c>
      <c r="BD186" s="2">
        <f t="shared" si="122"/>
        <v>0</v>
      </c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  <c r="EH186" s="3"/>
      <c r="EI186" s="3"/>
      <c r="EJ186" s="3"/>
      <c r="EK186" s="3"/>
      <c r="EL186" s="3"/>
      <c r="EM186" s="3"/>
      <c r="EN186" s="3"/>
      <c r="EO186" s="3"/>
      <c r="EP186" s="3"/>
      <c r="EQ186" s="3"/>
      <c r="ER186" s="3"/>
      <c r="ES186" s="3"/>
      <c r="ET186" s="3"/>
      <c r="EU186" s="3"/>
      <c r="EV186" s="3"/>
      <c r="EW186" s="3"/>
      <c r="EX186" s="3"/>
      <c r="EY186" s="3"/>
      <c r="EZ186" s="3"/>
      <c r="FA186" s="3"/>
      <c r="FB186" s="3"/>
      <c r="FC186" s="3"/>
      <c r="FD186" s="3"/>
      <c r="FE186" s="3"/>
      <c r="FF186" s="3"/>
      <c r="FG186" s="3"/>
      <c r="FH186" s="3"/>
      <c r="FI186" s="3"/>
      <c r="FJ186" s="3"/>
      <c r="FK186" s="3"/>
      <c r="FL186" s="3"/>
      <c r="FM186" s="3"/>
      <c r="FN186" s="3"/>
      <c r="FO186" s="3"/>
      <c r="FP186" s="3"/>
      <c r="FQ186" s="3"/>
      <c r="FR186" s="3"/>
      <c r="FS186" s="3"/>
      <c r="FT186" s="3"/>
      <c r="FU186" s="3"/>
      <c r="FV186" s="3"/>
      <c r="FW186" s="3"/>
      <c r="FX186" s="3"/>
      <c r="FY186" s="3"/>
      <c r="FZ186" s="3"/>
      <c r="GA186" s="3"/>
      <c r="GB186" s="3"/>
      <c r="GC186" s="3"/>
      <c r="GD186" s="3"/>
      <c r="GE186" s="3"/>
      <c r="GF186" s="3"/>
      <c r="GG186" s="3"/>
      <c r="GH186" s="3"/>
      <c r="GI186" s="3"/>
      <c r="GJ186" s="3"/>
      <c r="GK186" s="3"/>
      <c r="GL186" s="3"/>
      <c r="GM186" s="3"/>
      <c r="GN186" s="3"/>
      <c r="GO186" s="3"/>
      <c r="GP186" s="3"/>
      <c r="GQ186" s="3"/>
      <c r="GR186" s="3"/>
      <c r="GS186" s="3"/>
      <c r="GT186" s="3"/>
      <c r="GU186" s="3"/>
      <c r="GV186" s="3"/>
      <c r="GW186" s="3"/>
      <c r="GX186" s="3">
        <v>0</v>
      </c>
    </row>
    <row r="188" spans="1:206" x14ac:dyDescent="0.2">
      <c r="A188" s="4">
        <v>50</v>
      </c>
      <c r="B188" s="4">
        <v>0</v>
      </c>
      <c r="C188" s="4">
        <v>0</v>
      </c>
      <c r="D188" s="4">
        <v>1</v>
      </c>
      <c r="E188" s="4">
        <v>201</v>
      </c>
      <c r="F188" s="4">
        <f>ROUND(Source!O186,O188)</f>
        <v>366859.1</v>
      </c>
      <c r="G188" s="4" t="s">
        <v>45</v>
      </c>
      <c r="H188" s="4" t="s">
        <v>46</v>
      </c>
      <c r="I188" s="4"/>
      <c r="J188" s="4"/>
      <c r="K188" s="4">
        <v>201</v>
      </c>
      <c r="L188" s="4">
        <v>1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366859.1</v>
      </c>
      <c r="X188" s="4">
        <v>1</v>
      </c>
      <c r="Y188" s="4">
        <v>366859.1</v>
      </c>
      <c r="Z188" s="4"/>
      <c r="AA188" s="4"/>
      <c r="AB188" s="4"/>
    </row>
    <row r="189" spans="1:206" x14ac:dyDescent="0.2">
      <c r="A189" s="4">
        <v>50</v>
      </c>
      <c r="B189" s="4">
        <v>0</v>
      </c>
      <c r="C189" s="4">
        <v>0</v>
      </c>
      <c r="D189" s="4">
        <v>1</v>
      </c>
      <c r="E189" s="4">
        <v>202</v>
      </c>
      <c r="F189" s="4">
        <f>ROUND(Source!P186,O189)</f>
        <v>168503.26</v>
      </c>
      <c r="G189" s="4" t="s">
        <v>47</v>
      </c>
      <c r="H189" s="4" t="s">
        <v>48</v>
      </c>
      <c r="I189" s="4"/>
      <c r="J189" s="4"/>
      <c r="K189" s="4">
        <v>202</v>
      </c>
      <c r="L189" s="4">
        <v>2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168503.26</v>
      </c>
      <c r="X189" s="4">
        <v>1</v>
      </c>
      <c r="Y189" s="4">
        <v>168503.26</v>
      </c>
      <c r="Z189" s="4"/>
      <c r="AA189" s="4"/>
      <c r="AB189" s="4"/>
    </row>
    <row r="190" spans="1:206" x14ac:dyDescent="0.2">
      <c r="A190" s="4">
        <v>50</v>
      </c>
      <c r="B190" s="4">
        <v>0</v>
      </c>
      <c r="C190" s="4">
        <v>0</v>
      </c>
      <c r="D190" s="4">
        <v>1</v>
      </c>
      <c r="E190" s="4">
        <v>222</v>
      </c>
      <c r="F190" s="4">
        <f>ROUND(Source!AO186,O190)</f>
        <v>0</v>
      </c>
      <c r="G190" s="4" t="s">
        <v>49</v>
      </c>
      <c r="H190" s="4" t="s">
        <v>50</v>
      </c>
      <c r="I190" s="4"/>
      <c r="J190" s="4"/>
      <c r="K190" s="4">
        <v>222</v>
      </c>
      <c r="L190" s="4">
        <v>3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06" x14ac:dyDescent="0.2">
      <c r="A191" s="4">
        <v>50</v>
      </c>
      <c r="B191" s="4">
        <v>0</v>
      </c>
      <c r="C191" s="4">
        <v>0</v>
      </c>
      <c r="D191" s="4">
        <v>1</v>
      </c>
      <c r="E191" s="4">
        <v>225</v>
      </c>
      <c r="F191" s="4">
        <f>ROUND(Source!AV186,O191)</f>
        <v>168503.26</v>
      </c>
      <c r="G191" s="4" t="s">
        <v>51</v>
      </c>
      <c r="H191" s="4" t="s">
        <v>52</v>
      </c>
      <c r="I191" s="4"/>
      <c r="J191" s="4"/>
      <c r="K191" s="4">
        <v>225</v>
      </c>
      <c r="L191" s="4">
        <v>4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168503.26</v>
      </c>
      <c r="X191" s="4">
        <v>1</v>
      </c>
      <c r="Y191" s="4">
        <v>168503.26</v>
      </c>
      <c r="Z191" s="4"/>
      <c r="AA191" s="4"/>
      <c r="AB191" s="4"/>
    </row>
    <row r="192" spans="1:206" x14ac:dyDescent="0.2">
      <c r="A192" s="4">
        <v>50</v>
      </c>
      <c r="B192" s="4">
        <v>0</v>
      </c>
      <c r="C192" s="4">
        <v>0</v>
      </c>
      <c r="D192" s="4">
        <v>1</v>
      </c>
      <c r="E192" s="4">
        <v>226</v>
      </c>
      <c r="F192" s="4">
        <f>ROUND(Source!AW186,O192)</f>
        <v>168503.26</v>
      </c>
      <c r="G192" s="4" t="s">
        <v>53</v>
      </c>
      <c r="H192" s="4" t="s">
        <v>54</v>
      </c>
      <c r="I192" s="4"/>
      <c r="J192" s="4"/>
      <c r="K192" s="4">
        <v>226</v>
      </c>
      <c r="L192" s="4">
        <v>5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168503.26</v>
      </c>
      <c r="X192" s="4">
        <v>1</v>
      </c>
      <c r="Y192" s="4">
        <v>168503.26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227</v>
      </c>
      <c r="F193" s="4">
        <f>ROUND(Source!AX186,O193)</f>
        <v>0</v>
      </c>
      <c r="G193" s="4" t="s">
        <v>55</v>
      </c>
      <c r="H193" s="4" t="s">
        <v>56</v>
      </c>
      <c r="I193" s="4"/>
      <c r="J193" s="4"/>
      <c r="K193" s="4">
        <v>227</v>
      </c>
      <c r="L193" s="4">
        <v>6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228</v>
      </c>
      <c r="F194" s="4">
        <f>ROUND(Source!AY186,O194)</f>
        <v>168503.26</v>
      </c>
      <c r="G194" s="4" t="s">
        <v>57</v>
      </c>
      <c r="H194" s="4" t="s">
        <v>58</v>
      </c>
      <c r="I194" s="4"/>
      <c r="J194" s="4"/>
      <c r="K194" s="4">
        <v>228</v>
      </c>
      <c r="L194" s="4">
        <v>7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168503.26</v>
      </c>
      <c r="X194" s="4">
        <v>1</v>
      </c>
      <c r="Y194" s="4">
        <v>168503.26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216</v>
      </c>
      <c r="F195" s="4">
        <f>ROUND(Source!AP186,O195)</f>
        <v>0</v>
      </c>
      <c r="G195" s="4" t="s">
        <v>59</v>
      </c>
      <c r="H195" s="4" t="s">
        <v>60</v>
      </c>
      <c r="I195" s="4"/>
      <c r="J195" s="4"/>
      <c r="K195" s="4">
        <v>216</v>
      </c>
      <c r="L195" s="4">
        <v>8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223</v>
      </c>
      <c r="F196" s="4">
        <f>ROUND(Source!AQ186,O196)</f>
        <v>0</v>
      </c>
      <c r="G196" s="4" t="s">
        <v>61</v>
      </c>
      <c r="H196" s="4" t="s">
        <v>62</v>
      </c>
      <c r="I196" s="4"/>
      <c r="J196" s="4"/>
      <c r="K196" s="4">
        <v>223</v>
      </c>
      <c r="L196" s="4">
        <v>9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229</v>
      </c>
      <c r="F197" s="4">
        <f>ROUND(Source!AZ186,O197)</f>
        <v>0</v>
      </c>
      <c r="G197" s="4" t="s">
        <v>63</v>
      </c>
      <c r="H197" s="4" t="s">
        <v>64</v>
      </c>
      <c r="I197" s="4"/>
      <c r="J197" s="4"/>
      <c r="K197" s="4">
        <v>229</v>
      </c>
      <c r="L197" s="4">
        <v>10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203</v>
      </c>
      <c r="F198" s="4">
        <f>ROUND(Source!Q186,O198)</f>
        <v>1048.3699999999999</v>
      </c>
      <c r="G198" s="4" t="s">
        <v>65</v>
      </c>
      <c r="H198" s="4" t="s">
        <v>66</v>
      </c>
      <c r="I198" s="4"/>
      <c r="J198" s="4"/>
      <c r="K198" s="4">
        <v>203</v>
      </c>
      <c r="L198" s="4">
        <v>11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1048.3699999999999</v>
      </c>
      <c r="X198" s="4">
        <v>1</v>
      </c>
      <c r="Y198" s="4">
        <v>1048.3699999999999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231</v>
      </c>
      <c r="F199" s="4">
        <f>ROUND(Source!BB186,O199)</f>
        <v>0</v>
      </c>
      <c r="G199" s="4" t="s">
        <v>67</v>
      </c>
      <c r="H199" s="4" t="s">
        <v>68</v>
      </c>
      <c r="I199" s="4"/>
      <c r="J199" s="4"/>
      <c r="K199" s="4">
        <v>231</v>
      </c>
      <c r="L199" s="4">
        <v>12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204</v>
      </c>
      <c r="F200" s="4">
        <f>ROUND(Source!R186,O200)</f>
        <v>729.47</v>
      </c>
      <c r="G200" s="4" t="s">
        <v>69</v>
      </c>
      <c r="H200" s="4" t="s">
        <v>70</v>
      </c>
      <c r="I200" s="4"/>
      <c r="J200" s="4"/>
      <c r="K200" s="4">
        <v>204</v>
      </c>
      <c r="L200" s="4">
        <v>13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729.47</v>
      </c>
      <c r="X200" s="4">
        <v>1</v>
      </c>
      <c r="Y200" s="4">
        <v>729.47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205</v>
      </c>
      <c r="F201" s="4">
        <f>ROUND(Source!S186,O201)</f>
        <v>197307.47</v>
      </c>
      <c r="G201" s="4" t="s">
        <v>71</v>
      </c>
      <c r="H201" s="4" t="s">
        <v>72</v>
      </c>
      <c r="I201" s="4"/>
      <c r="J201" s="4"/>
      <c r="K201" s="4">
        <v>205</v>
      </c>
      <c r="L201" s="4">
        <v>14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197307.47</v>
      </c>
      <c r="X201" s="4">
        <v>1</v>
      </c>
      <c r="Y201" s="4">
        <v>197307.47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232</v>
      </c>
      <c r="F202" s="4">
        <f>ROUND(Source!BC186,O202)</f>
        <v>0</v>
      </c>
      <c r="G202" s="4" t="s">
        <v>73</v>
      </c>
      <c r="H202" s="4" t="s">
        <v>74</v>
      </c>
      <c r="I202" s="4"/>
      <c r="J202" s="4"/>
      <c r="K202" s="4">
        <v>232</v>
      </c>
      <c r="L202" s="4">
        <v>15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214</v>
      </c>
      <c r="F203" s="4">
        <f>ROUND(Source!AS186,O203)</f>
        <v>0</v>
      </c>
      <c r="G203" s="4" t="s">
        <v>75</v>
      </c>
      <c r="H203" s="4" t="s">
        <v>76</v>
      </c>
      <c r="I203" s="4"/>
      <c r="J203" s="4"/>
      <c r="K203" s="4">
        <v>214</v>
      </c>
      <c r="L203" s="4">
        <v>16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215</v>
      </c>
      <c r="F204" s="4">
        <f>ROUND(Source!AT186,O204)</f>
        <v>0</v>
      </c>
      <c r="G204" s="4" t="s">
        <v>77</v>
      </c>
      <c r="H204" s="4" t="s">
        <v>78</v>
      </c>
      <c r="I204" s="4"/>
      <c r="J204" s="4"/>
      <c r="K204" s="4">
        <v>215</v>
      </c>
      <c r="L204" s="4">
        <v>17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217</v>
      </c>
      <c r="F205" s="4">
        <f>ROUND(Source!AU186,O205)</f>
        <v>525401.39</v>
      </c>
      <c r="G205" s="4" t="s">
        <v>79</v>
      </c>
      <c r="H205" s="4" t="s">
        <v>80</v>
      </c>
      <c r="I205" s="4"/>
      <c r="J205" s="4"/>
      <c r="K205" s="4">
        <v>217</v>
      </c>
      <c r="L205" s="4">
        <v>18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525401.39</v>
      </c>
      <c r="X205" s="4">
        <v>1</v>
      </c>
      <c r="Y205" s="4">
        <v>525401.39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230</v>
      </c>
      <c r="F206" s="4">
        <f>ROUND(Source!BA186,O206)</f>
        <v>0</v>
      </c>
      <c r="G206" s="4" t="s">
        <v>81</v>
      </c>
      <c r="H206" s="4" t="s">
        <v>82</v>
      </c>
      <c r="I206" s="4"/>
      <c r="J206" s="4"/>
      <c r="K206" s="4">
        <v>230</v>
      </c>
      <c r="L206" s="4">
        <v>19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206</v>
      </c>
      <c r="F207" s="4">
        <f>ROUND(Source!T186,O207)</f>
        <v>0</v>
      </c>
      <c r="G207" s="4" t="s">
        <v>83</v>
      </c>
      <c r="H207" s="4" t="s">
        <v>84</v>
      </c>
      <c r="I207" s="4"/>
      <c r="J207" s="4"/>
      <c r="K207" s="4">
        <v>206</v>
      </c>
      <c r="L207" s="4">
        <v>20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207</v>
      </c>
      <c r="F208" s="4">
        <f>Source!U186</f>
        <v>443.14323000000002</v>
      </c>
      <c r="G208" s="4" t="s">
        <v>85</v>
      </c>
      <c r="H208" s="4" t="s">
        <v>86</v>
      </c>
      <c r="I208" s="4"/>
      <c r="J208" s="4"/>
      <c r="K208" s="4">
        <v>207</v>
      </c>
      <c r="L208" s="4">
        <v>21</v>
      </c>
      <c r="M208" s="4">
        <v>3</v>
      </c>
      <c r="N208" s="4" t="s">
        <v>3</v>
      </c>
      <c r="O208" s="4">
        <v>-1</v>
      </c>
      <c r="P208" s="4"/>
      <c r="Q208" s="4"/>
      <c r="R208" s="4"/>
      <c r="S208" s="4"/>
      <c r="T208" s="4"/>
      <c r="U208" s="4"/>
      <c r="V208" s="4"/>
      <c r="W208" s="4">
        <v>443.1432299999999</v>
      </c>
      <c r="X208" s="4">
        <v>1</v>
      </c>
      <c r="Y208" s="4">
        <v>443.1432299999999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208</v>
      </c>
      <c r="F209" s="4">
        <f>Source!V186</f>
        <v>0</v>
      </c>
      <c r="G209" s="4" t="s">
        <v>87</v>
      </c>
      <c r="H209" s="4" t="s">
        <v>88</v>
      </c>
      <c r="I209" s="4"/>
      <c r="J209" s="4"/>
      <c r="K209" s="4">
        <v>208</v>
      </c>
      <c r="L209" s="4">
        <v>22</v>
      </c>
      <c r="M209" s="4">
        <v>3</v>
      </c>
      <c r="N209" s="4" t="s">
        <v>3</v>
      </c>
      <c r="O209" s="4">
        <v>-1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209</v>
      </c>
      <c r="F210" s="4">
        <f>ROUND(Source!W186,O210)</f>
        <v>0</v>
      </c>
      <c r="G210" s="4" t="s">
        <v>89</v>
      </c>
      <c r="H210" s="4" t="s">
        <v>90</v>
      </c>
      <c r="I210" s="4"/>
      <c r="J210" s="4"/>
      <c r="K210" s="4">
        <v>209</v>
      </c>
      <c r="L210" s="4">
        <v>23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233</v>
      </c>
      <c r="F211" s="4">
        <f>ROUND(Source!BD186,O211)</f>
        <v>0</v>
      </c>
      <c r="G211" s="4" t="s">
        <v>91</v>
      </c>
      <c r="H211" s="4" t="s">
        <v>92</v>
      </c>
      <c r="I211" s="4"/>
      <c r="J211" s="4"/>
      <c r="K211" s="4">
        <v>233</v>
      </c>
      <c r="L211" s="4">
        <v>24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210</v>
      </c>
      <c r="F212" s="4">
        <f>ROUND(Source!X186,O212)</f>
        <v>138115.25</v>
      </c>
      <c r="G212" s="4" t="s">
        <v>93</v>
      </c>
      <c r="H212" s="4" t="s">
        <v>94</v>
      </c>
      <c r="I212" s="4"/>
      <c r="J212" s="4"/>
      <c r="K212" s="4">
        <v>210</v>
      </c>
      <c r="L212" s="4">
        <v>25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138115.25</v>
      </c>
      <c r="X212" s="4">
        <v>1</v>
      </c>
      <c r="Y212" s="4">
        <v>138115.25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211</v>
      </c>
      <c r="F213" s="4">
        <f>ROUND(Source!Y186,O213)</f>
        <v>19730.759999999998</v>
      </c>
      <c r="G213" s="4" t="s">
        <v>95</v>
      </c>
      <c r="H213" s="4" t="s">
        <v>96</v>
      </c>
      <c r="I213" s="4"/>
      <c r="J213" s="4"/>
      <c r="K213" s="4">
        <v>211</v>
      </c>
      <c r="L213" s="4">
        <v>26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19730.759999999998</v>
      </c>
      <c r="X213" s="4">
        <v>1</v>
      </c>
      <c r="Y213" s="4">
        <v>19730.759999999998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224</v>
      </c>
      <c r="F214" s="4">
        <f>ROUND(Source!AR186,O214)</f>
        <v>525401.39</v>
      </c>
      <c r="G214" s="4" t="s">
        <v>97</v>
      </c>
      <c r="H214" s="4" t="s">
        <v>98</v>
      </c>
      <c r="I214" s="4"/>
      <c r="J214" s="4"/>
      <c r="K214" s="4">
        <v>224</v>
      </c>
      <c r="L214" s="4">
        <v>27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525401.39</v>
      </c>
      <c r="X214" s="4">
        <v>1</v>
      </c>
      <c r="Y214" s="4">
        <v>525401.39</v>
      </c>
      <c r="Z214" s="4"/>
      <c r="AA214" s="4"/>
      <c r="AB214" s="4"/>
    </row>
    <row r="215" spans="1:28" x14ac:dyDescent="0.2">
      <c r="A215" s="4">
        <v>50</v>
      </c>
      <c r="B215" s="4">
        <v>1</v>
      </c>
      <c r="C215" s="4">
        <v>0</v>
      </c>
      <c r="D215" s="4">
        <v>2</v>
      </c>
      <c r="E215" s="4">
        <v>0</v>
      </c>
      <c r="F215" s="4">
        <f>ROUND(F214*0.2,O215)</f>
        <v>105080.28</v>
      </c>
      <c r="G215" s="4" t="s">
        <v>167</v>
      </c>
      <c r="H215" s="4" t="s">
        <v>168</v>
      </c>
      <c r="I215" s="4"/>
      <c r="J215" s="4"/>
      <c r="K215" s="4">
        <v>212</v>
      </c>
      <c r="L215" s="4">
        <v>28</v>
      </c>
      <c r="M215" s="4">
        <v>0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105080.28</v>
      </c>
      <c r="X215" s="4">
        <v>1</v>
      </c>
      <c r="Y215" s="4">
        <v>105080.28</v>
      </c>
      <c r="Z215" s="4"/>
      <c r="AA215" s="4"/>
      <c r="AB215" s="4"/>
    </row>
    <row r="216" spans="1:28" x14ac:dyDescent="0.2">
      <c r="A216" s="4">
        <v>50</v>
      </c>
      <c r="B216" s="4">
        <v>1</v>
      </c>
      <c r="C216" s="4">
        <v>0</v>
      </c>
      <c r="D216" s="4">
        <v>2</v>
      </c>
      <c r="E216" s="4">
        <v>213</v>
      </c>
      <c r="F216" s="4">
        <f>ROUND(F214+F215,O216)</f>
        <v>630481.67000000004</v>
      </c>
      <c r="G216" s="4" t="s">
        <v>169</v>
      </c>
      <c r="H216" s="4" t="s">
        <v>170</v>
      </c>
      <c r="I216" s="4"/>
      <c r="J216" s="4"/>
      <c r="K216" s="4">
        <v>212</v>
      </c>
      <c r="L216" s="4">
        <v>29</v>
      </c>
      <c r="M216" s="4">
        <v>0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630481.67000000004</v>
      </c>
      <c r="X216" s="4">
        <v>1</v>
      </c>
      <c r="Y216" s="4">
        <v>630481.67000000004</v>
      </c>
      <c r="Z216" s="4"/>
      <c r="AA216" s="4"/>
      <c r="AB216" s="4"/>
    </row>
    <row r="217" spans="1:28" x14ac:dyDescent="0.2">
      <c r="A217" s="4">
        <v>50</v>
      </c>
      <c r="B217" s="4">
        <v>1</v>
      </c>
      <c r="C217" s="4">
        <v>0</v>
      </c>
      <c r="D217" s="4">
        <v>2</v>
      </c>
      <c r="E217" s="4">
        <v>0</v>
      </c>
      <c r="F217" s="4">
        <f>ROUND(0,O217)</f>
        <v>0</v>
      </c>
      <c r="G217" s="4" t="s">
        <v>15</v>
      </c>
      <c r="H217" s="4" t="s">
        <v>171</v>
      </c>
      <c r="I217" s="4"/>
      <c r="J217" s="4"/>
      <c r="K217" s="4">
        <v>212</v>
      </c>
      <c r="L217" s="4">
        <v>31</v>
      </c>
      <c r="M217" s="4">
        <v>0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20" spans="1:28" x14ac:dyDescent="0.2">
      <c r="A220">
        <v>-1</v>
      </c>
    </row>
    <row r="222" spans="1:28" x14ac:dyDescent="0.2">
      <c r="A222" s="3">
        <v>75</v>
      </c>
      <c r="B222" s="3" t="s">
        <v>172</v>
      </c>
      <c r="C222" s="3">
        <v>2025</v>
      </c>
      <c r="D222" s="3">
        <v>2</v>
      </c>
      <c r="E222" s="3">
        <v>0</v>
      </c>
      <c r="F222" s="3"/>
      <c r="G222" s="3">
        <v>0</v>
      </c>
      <c r="H222" s="3">
        <v>1</v>
      </c>
      <c r="I222" s="3">
        <v>0</v>
      </c>
      <c r="J222" s="3">
        <v>1</v>
      </c>
      <c r="K222" s="3">
        <v>78</v>
      </c>
      <c r="L222" s="3">
        <v>30</v>
      </c>
      <c r="M222" s="3">
        <v>0</v>
      </c>
      <c r="N222" s="3">
        <v>75705739</v>
      </c>
      <c r="O222" s="3">
        <v>1</v>
      </c>
    </row>
    <row r="226" spans="1:5" x14ac:dyDescent="0.2">
      <c r="A226">
        <v>65</v>
      </c>
      <c r="C226">
        <v>1</v>
      </c>
      <c r="D226">
        <v>0</v>
      </c>
      <c r="E226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173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75705739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0</v>
      </c>
      <c r="C16" s="5" t="s">
        <v>12</v>
      </c>
      <c r="D16" s="5" t="s">
        <v>12</v>
      </c>
      <c r="E16" s="6">
        <f>ROUND((Source!F173)/1000,2)</f>
        <v>0</v>
      </c>
      <c r="F16" s="6">
        <f>ROUND((Source!F174)/1000,2)</f>
        <v>0</v>
      </c>
      <c r="G16" s="6">
        <f>ROUND((Source!F165)/1000,2)</f>
        <v>0</v>
      </c>
      <c r="H16" s="6">
        <f>ROUND((Source!F175)/1000+(Source!F176)/1000,2)</f>
        <v>525.4</v>
      </c>
      <c r="I16" s="6">
        <f>E16+F16+G16+H16</f>
        <v>525.4</v>
      </c>
      <c r="J16" s="6">
        <f>ROUND((Source!F171+Source!F170)/1000,2)</f>
        <v>198.04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366859.1</v>
      </c>
      <c r="AU16" s="6">
        <v>168503.26</v>
      </c>
      <c r="AV16" s="6">
        <v>0</v>
      </c>
      <c r="AW16" s="6">
        <v>0</v>
      </c>
      <c r="AX16" s="6">
        <v>0</v>
      </c>
      <c r="AY16" s="6">
        <v>1048.3699999999999</v>
      </c>
      <c r="AZ16" s="6">
        <v>729.47</v>
      </c>
      <c r="BA16" s="6">
        <v>197307.47</v>
      </c>
      <c r="BB16" s="6">
        <v>0</v>
      </c>
      <c r="BC16" s="6">
        <v>0</v>
      </c>
      <c r="BD16" s="6">
        <v>525401.39</v>
      </c>
      <c r="BE16" s="6">
        <v>0</v>
      </c>
      <c r="BF16" s="6">
        <v>443.1432299999999</v>
      </c>
      <c r="BG16" s="6">
        <v>0</v>
      </c>
      <c r="BH16" s="6">
        <v>0</v>
      </c>
      <c r="BI16" s="6">
        <v>138115.25</v>
      </c>
      <c r="BJ16" s="6">
        <v>19730.759999999998</v>
      </c>
      <c r="BK16" s="6">
        <v>525401.39</v>
      </c>
    </row>
    <row r="18" spans="1:19" x14ac:dyDescent="0.2">
      <c r="A18">
        <v>51</v>
      </c>
      <c r="E18" s="7">
        <f>SUMIF(A16:A17,3,E16:E17)</f>
        <v>0</v>
      </c>
      <c r="F18" s="7">
        <f>SUMIF(A16:A17,3,F16:F17)</f>
        <v>0</v>
      </c>
      <c r="G18" s="7">
        <f>SUMIF(A16:A17,3,G16:G17)</f>
        <v>0</v>
      </c>
      <c r="H18" s="7">
        <f>SUMIF(A16:A17,3,H16:H17)</f>
        <v>525.4</v>
      </c>
      <c r="I18" s="7">
        <f>SUMIF(A16:A17,3,I16:I17)</f>
        <v>525.4</v>
      </c>
      <c r="J18" s="7">
        <f>SUMIF(A16:A17,3,J16:J17)</f>
        <v>198.04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366859.1</v>
      </c>
      <c r="G20" s="4" t="s">
        <v>45</v>
      </c>
      <c r="H20" s="4" t="s">
        <v>46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168503.26</v>
      </c>
      <c r="G21" s="4" t="s">
        <v>47</v>
      </c>
      <c r="H21" s="4" t="s">
        <v>48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49</v>
      </c>
      <c r="H22" s="4" t="s">
        <v>50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168503.26</v>
      </c>
      <c r="G23" s="4" t="s">
        <v>51</v>
      </c>
      <c r="H23" s="4" t="s">
        <v>52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168503.26</v>
      </c>
      <c r="G24" s="4" t="s">
        <v>53</v>
      </c>
      <c r="H24" s="4" t="s">
        <v>54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55</v>
      </c>
      <c r="H25" s="4" t="s">
        <v>56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168503.26</v>
      </c>
      <c r="G26" s="4" t="s">
        <v>57</v>
      </c>
      <c r="H26" s="4" t="s">
        <v>58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59</v>
      </c>
      <c r="H27" s="4" t="s">
        <v>60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61</v>
      </c>
      <c r="H28" s="4" t="s">
        <v>62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63</v>
      </c>
      <c r="H29" s="4" t="s">
        <v>64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1048.3699999999999</v>
      </c>
      <c r="G30" s="4" t="s">
        <v>65</v>
      </c>
      <c r="H30" s="4" t="s">
        <v>66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67</v>
      </c>
      <c r="H31" s="4" t="s">
        <v>68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729.47</v>
      </c>
      <c r="G32" s="4" t="s">
        <v>69</v>
      </c>
      <c r="H32" s="4" t="s">
        <v>70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197307.47</v>
      </c>
      <c r="G33" s="4" t="s">
        <v>71</v>
      </c>
      <c r="H33" s="4" t="s">
        <v>72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73</v>
      </c>
      <c r="H34" s="4" t="s">
        <v>74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75</v>
      </c>
      <c r="H35" s="4" t="s">
        <v>76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77</v>
      </c>
      <c r="H36" s="4" t="s">
        <v>78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525401.39</v>
      </c>
      <c r="G37" s="4" t="s">
        <v>79</v>
      </c>
      <c r="H37" s="4" t="s">
        <v>80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81</v>
      </c>
      <c r="H38" s="4" t="s">
        <v>82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83</v>
      </c>
      <c r="H39" s="4" t="s">
        <v>84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443.1432299999999</v>
      </c>
      <c r="G40" s="4" t="s">
        <v>85</v>
      </c>
      <c r="H40" s="4" t="s">
        <v>86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87</v>
      </c>
      <c r="H41" s="4" t="s">
        <v>88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89</v>
      </c>
      <c r="H42" s="4" t="s">
        <v>90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91</v>
      </c>
      <c r="H43" s="4" t="s">
        <v>92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138115.25</v>
      </c>
      <c r="G44" s="4" t="s">
        <v>93</v>
      </c>
      <c r="H44" s="4" t="s">
        <v>94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19730.759999999998</v>
      </c>
      <c r="G45" s="4" t="s">
        <v>95</v>
      </c>
      <c r="H45" s="4" t="s">
        <v>96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525401.39</v>
      </c>
      <c r="G46" s="4" t="s">
        <v>97</v>
      </c>
      <c r="H46" s="4" t="s">
        <v>98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105080.28</v>
      </c>
      <c r="G47" s="4" t="s">
        <v>167</v>
      </c>
      <c r="H47" s="4" t="s">
        <v>168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213</v>
      </c>
      <c r="F48" s="4">
        <v>630481.67000000004</v>
      </c>
      <c r="G48" s="4" t="s">
        <v>169</v>
      </c>
      <c r="H48" s="4" t="s">
        <v>170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0</v>
      </c>
      <c r="G49" s="4" t="s">
        <v>15</v>
      </c>
      <c r="H49" s="4" t="s">
        <v>171</v>
      </c>
      <c r="I49" s="4"/>
      <c r="J49" s="4"/>
      <c r="K49" s="4">
        <v>212</v>
      </c>
      <c r="L49" s="4">
        <v>31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172</v>
      </c>
      <c r="C54" s="3">
        <v>2025</v>
      </c>
      <c r="D54" s="3">
        <v>2</v>
      </c>
      <c r="E54" s="3">
        <v>0</v>
      </c>
      <c r="F54" s="3"/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75705739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75705739</v>
      </c>
      <c r="C1">
        <v>75705422</v>
      </c>
      <c r="D1">
        <v>75386788</v>
      </c>
      <c r="E1">
        <v>39</v>
      </c>
      <c r="F1">
        <v>1</v>
      </c>
      <c r="G1">
        <v>39</v>
      </c>
      <c r="H1">
        <v>1</v>
      </c>
      <c r="I1" t="s">
        <v>174</v>
      </c>
      <c r="J1" t="s">
        <v>3</v>
      </c>
      <c r="K1" t="s">
        <v>175</v>
      </c>
      <c r="L1">
        <v>1191</v>
      </c>
      <c r="N1">
        <v>1013</v>
      </c>
      <c r="O1" t="s">
        <v>176</v>
      </c>
      <c r="P1" t="s">
        <v>176</v>
      </c>
      <c r="Q1">
        <v>1</v>
      </c>
      <c r="W1">
        <v>0</v>
      </c>
      <c r="X1">
        <v>476480486</v>
      </c>
      <c r="Y1">
        <f t="shared" ref="Y1:Y32" si="0">AT1</f>
        <v>87.17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87.17</v>
      </c>
      <c r="AU1" t="s">
        <v>3</v>
      </c>
      <c r="AV1">
        <v>1</v>
      </c>
      <c r="AW1">
        <v>2</v>
      </c>
      <c r="AX1">
        <v>75705682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0</v>
      </c>
      <c r="CV1">
        <f>ROUND(Y1*Source!I28,9)</f>
        <v>74.007329999999996</v>
      </c>
      <c r="CW1">
        <v>0</v>
      </c>
      <c r="CX1">
        <f>ROUND(Y1*Source!I28,9)</f>
        <v>74.007329999999996</v>
      </c>
      <c r="CY1">
        <f>AD1</f>
        <v>0</v>
      </c>
      <c r="CZ1">
        <f>AH1</f>
        <v>0</v>
      </c>
      <c r="DA1">
        <f>AL1</f>
        <v>1</v>
      </c>
      <c r="DB1">
        <f t="shared" ref="DB1:DB32" si="1">ROUND(ROUND(AT1*CZ1,2),6)</f>
        <v>0</v>
      </c>
      <c r="DC1">
        <f t="shared" ref="DC1:DC32" si="2">ROUND(ROUND(AT1*AG1,2),6)</f>
        <v>0</v>
      </c>
      <c r="DD1" t="s">
        <v>3</v>
      </c>
      <c r="DE1" t="s">
        <v>3</v>
      </c>
      <c r="DF1">
        <f t="shared" ref="DF1:DF32" si="3">ROUND(ROUND(AE1,2)*CX1,2)</f>
        <v>0</v>
      </c>
      <c r="DG1">
        <f t="shared" ref="DG1:DG32" si="4">ROUND(ROUND(AF1,2)*CX1,2)</f>
        <v>0</v>
      </c>
      <c r="DH1">
        <f t="shared" ref="DH1:DH32" si="5">ROUND(ROUND(AG1,2)*CX1,2)</f>
        <v>0</v>
      </c>
      <c r="DI1">
        <f t="shared" ref="DI1:DI32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75705739</v>
      </c>
      <c r="C2">
        <v>75705422</v>
      </c>
      <c r="D2">
        <v>75389290</v>
      </c>
      <c r="E2">
        <v>1</v>
      </c>
      <c r="F2">
        <v>1</v>
      </c>
      <c r="G2">
        <v>39</v>
      </c>
      <c r="H2">
        <v>3</v>
      </c>
      <c r="I2" t="s">
        <v>177</v>
      </c>
      <c r="J2" t="s">
        <v>178</v>
      </c>
      <c r="K2" t="s">
        <v>179</v>
      </c>
      <c r="L2">
        <v>1339</v>
      </c>
      <c r="N2">
        <v>1007</v>
      </c>
      <c r="O2" t="s">
        <v>180</v>
      </c>
      <c r="P2" t="s">
        <v>180</v>
      </c>
      <c r="Q2">
        <v>1</v>
      </c>
      <c r="W2">
        <v>0</v>
      </c>
      <c r="X2">
        <v>-1635218338</v>
      </c>
      <c r="Y2">
        <f t="shared" si="0"/>
        <v>8.0000000000000002E-3</v>
      </c>
      <c r="AA2">
        <v>11988.68</v>
      </c>
      <c r="AB2">
        <v>0</v>
      </c>
      <c r="AC2">
        <v>0</v>
      </c>
      <c r="AD2">
        <v>0</v>
      </c>
      <c r="AE2">
        <v>11988.68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8.0000000000000002E-3</v>
      </c>
      <c r="AU2" t="s">
        <v>3</v>
      </c>
      <c r="AV2">
        <v>0</v>
      </c>
      <c r="AW2">
        <v>2</v>
      </c>
      <c r="AX2">
        <v>75705683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ROUND(Y2*Source!I28,9)</f>
        <v>6.7920000000000003E-3</v>
      </c>
      <c r="CY2">
        <f>AA2</f>
        <v>11988.68</v>
      </c>
      <c r="CZ2">
        <f>AE2</f>
        <v>11988.68</v>
      </c>
      <c r="DA2">
        <f>AI2</f>
        <v>1</v>
      </c>
      <c r="DB2">
        <f t="shared" si="1"/>
        <v>95.91</v>
      </c>
      <c r="DC2">
        <f t="shared" si="2"/>
        <v>0</v>
      </c>
      <c r="DD2" t="s">
        <v>3</v>
      </c>
      <c r="DE2" t="s">
        <v>3</v>
      </c>
      <c r="DF2">
        <f t="shared" si="3"/>
        <v>81.430000000000007</v>
      </c>
      <c r="DG2">
        <f t="shared" si="4"/>
        <v>0</v>
      </c>
      <c r="DH2">
        <f t="shared" si="5"/>
        <v>0</v>
      </c>
      <c r="DI2">
        <f t="shared" si="6"/>
        <v>0</v>
      </c>
      <c r="DJ2">
        <f>DF2</f>
        <v>81.430000000000007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ROW(Source!A30)</f>
        <v>30</v>
      </c>
      <c r="B3">
        <v>75705739</v>
      </c>
      <c r="C3">
        <v>75705428</v>
      </c>
      <c r="D3">
        <v>75386788</v>
      </c>
      <c r="E3">
        <v>39</v>
      </c>
      <c r="F3">
        <v>1</v>
      </c>
      <c r="G3">
        <v>39</v>
      </c>
      <c r="H3">
        <v>1</v>
      </c>
      <c r="I3" t="s">
        <v>174</v>
      </c>
      <c r="J3" t="s">
        <v>3</v>
      </c>
      <c r="K3" t="s">
        <v>175</v>
      </c>
      <c r="L3">
        <v>1191</v>
      </c>
      <c r="N3">
        <v>1013</v>
      </c>
      <c r="O3" t="s">
        <v>176</v>
      </c>
      <c r="P3" t="s">
        <v>176</v>
      </c>
      <c r="Q3">
        <v>1</v>
      </c>
      <c r="W3">
        <v>0</v>
      </c>
      <c r="X3">
        <v>476480486</v>
      </c>
      <c r="Y3">
        <f t="shared" si="0"/>
        <v>24.52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24.52</v>
      </c>
      <c r="AU3" t="s">
        <v>3</v>
      </c>
      <c r="AV3">
        <v>1</v>
      </c>
      <c r="AW3">
        <v>2</v>
      </c>
      <c r="AX3">
        <v>75705684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U3">
        <f>ROUND(AT3*Source!I30*AH3*AL3,2)</f>
        <v>0</v>
      </c>
      <c r="CV3">
        <f>ROUND(Y3*Source!I30,9)</f>
        <v>109.8496</v>
      </c>
      <c r="CW3">
        <v>0</v>
      </c>
      <c r="CX3">
        <f>ROUND(Y3*Source!I30,9)</f>
        <v>109.8496</v>
      </c>
      <c r="CY3">
        <f>AD3</f>
        <v>0</v>
      </c>
      <c r="CZ3">
        <f>AH3</f>
        <v>0</v>
      </c>
      <c r="DA3">
        <f>AL3</f>
        <v>1</v>
      </c>
      <c r="DB3">
        <f t="shared" si="1"/>
        <v>0</v>
      </c>
      <c r="DC3">
        <f t="shared" si="2"/>
        <v>0</v>
      </c>
      <c r="DD3" t="s">
        <v>3</v>
      </c>
      <c r="DE3" t="s">
        <v>3</v>
      </c>
      <c r="DF3">
        <f t="shared" si="3"/>
        <v>0</v>
      </c>
      <c r="DG3">
        <f t="shared" si="4"/>
        <v>0</v>
      </c>
      <c r="DH3">
        <f t="shared" si="5"/>
        <v>0</v>
      </c>
      <c r="DI3">
        <f t="shared" si="6"/>
        <v>0</v>
      </c>
      <c r="DJ3">
        <f>DI3</f>
        <v>0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ROW(Source!A30)</f>
        <v>30</v>
      </c>
      <c r="B4">
        <v>75705739</v>
      </c>
      <c r="C4">
        <v>75705428</v>
      </c>
      <c r="D4">
        <v>75390376</v>
      </c>
      <c r="E4">
        <v>1</v>
      </c>
      <c r="F4">
        <v>1</v>
      </c>
      <c r="G4">
        <v>39</v>
      </c>
      <c r="H4">
        <v>3</v>
      </c>
      <c r="I4" t="s">
        <v>181</v>
      </c>
      <c r="J4" t="s">
        <v>182</v>
      </c>
      <c r="K4" t="s">
        <v>183</v>
      </c>
      <c r="L4">
        <v>1346</v>
      </c>
      <c r="N4">
        <v>1009</v>
      </c>
      <c r="O4" t="s">
        <v>184</v>
      </c>
      <c r="P4" t="s">
        <v>184</v>
      </c>
      <c r="Q4">
        <v>1</v>
      </c>
      <c r="W4">
        <v>0</v>
      </c>
      <c r="X4">
        <v>1118017035</v>
      </c>
      <c r="Y4">
        <f t="shared" si="0"/>
        <v>0.36</v>
      </c>
      <c r="AA4">
        <v>26.09</v>
      </c>
      <c r="AB4">
        <v>0</v>
      </c>
      <c r="AC4">
        <v>0</v>
      </c>
      <c r="AD4">
        <v>0</v>
      </c>
      <c r="AE4">
        <v>26.09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3</v>
      </c>
      <c r="AT4">
        <v>0.36</v>
      </c>
      <c r="AU4" t="s">
        <v>3</v>
      </c>
      <c r="AV4">
        <v>0</v>
      </c>
      <c r="AW4">
        <v>2</v>
      </c>
      <c r="AX4">
        <v>75705685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v>0</v>
      </c>
      <c r="CX4">
        <f>ROUND(Y4*Source!I30,9)</f>
        <v>1.6128</v>
      </c>
      <c r="CY4">
        <f t="shared" ref="CY4:CY10" si="7">AA4</f>
        <v>26.09</v>
      </c>
      <c r="CZ4">
        <f t="shared" ref="CZ4:CZ10" si="8">AE4</f>
        <v>26.09</v>
      </c>
      <c r="DA4">
        <f t="shared" ref="DA4:DA10" si="9">AI4</f>
        <v>1</v>
      </c>
      <c r="DB4">
        <f t="shared" si="1"/>
        <v>9.39</v>
      </c>
      <c r="DC4">
        <f t="shared" si="2"/>
        <v>0</v>
      </c>
      <c r="DD4" t="s">
        <v>3</v>
      </c>
      <c r="DE4" t="s">
        <v>3</v>
      </c>
      <c r="DF4">
        <f t="shared" si="3"/>
        <v>42.08</v>
      </c>
      <c r="DG4">
        <f t="shared" si="4"/>
        <v>0</v>
      </c>
      <c r="DH4">
        <f t="shared" si="5"/>
        <v>0</v>
      </c>
      <c r="DI4">
        <f t="shared" si="6"/>
        <v>0</v>
      </c>
      <c r="DJ4">
        <f t="shared" ref="DJ4:DJ10" si="10">DF4</f>
        <v>42.08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ROW(Source!A30)</f>
        <v>30</v>
      </c>
      <c r="B5">
        <v>75705739</v>
      </c>
      <c r="C5">
        <v>75705428</v>
      </c>
      <c r="D5">
        <v>75390588</v>
      </c>
      <c r="E5">
        <v>1</v>
      </c>
      <c r="F5">
        <v>1</v>
      </c>
      <c r="G5">
        <v>39</v>
      </c>
      <c r="H5">
        <v>3</v>
      </c>
      <c r="I5" t="s">
        <v>185</v>
      </c>
      <c r="J5" t="s">
        <v>186</v>
      </c>
      <c r="K5" t="s">
        <v>187</v>
      </c>
      <c r="L5">
        <v>1339</v>
      </c>
      <c r="N5">
        <v>1007</v>
      </c>
      <c r="O5" t="s">
        <v>180</v>
      </c>
      <c r="P5" t="s">
        <v>180</v>
      </c>
      <c r="Q5">
        <v>1</v>
      </c>
      <c r="W5">
        <v>0</v>
      </c>
      <c r="X5">
        <v>973433911</v>
      </c>
      <c r="Y5">
        <f t="shared" si="0"/>
        <v>0.24</v>
      </c>
      <c r="AA5">
        <v>49.83</v>
      </c>
      <c r="AB5">
        <v>0</v>
      </c>
      <c r="AC5">
        <v>0</v>
      </c>
      <c r="AD5">
        <v>0</v>
      </c>
      <c r="AE5">
        <v>49.83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3</v>
      </c>
      <c r="AT5">
        <v>0.24</v>
      </c>
      <c r="AU5" t="s">
        <v>3</v>
      </c>
      <c r="AV5">
        <v>0</v>
      </c>
      <c r="AW5">
        <v>2</v>
      </c>
      <c r="AX5">
        <v>75705686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ROUND(Y5*Source!I30,9)</f>
        <v>1.0751999999999999</v>
      </c>
      <c r="CY5">
        <f t="shared" si="7"/>
        <v>49.83</v>
      </c>
      <c r="CZ5">
        <f t="shared" si="8"/>
        <v>49.83</v>
      </c>
      <c r="DA5">
        <f t="shared" si="9"/>
        <v>1</v>
      </c>
      <c r="DB5">
        <f t="shared" si="1"/>
        <v>11.96</v>
      </c>
      <c r="DC5">
        <f t="shared" si="2"/>
        <v>0</v>
      </c>
      <c r="DD5" t="s">
        <v>3</v>
      </c>
      <c r="DE5" t="s">
        <v>3</v>
      </c>
      <c r="DF5">
        <f t="shared" si="3"/>
        <v>53.58</v>
      </c>
      <c r="DG5">
        <f t="shared" si="4"/>
        <v>0</v>
      </c>
      <c r="DH5">
        <f t="shared" si="5"/>
        <v>0</v>
      </c>
      <c r="DI5">
        <f t="shared" si="6"/>
        <v>0</v>
      </c>
      <c r="DJ5">
        <f t="shared" si="10"/>
        <v>53.58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ROW(Source!A30)</f>
        <v>30</v>
      </c>
      <c r="B6">
        <v>75705739</v>
      </c>
      <c r="C6">
        <v>75705428</v>
      </c>
      <c r="D6">
        <v>75390936</v>
      </c>
      <c r="E6">
        <v>1</v>
      </c>
      <c r="F6">
        <v>1</v>
      </c>
      <c r="G6">
        <v>39</v>
      </c>
      <c r="H6">
        <v>3</v>
      </c>
      <c r="I6" t="s">
        <v>188</v>
      </c>
      <c r="J6" t="s">
        <v>189</v>
      </c>
      <c r="K6" t="s">
        <v>190</v>
      </c>
      <c r="L6">
        <v>1327</v>
      </c>
      <c r="N6">
        <v>1005</v>
      </c>
      <c r="O6" t="s">
        <v>191</v>
      </c>
      <c r="P6" t="s">
        <v>191</v>
      </c>
      <c r="Q6">
        <v>1</v>
      </c>
      <c r="W6">
        <v>0</v>
      </c>
      <c r="X6">
        <v>-668698448</v>
      </c>
      <c r="Y6">
        <f t="shared" si="0"/>
        <v>0.8</v>
      </c>
      <c r="AA6">
        <v>338.51</v>
      </c>
      <c r="AB6">
        <v>0</v>
      </c>
      <c r="AC6">
        <v>0</v>
      </c>
      <c r="AD6">
        <v>0</v>
      </c>
      <c r="AE6">
        <v>338.51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0.8</v>
      </c>
      <c r="AU6" t="s">
        <v>3</v>
      </c>
      <c r="AV6">
        <v>0</v>
      </c>
      <c r="AW6">
        <v>2</v>
      </c>
      <c r="AX6">
        <v>75705687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ROUND(Y6*Source!I30,9)</f>
        <v>3.5840000000000001</v>
      </c>
      <c r="CY6">
        <f t="shared" si="7"/>
        <v>338.51</v>
      </c>
      <c r="CZ6">
        <f t="shared" si="8"/>
        <v>338.51</v>
      </c>
      <c r="DA6">
        <f t="shared" si="9"/>
        <v>1</v>
      </c>
      <c r="DB6">
        <f t="shared" si="1"/>
        <v>270.81</v>
      </c>
      <c r="DC6">
        <f t="shared" si="2"/>
        <v>0</v>
      </c>
      <c r="DD6" t="s">
        <v>3</v>
      </c>
      <c r="DE6" t="s">
        <v>3</v>
      </c>
      <c r="DF6">
        <f t="shared" si="3"/>
        <v>1213.22</v>
      </c>
      <c r="DG6">
        <f t="shared" si="4"/>
        <v>0</v>
      </c>
      <c r="DH6">
        <f t="shared" si="5"/>
        <v>0</v>
      </c>
      <c r="DI6">
        <f t="shared" si="6"/>
        <v>0</v>
      </c>
      <c r="DJ6">
        <f t="shared" si="10"/>
        <v>1213.22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ROW(Source!A30)</f>
        <v>30</v>
      </c>
      <c r="B7">
        <v>75705739</v>
      </c>
      <c r="C7">
        <v>75705428</v>
      </c>
      <c r="D7">
        <v>75390952</v>
      </c>
      <c r="E7">
        <v>1</v>
      </c>
      <c r="F7">
        <v>1</v>
      </c>
      <c r="G7">
        <v>39</v>
      </c>
      <c r="H7">
        <v>3</v>
      </c>
      <c r="I7" t="s">
        <v>192</v>
      </c>
      <c r="J7" t="s">
        <v>193</v>
      </c>
      <c r="K7" t="s">
        <v>194</v>
      </c>
      <c r="L7">
        <v>1348</v>
      </c>
      <c r="N7">
        <v>1009</v>
      </c>
      <c r="O7" t="s">
        <v>35</v>
      </c>
      <c r="P7" t="s">
        <v>35</v>
      </c>
      <c r="Q7">
        <v>1000</v>
      </c>
      <c r="W7">
        <v>0</v>
      </c>
      <c r="X7">
        <v>1133369200</v>
      </c>
      <c r="Y7">
        <f t="shared" si="0"/>
        <v>6.4000000000000003E-3</v>
      </c>
      <c r="AA7">
        <v>76204.789999999994</v>
      </c>
      <c r="AB7">
        <v>0</v>
      </c>
      <c r="AC7">
        <v>0</v>
      </c>
      <c r="AD7">
        <v>0</v>
      </c>
      <c r="AE7">
        <v>76204.789999999994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6.4000000000000003E-3</v>
      </c>
      <c r="AU7" t="s">
        <v>3</v>
      </c>
      <c r="AV7">
        <v>0</v>
      </c>
      <c r="AW7">
        <v>2</v>
      </c>
      <c r="AX7">
        <v>75705688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ROUND(Y7*Source!I30,9)</f>
        <v>2.8672E-2</v>
      </c>
      <c r="CY7">
        <f t="shared" si="7"/>
        <v>76204.789999999994</v>
      </c>
      <c r="CZ7">
        <f t="shared" si="8"/>
        <v>76204.789999999994</v>
      </c>
      <c r="DA7">
        <f t="shared" si="9"/>
        <v>1</v>
      </c>
      <c r="DB7">
        <f t="shared" si="1"/>
        <v>487.71</v>
      </c>
      <c r="DC7">
        <f t="shared" si="2"/>
        <v>0</v>
      </c>
      <c r="DD7" t="s">
        <v>3</v>
      </c>
      <c r="DE7" t="s">
        <v>3</v>
      </c>
      <c r="DF7">
        <f t="shared" si="3"/>
        <v>2184.94</v>
      </c>
      <c r="DG7">
        <f t="shared" si="4"/>
        <v>0</v>
      </c>
      <c r="DH7">
        <f t="shared" si="5"/>
        <v>0</v>
      </c>
      <c r="DI7">
        <f t="shared" si="6"/>
        <v>0</v>
      </c>
      <c r="DJ7">
        <f t="shared" si="10"/>
        <v>2184.94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ROW(Source!A30)</f>
        <v>30</v>
      </c>
      <c r="B8">
        <v>75705739</v>
      </c>
      <c r="C8">
        <v>75705428</v>
      </c>
      <c r="D8">
        <v>75389081</v>
      </c>
      <c r="E8">
        <v>1</v>
      </c>
      <c r="F8">
        <v>1</v>
      </c>
      <c r="G8">
        <v>39</v>
      </c>
      <c r="H8">
        <v>3</v>
      </c>
      <c r="I8" t="s">
        <v>33</v>
      </c>
      <c r="J8" t="s">
        <v>36</v>
      </c>
      <c r="K8" t="s">
        <v>34</v>
      </c>
      <c r="L8">
        <v>1348</v>
      </c>
      <c r="N8">
        <v>1009</v>
      </c>
      <c r="O8" t="s">
        <v>35</v>
      </c>
      <c r="P8" t="s">
        <v>35</v>
      </c>
      <c r="Q8">
        <v>1000</v>
      </c>
      <c r="W8">
        <v>0</v>
      </c>
      <c r="X8">
        <v>-27926426</v>
      </c>
      <c r="Y8">
        <f t="shared" si="0"/>
        <v>1.6999999999999999E-3</v>
      </c>
      <c r="AA8">
        <v>198992.34</v>
      </c>
      <c r="AB8">
        <v>0</v>
      </c>
      <c r="AC8">
        <v>0</v>
      </c>
      <c r="AD8">
        <v>0</v>
      </c>
      <c r="AE8">
        <v>198992.34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0</v>
      </c>
      <c r="AP8">
        <v>0</v>
      </c>
      <c r="AQ8">
        <v>0</v>
      </c>
      <c r="AR8">
        <v>0</v>
      </c>
      <c r="AS8" t="s">
        <v>3</v>
      </c>
      <c r="AT8">
        <v>1.6999999999999999E-3</v>
      </c>
      <c r="AU8" t="s">
        <v>3</v>
      </c>
      <c r="AV8">
        <v>0</v>
      </c>
      <c r="AW8">
        <v>1</v>
      </c>
      <c r="AX8">
        <v>-1</v>
      </c>
      <c r="AY8">
        <v>0</v>
      </c>
      <c r="AZ8">
        <v>0</v>
      </c>
      <c r="BA8" t="s">
        <v>3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ROUND(Y8*Source!I30,9)</f>
        <v>7.6160000000000004E-3</v>
      </c>
      <c r="CY8">
        <f t="shared" si="7"/>
        <v>198992.34</v>
      </c>
      <c r="CZ8">
        <f t="shared" si="8"/>
        <v>198992.34</v>
      </c>
      <c r="DA8">
        <f t="shared" si="9"/>
        <v>1</v>
      </c>
      <c r="DB8">
        <f t="shared" si="1"/>
        <v>338.29</v>
      </c>
      <c r="DC8">
        <f t="shared" si="2"/>
        <v>0</v>
      </c>
      <c r="DD8" t="s">
        <v>3</v>
      </c>
      <c r="DE8" t="s">
        <v>3</v>
      </c>
      <c r="DF8">
        <f t="shared" si="3"/>
        <v>1515.53</v>
      </c>
      <c r="DG8">
        <f t="shared" si="4"/>
        <v>0</v>
      </c>
      <c r="DH8">
        <f t="shared" si="5"/>
        <v>0</v>
      </c>
      <c r="DI8">
        <f t="shared" si="6"/>
        <v>0</v>
      </c>
      <c r="DJ8">
        <f t="shared" si="10"/>
        <v>1515.53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ROW(Source!A30)</f>
        <v>30</v>
      </c>
      <c r="B9">
        <v>75705739</v>
      </c>
      <c r="C9">
        <v>75705428</v>
      </c>
      <c r="D9">
        <v>75389193</v>
      </c>
      <c r="E9">
        <v>1</v>
      </c>
      <c r="F9">
        <v>1</v>
      </c>
      <c r="G9">
        <v>39</v>
      </c>
      <c r="H9">
        <v>3</v>
      </c>
      <c r="I9" t="s">
        <v>195</v>
      </c>
      <c r="J9" t="s">
        <v>196</v>
      </c>
      <c r="K9" t="s">
        <v>197</v>
      </c>
      <c r="L9">
        <v>1346</v>
      </c>
      <c r="N9">
        <v>1009</v>
      </c>
      <c r="O9" t="s">
        <v>184</v>
      </c>
      <c r="P9" t="s">
        <v>184</v>
      </c>
      <c r="Q9">
        <v>1</v>
      </c>
      <c r="W9">
        <v>0</v>
      </c>
      <c r="X9">
        <v>-1799487693</v>
      </c>
      <c r="Y9">
        <f t="shared" si="0"/>
        <v>24.8</v>
      </c>
      <c r="AA9">
        <v>215.72</v>
      </c>
      <c r="AB9">
        <v>0</v>
      </c>
      <c r="AC9">
        <v>0</v>
      </c>
      <c r="AD9">
        <v>0</v>
      </c>
      <c r="AE9">
        <v>215.72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24.8</v>
      </c>
      <c r="AU9" t="s">
        <v>3</v>
      </c>
      <c r="AV9">
        <v>0</v>
      </c>
      <c r="AW9">
        <v>2</v>
      </c>
      <c r="AX9">
        <v>75705689</v>
      </c>
      <c r="AY9">
        <v>1</v>
      </c>
      <c r="AZ9">
        <v>0</v>
      </c>
      <c r="BA9">
        <v>8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ROUND(Y9*Source!I30,9)</f>
        <v>111.104</v>
      </c>
      <c r="CY9">
        <f t="shared" si="7"/>
        <v>215.72</v>
      </c>
      <c r="CZ9">
        <f t="shared" si="8"/>
        <v>215.72</v>
      </c>
      <c r="DA9">
        <f t="shared" si="9"/>
        <v>1</v>
      </c>
      <c r="DB9">
        <f t="shared" si="1"/>
        <v>5349.86</v>
      </c>
      <c r="DC9">
        <f t="shared" si="2"/>
        <v>0</v>
      </c>
      <c r="DD9" t="s">
        <v>3</v>
      </c>
      <c r="DE9" t="s">
        <v>3</v>
      </c>
      <c r="DF9">
        <f t="shared" si="3"/>
        <v>23967.35</v>
      </c>
      <c r="DG9">
        <f t="shared" si="4"/>
        <v>0</v>
      </c>
      <c r="DH9">
        <f t="shared" si="5"/>
        <v>0</v>
      </c>
      <c r="DI9">
        <f t="shared" si="6"/>
        <v>0</v>
      </c>
      <c r="DJ9">
        <f t="shared" si="10"/>
        <v>23967.35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ROW(Source!A30)</f>
        <v>30</v>
      </c>
      <c r="B10">
        <v>75705739</v>
      </c>
      <c r="C10">
        <v>75705428</v>
      </c>
      <c r="D10">
        <v>75389195</v>
      </c>
      <c r="E10">
        <v>1</v>
      </c>
      <c r="F10">
        <v>1</v>
      </c>
      <c r="G10">
        <v>39</v>
      </c>
      <c r="H10">
        <v>3</v>
      </c>
      <c r="I10" t="s">
        <v>198</v>
      </c>
      <c r="J10" t="s">
        <v>199</v>
      </c>
      <c r="K10" t="s">
        <v>200</v>
      </c>
      <c r="L10">
        <v>1346</v>
      </c>
      <c r="N10">
        <v>1009</v>
      </c>
      <c r="O10" t="s">
        <v>184</v>
      </c>
      <c r="P10" t="s">
        <v>184</v>
      </c>
      <c r="Q10">
        <v>1</v>
      </c>
      <c r="W10">
        <v>0</v>
      </c>
      <c r="X10">
        <v>2089374929</v>
      </c>
      <c r="Y10">
        <f t="shared" si="0"/>
        <v>14</v>
      </c>
      <c r="AA10">
        <v>80.599999999999994</v>
      </c>
      <c r="AB10">
        <v>0</v>
      </c>
      <c r="AC10">
        <v>0</v>
      </c>
      <c r="AD10">
        <v>0</v>
      </c>
      <c r="AE10">
        <v>80.599999999999994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14</v>
      </c>
      <c r="AU10" t="s">
        <v>3</v>
      </c>
      <c r="AV10">
        <v>0</v>
      </c>
      <c r="AW10">
        <v>2</v>
      </c>
      <c r="AX10">
        <v>75705690</v>
      </c>
      <c r="AY10">
        <v>1</v>
      </c>
      <c r="AZ10">
        <v>0</v>
      </c>
      <c r="BA10">
        <v>9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ROUND(Y10*Source!I30,9)</f>
        <v>62.72</v>
      </c>
      <c r="CY10">
        <f t="shared" si="7"/>
        <v>80.599999999999994</v>
      </c>
      <c r="CZ10">
        <f t="shared" si="8"/>
        <v>80.599999999999994</v>
      </c>
      <c r="DA10">
        <f t="shared" si="9"/>
        <v>1</v>
      </c>
      <c r="DB10">
        <f t="shared" si="1"/>
        <v>1128.4000000000001</v>
      </c>
      <c r="DC10">
        <f t="shared" si="2"/>
        <v>0</v>
      </c>
      <c r="DD10" t="s">
        <v>3</v>
      </c>
      <c r="DE10" t="s">
        <v>3</v>
      </c>
      <c r="DF10">
        <f t="shared" si="3"/>
        <v>5055.2299999999996</v>
      </c>
      <c r="DG10">
        <f t="shared" si="4"/>
        <v>0</v>
      </c>
      <c r="DH10">
        <f t="shared" si="5"/>
        <v>0</v>
      </c>
      <c r="DI10">
        <f t="shared" si="6"/>
        <v>0</v>
      </c>
      <c r="DJ10">
        <f t="shared" si="10"/>
        <v>5055.2299999999996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ROW(Source!A32)</f>
        <v>32</v>
      </c>
      <c r="B11">
        <v>75705739</v>
      </c>
      <c r="C11">
        <v>75705445</v>
      </c>
      <c r="D11">
        <v>75386788</v>
      </c>
      <c r="E11">
        <v>39</v>
      </c>
      <c r="F11">
        <v>1</v>
      </c>
      <c r="G11">
        <v>39</v>
      </c>
      <c r="H11">
        <v>1</v>
      </c>
      <c r="I11" t="s">
        <v>174</v>
      </c>
      <c r="J11" t="s">
        <v>3</v>
      </c>
      <c r="K11" t="s">
        <v>175</v>
      </c>
      <c r="L11">
        <v>1191</v>
      </c>
      <c r="N11">
        <v>1013</v>
      </c>
      <c r="O11" t="s">
        <v>176</v>
      </c>
      <c r="P11" t="s">
        <v>176</v>
      </c>
      <c r="Q11">
        <v>1</v>
      </c>
      <c r="W11">
        <v>0</v>
      </c>
      <c r="X11">
        <v>476480486</v>
      </c>
      <c r="Y11">
        <f t="shared" si="0"/>
        <v>3.01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3.01</v>
      </c>
      <c r="AU11" t="s">
        <v>3</v>
      </c>
      <c r="AV11">
        <v>1</v>
      </c>
      <c r="AW11">
        <v>2</v>
      </c>
      <c r="AX11">
        <v>75705691</v>
      </c>
      <c r="AY11">
        <v>1</v>
      </c>
      <c r="AZ11">
        <v>0</v>
      </c>
      <c r="BA11">
        <v>10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U11">
        <f>ROUND(AT11*Source!I32*AH11*AL11,2)</f>
        <v>0</v>
      </c>
      <c r="CV11">
        <f>ROUND(Y11*Source!I32,9)</f>
        <v>8.5183</v>
      </c>
      <c r="CW11">
        <v>0</v>
      </c>
      <c r="CX11">
        <f>ROUND(Y11*Source!I32,9)</f>
        <v>8.5183</v>
      </c>
      <c r="CY11">
        <f>AD11</f>
        <v>0</v>
      </c>
      <c r="CZ11">
        <f>AH11</f>
        <v>0</v>
      </c>
      <c r="DA11">
        <f>AL11</f>
        <v>1</v>
      </c>
      <c r="DB11">
        <f t="shared" si="1"/>
        <v>0</v>
      </c>
      <c r="DC11">
        <f t="shared" si="2"/>
        <v>0</v>
      </c>
      <c r="DD11" t="s">
        <v>3</v>
      </c>
      <c r="DE11" t="s">
        <v>3</v>
      </c>
      <c r="DF11">
        <f t="shared" si="3"/>
        <v>0</v>
      </c>
      <c r="DG11">
        <f t="shared" si="4"/>
        <v>0</v>
      </c>
      <c r="DH11">
        <f t="shared" si="5"/>
        <v>0</v>
      </c>
      <c r="DI11">
        <f t="shared" si="6"/>
        <v>0</v>
      </c>
      <c r="DJ11">
        <f>DI11</f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ROW(Source!A32)</f>
        <v>32</v>
      </c>
      <c r="B12">
        <v>75705739</v>
      </c>
      <c r="C12">
        <v>75705445</v>
      </c>
      <c r="D12">
        <v>75390706</v>
      </c>
      <c r="E12">
        <v>1</v>
      </c>
      <c r="F12">
        <v>1</v>
      </c>
      <c r="G12">
        <v>39</v>
      </c>
      <c r="H12">
        <v>3</v>
      </c>
      <c r="I12" t="s">
        <v>201</v>
      </c>
      <c r="J12" t="s">
        <v>202</v>
      </c>
      <c r="K12" t="s">
        <v>203</v>
      </c>
      <c r="L12">
        <v>1301</v>
      </c>
      <c r="N12">
        <v>1003</v>
      </c>
      <c r="O12" t="s">
        <v>204</v>
      </c>
      <c r="P12" t="s">
        <v>204</v>
      </c>
      <c r="Q12">
        <v>1</v>
      </c>
      <c r="W12">
        <v>0</v>
      </c>
      <c r="X12">
        <v>1792308677</v>
      </c>
      <c r="Y12">
        <f t="shared" si="0"/>
        <v>105</v>
      </c>
      <c r="AA12">
        <v>2.2400000000000002</v>
      </c>
      <c r="AB12">
        <v>0</v>
      </c>
      <c r="AC12">
        <v>0</v>
      </c>
      <c r="AD12">
        <v>0</v>
      </c>
      <c r="AE12">
        <v>2.2400000000000002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105</v>
      </c>
      <c r="AU12" t="s">
        <v>3</v>
      </c>
      <c r="AV12">
        <v>0</v>
      </c>
      <c r="AW12">
        <v>2</v>
      </c>
      <c r="AX12">
        <v>75705692</v>
      </c>
      <c r="AY12">
        <v>1</v>
      </c>
      <c r="AZ12">
        <v>0</v>
      </c>
      <c r="BA12">
        <v>11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ROUND(Y12*Source!I32,9)</f>
        <v>297.14999999999998</v>
      </c>
      <c r="CY12">
        <f>AA12</f>
        <v>2.2400000000000002</v>
      </c>
      <c r="CZ12">
        <f>AE12</f>
        <v>2.2400000000000002</v>
      </c>
      <c r="DA12">
        <f>AI12</f>
        <v>1</v>
      </c>
      <c r="DB12">
        <f t="shared" si="1"/>
        <v>235.2</v>
      </c>
      <c r="DC12">
        <f t="shared" si="2"/>
        <v>0</v>
      </c>
      <c r="DD12" t="s">
        <v>3</v>
      </c>
      <c r="DE12" t="s">
        <v>3</v>
      </c>
      <c r="DF12">
        <f t="shared" si="3"/>
        <v>665.62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DF12</f>
        <v>665.62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ROW(Source!A32)</f>
        <v>32</v>
      </c>
      <c r="B13">
        <v>75705739</v>
      </c>
      <c r="C13">
        <v>75705445</v>
      </c>
      <c r="D13">
        <v>75390808</v>
      </c>
      <c r="E13">
        <v>1</v>
      </c>
      <c r="F13">
        <v>1</v>
      </c>
      <c r="G13">
        <v>39</v>
      </c>
      <c r="H13">
        <v>3</v>
      </c>
      <c r="I13" t="s">
        <v>205</v>
      </c>
      <c r="J13" t="s">
        <v>206</v>
      </c>
      <c r="K13" t="s">
        <v>207</v>
      </c>
      <c r="L13">
        <v>1327</v>
      </c>
      <c r="N13">
        <v>1005</v>
      </c>
      <c r="O13" t="s">
        <v>191</v>
      </c>
      <c r="P13" t="s">
        <v>191</v>
      </c>
      <c r="Q13">
        <v>1</v>
      </c>
      <c r="W13">
        <v>0</v>
      </c>
      <c r="X13">
        <v>1627923774</v>
      </c>
      <c r="Y13">
        <f t="shared" si="0"/>
        <v>112.2</v>
      </c>
      <c r="AA13">
        <v>10.62</v>
      </c>
      <c r="AB13">
        <v>0</v>
      </c>
      <c r="AC13">
        <v>0</v>
      </c>
      <c r="AD13">
        <v>0</v>
      </c>
      <c r="AE13">
        <v>10.62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112.2</v>
      </c>
      <c r="AU13" t="s">
        <v>3</v>
      </c>
      <c r="AV13">
        <v>0</v>
      </c>
      <c r="AW13">
        <v>2</v>
      </c>
      <c r="AX13">
        <v>75705693</v>
      </c>
      <c r="AY13">
        <v>1</v>
      </c>
      <c r="AZ13">
        <v>0</v>
      </c>
      <c r="BA13">
        <v>12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ROUND(Y13*Source!I32,9)</f>
        <v>317.52600000000001</v>
      </c>
      <c r="CY13">
        <f>AA13</f>
        <v>10.62</v>
      </c>
      <c r="CZ13">
        <f>AE13</f>
        <v>10.62</v>
      </c>
      <c r="DA13">
        <f>AI13</f>
        <v>1</v>
      </c>
      <c r="DB13">
        <f t="shared" si="1"/>
        <v>1191.56</v>
      </c>
      <c r="DC13">
        <f t="shared" si="2"/>
        <v>0</v>
      </c>
      <c r="DD13" t="s">
        <v>3</v>
      </c>
      <c r="DE13" t="s">
        <v>3</v>
      </c>
      <c r="DF13">
        <f t="shared" si="3"/>
        <v>3372.13</v>
      </c>
      <c r="DG13">
        <f t="shared" si="4"/>
        <v>0</v>
      </c>
      <c r="DH13">
        <f t="shared" si="5"/>
        <v>0</v>
      </c>
      <c r="DI13">
        <f t="shared" si="6"/>
        <v>0</v>
      </c>
      <c r="DJ13">
        <f>DF13</f>
        <v>3372.13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ROW(Source!A33)</f>
        <v>33</v>
      </c>
      <c r="B14">
        <v>75705739</v>
      </c>
      <c r="C14">
        <v>75705452</v>
      </c>
      <c r="D14">
        <v>75386788</v>
      </c>
      <c r="E14">
        <v>39</v>
      </c>
      <c r="F14">
        <v>1</v>
      </c>
      <c r="G14">
        <v>39</v>
      </c>
      <c r="H14">
        <v>1</v>
      </c>
      <c r="I14" t="s">
        <v>174</v>
      </c>
      <c r="J14" t="s">
        <v>3</v>
      </c>
      <c r="K14" t="s">
        <v>175</v>
      </c>
      <c r="L14">
        <v>1191</v>
      </c>
      <c r="N14">
        <v>1013</v>
      </c>
      <c r="O14" t="s">
        <v>176</v>
      </c>
      <c r="P14" t="s">
        <v>176</v>
      </c>
      <c r="Q14">
        <v>1</v>
      </c>
      <c r="W14">
        <v>0</v>
      </c>
      <c r="X14">
        <v>476480486</v>
      </c>
      <c r="Y14">
        <f t="shared" si="0"/>
        <v>2.5299999999999998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2.5299999999999998</v>
      </c>
      <c r="AU14" t="s">
        <v>3</v>
      </c>
      <c r="AV14">
        <v>1</v>
      </c>
      <c r="AW14">
        <v>2</v>
      </c>
      <c r="AX14">
        <v>75705694</v>
      </c>
      <c r="AY14">
        <v>1</v>
      </c>
      <c r="AZ14">
        <v>0</v>
      </c>
      <c r="BA14">
        <v>13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U14">
        <f>ROUND(AT14*Source!I33*AH14*AL14,2)</f>
        <v>0</v>
      </c>
      <c r="CV14">
        <f>ROUND(Y14*Source!I33,9)</f>
        <v>7.1599000000000004</v>
      </c>
      <c r="CW14">
        <v>0</v>
      </c>
      <c r="CX14">
        <f>ROUND(Y14*Source!I33,9)</f>
        <v>7.1599000000000004</v>
      </c>
      <c r="CY14">
        <f>AD14</f>
        <v>0</v>
      </c>
      <c r="CZ14">
        <f>AH14</f>
        <v>0</v>
      </c>
      <c r="DA14">
        <f>AL14</f>
        <v>1</v>
      </c>
      <c r="DB14">
        <f t="shared" si="1"/>
        <v>0</v>
      </c>
      <c r="DC14">
        <f t="shared" si="2"/>
        <v>0</v>
      </c>
      <c r="DD14" t="s">
        <v>3</v>
      </c>
      <c r="DE14" t="s">
        <v>3</v>
      </c>
      <c r="DF14">
        <f t="shared" si="3"/>
        <v>0</v>
      </c>
      <c r="DG14">
        <f t="shared" si="4"/>
        <v>0</v>
      </c>
      <c r="DH14">
        <f t="shared" si="5"/>
        <v>0</v>
      </c>
      <c r="DI14">
        <f t="shared" si="6"/>
        <v>0</v>
      </c>
      <c r="DJ14">
        <f>DI14</f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ROW(Source!A33)</f>
        <v>33</v>
      </c>
      <c r="B15">
        <v>75705739</v>
      </c>
      <c r="C15">
        <v>75705452</v>
      </c>
      <c r="D15">
        <v>75386789</v>
      </c>
      <c r="E15">
        <v>39</v>
      </c>
      <c r="F15">
        <v>1</v>
      </c>
      <c r="G15">
        <v>39</v>
      </c>
      <c r="H15">
        <v>3</v>
      </c>
      <c r="I15" t="s">
        <v>208</v>
      </c>
      <c r="J15" t="s">
        <v>3</v>
      </c>
      <c r="K15" t="s">
        <v>209</v>
      </c>
      <c r="L15">
        <v>1348</v>
      </c>
      <c r="N15">
        <v>1009</v>
      </c>
      <c r="O15" t="s">
        <v>35</v>
      </c>
      <c r="P15" t="s">
        <v>35</v>
      </c>
      <c r="Q15">
        <v>1000</v>
      </c>
      <c r="W15">
        <v>0</v>
      </c>
      <c r="X15">
        <v>1489638031</v>
      </c>
      <c r="Y15">
        <f t="shared" si="0"/>
        <v>1.4999999999999999E-2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1.4999999999999999E-2</v>
      </c>
      <c r="AU15" t="s">
        <v>3</v>
      </c>
      <c r="AV15">
        <v>0</v>
      </c>
      <c r="AW15">
        <v>2</v>
      </c>
      <c r="AX15">
        <v>75705695</v>
      </c>
      <c r="AY15">
        <v>1</v>
      </c>
      <c r="AZ15">
        <v>0</v>
      </c>
      <c r="BA15">
        <v>14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ROUND(Y15*Source!I33,9)</f>
        <v>4.2450000000000002E-2</v>
      </c>
      <c r="CY15">
        <f>AA15</f>
        <v>0</v>
      </c>
      <c r="CZ15">
        <f>AE15</f>
        <v>0</v>
      </c>
      <c r="DA15">
        <f>AI15</f>
        <v>1</v>
      </c>
      <c r="DB15">
        <f t="shared" si="1"/>
        <v>0</v>
      </c>
      <c r="DC15">
        <f t="shared" si="2"/>
        <v>0</v>
      </c>
      <c r="DD15" t="s">
        <v>3</v>
      </c>
      <c r="DE15" t="s">
        <v>3</v>
      </c>
      <c r="DF15">
        <f t="shared" si="3"/>
        <v>0</v>
      </c>
      <c r="DG15">
        <f t="shared" si="4"/>
        <v>0</v>
      </c>
      <c r="DH15">
        <f t="shared" si="5"/>
        <v>0</v>
      </c>
      <c r="DI15">
        <f t="shared" si="6"/>
        <v>0</v>
      </c>
      <c r="DJ15">
        <f>DF15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ROW(Source!A69)</f>
        <v>69</v>
      </c>
      <c r="B16">
        <v>75705739</v>
      </c>
      <c r="C16">
        <v>75705513</v>
      </c>
      <c r="D16">
        <v>75386788</v>
      </c>
      <c r="E16">
        <v>39</v>
      </c>
      <c r="F16">
        <v>1</v>
      </c>
      <c r="G16">
        <v>39</v>
      </c>
      <c r="H16">
        <v>1</v>
      </c>
      <c r="I16" t="s">
        <v>174</v>
      </c>
      <c r="J16" t="s">
        <v>3</v>
      </c>
      <c r="K16" t="s">
        <v>175</v>
      </c>
      <c r="L16">
        <v>1191</v>
      </c>
      <c r="N16">
        <v>1013</v>
      </c>
      <c r="O16" t="s">
        <v>176</v>
      </c>
      <c r="P16" t="s">
        <v>176</v>
      </c>
      <c r="Q16">
        <v>1</v>
      </c>
      <c r="W16">
        <v>0</v>
      </c>
      <c r="X16">
        <v>476480486</v>
      </c>
      <c r="Y16">
        <f t="shared" si="0"/>
        <v>87.17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87.17</v>
      </c>
      <c r="AU16" t="s">
        <v>3</v>
      </c>
      <c r="AV16">
        <v>1</v>
      </c>
      <c r="AW16">
        <v>2</v>
      </c>
      <c r="AX16">
        <v>75705696</v>
      </c>
      <c r="AY16">
        <v>1</v>
      </c>
      <c r="AZ16">
        <v>0</v>
      </c>
      <c r="BA16">
        <v>15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U16">
        <f>ROUND(AT16*Source!I69*AH16*AL16,2)</f>
        <v>0</v>
      </c>
      <c r="CV16">
        <f>ROUND(Y16*Source!I69,9)</f>
        <v>33.996299999999998</v>
      </c>
      <c r="CW16">
        <v>0</v>
      </c>
      <c r="CX16">
        <f>ROUND(Y16*Source!I69,9)</f>
        <v>33.996299999999998</v>
      </c>
      <c r="CY16">
        <f>AD16</f>
        <v>0</v>
      </c>
      <c r="CZ16">
        <f>AH16</f>
        <v>0</v>
      </c>
      <c r="DA16">
        <f>AL16</f>
        <v>1</v>
      </c>
      <c r="DB16">
        <f t="shared" si="1"/>
        <v>0</v>
      </c>
      <c r="DC16">
        <f t="shared" si="2"/>
        <v>0</v>
      </c>
      <c r="DD16" t="s">
        <v>3</v>
      </c>
      <c r="DE16" t="s">
        <v>3</v>
      </c>
      <c r="DF16">
        <f t="shared" si="3"/>
        <v>0</v>
      </c>
      <c r="DG16">
        <f t="shared" si="4"/>
        <v>0</v>
      </c>
      <c r="DH16">
        <f t="shared" si="5"/>
        <v>0</v>
      </c>
      <c r="DI16">
        <f t="shared" si="6"/>
        <v>0</v>
      </c>
      <c r="DJ16">
        <f>DI16</f>
        <v>0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ROW(Source!A69)</f>
        <v>69</v>
      </c>
      <c r="B17">
        <v>75705739</v>
      </c>
      <c r="C17">
        <v>75705513</v>
      </c>
      <c r="D17">
        <v>75389290</v>
      </c>
      <c r="E17">
        <v>1</v>
      </c>
      <c r="F17">
        <v>1</v>
      </c>
      <c r="G17">
        <v>39</v>
      </c>
      <c r="H17">
        <v>3</v>
      </c>
      <c r="I17" t="s">
        <v>177</v>
      </c>
      <c r="J17" t="s">
        <v>178</v>
      </c>
      <c r="K17" t="s">
        <v>179</v>
      </c>
      <c r="L17">
        <v>1339</v>
      </c>
      <c r="N17">
        <v>1007</v>
      </c>
      <c r="O17" t="s">
        <v>180</v>
      </c>
      <c r="P17" t="s">
        <v>180</v>
      </c>
      <c r="Q17">
        <v>1</v>
      </c>
      <c r="W17">
        <v>0</v>
      </c>
      <c r="X17">
        <v>-1635218338</v>
      </c>
      <c r="Y17">
        <f t="shared" si="0"/>
        <v>8.0000000000000002E-3</v>
      </c>
      <c r="AA17">
        <v>11988.68</v>
      </c>
      <c r="AB17">
        <v>0</v>
      </c>
      <c r="AC17">
        <v>0</v>
      </c>
      <c r="AD17">
        <v>0</v>
      </c>
      <c r="AE17">
        <v>11988.68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8.0000000000000002E-3</v>
      </c>
      <c r="AU17" t="s">
        <v>3</v>
      </c>
      <c r="AV17">
        <v>0</v>
      </c>
      <c r="AW17">
        <v>2</v>
      </c>
      <c r="AX17">
        <v>75705697</v>
      </c>
      <c r="AY17">
        <v>1</v>
      </c>
      <c r="AZ17">
        <v>0</v>
      </c>
      <c r="BA17">
        <v>16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ROUND(Y17*Source!I69,9)</f>
        <v>3.1199999999999999E-3</v>
      </c>
      <c r="CY17">
        <f>AA17</f>
        <v>11988.68</v>
      </c>
      <c r="CZ17">
        <f>AE17</f>
        <v>11988.68</v>
      </c>
      <c r="DA17">
        <f>AI17</f>
        <v>1</v>
      </c>
      <c r="DB17">
        <f t="shared" si="1"/>
        <v>95.91</v>
      </c>
      <c r="DC17">
        <f t="shared" si="2"/>
        <v>0</v>
      </c>
      <c r="DD17" t="s">
        <v>3</v>
      </c>
      <c r="DE17" t="s">
        <v>3</v>
      </c>
      <c r="DF17">
        <f t="shared" si="3"/>
        <v>37.4</v>
      </c>
      <c r="DG17">
        <f t="shared" si="4"/>
        <v>0</v>
      </c>
      <c r="DH17">
        <f t="shared" si="5"/>
        <v>0</v>
      </c>
      <c r="DI17">
        <f t="shared" si="6"/>
        <v>0</v>
      </c>
      <c r="DJ17">
        <f>DF17</f>
        <v>37.4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ROW(Source!A71)</f>
        <v>71</v>
      </c>
      <c r="B18">
        <v>75705739</v>
      </c>
      <c r="C18">
        <v>75705519</v>
      </c>
      <c r="D18">
        <v>75386788</v>
      </c>
      <c r="E18">
        <v>39</v>
      </c>
      <c r="F18">
        <v>1</v>
      </c>
      <c r="G18">
        <v>39</v>
      </c>
      <c r="H18">
        <v>1</v>
      </c>
      <c r="I18" t="s">
        <v>174</v>
      </c>
      <c r="J18" t="s">
        <v>3</v>
      </c>
      <c r="K18" t="s">
        <v>175</v>
      </c>
      <c r="L18">
        <v>1191</v>
      </c>
      <c r="N18">
        <v>1013</v>
      </c>
      <c r="O18" t="s">
        <v>176</v>
      </c>
      <c r="P18" t="s">
        <v>176</v>
      </c>
      <c r="Q18">
        <v>1</v>
      </c>
      <c r="W18">
        <v>0</v>
      </c>
      <c r="X18">
        <v>476480486</v>
      </c>
      <c r="Y18">
        <f t="shared" si="0"/>
        <v>24.52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24.52</v>
      </c>
      <c r="AU18" t="s">
        <v>3</v>
      </c>
      <c r="AV18">
        <v>1</v>
      </c>
      <c r="AW18">
        <v>2</v>
      </c>
      <c r="AX18">
        <v>75705698</v>
      </c>
      <c r="AY18">
        <v>1</v>
      </c>
      <c r="AZ18">
        <v>0</v>
      </c>
      <c r="BA18">
        <v>17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U18">
        <f>ROUND(AT18*Source!I71*AH18*AL18,2)</f>
        <v>0</v>
      </c>
      <c r="CV18">
        <f>ROUND(Y18*Source!I71,9)</f>
        <v>71.108000000000004</v>
      </c>
      <c r="CW18">
        <v>0</v>
      </c>
      <c r="CX18">
        <f>ROUND(Y18*Source!I71,9)</f>
        <v>71.108000000000004</v>
      </c>
      <c r="CY18">
        <f>AD18</f>
        <v>0</v>
      </c>
      <c r="CZ18">
        <f>AH18</f>
        <v>0</v>
      </c>
      <c r="DA18">
        <f>AL18</f>
        <v>1</v>
      </c>
      <c r="DB18">
        <f t="shared" si="1"/>
        <v>0</v>
      </c>
      <c r="DC18">
        <f t="shared" si="2"/>
        <v>0</v>
      </c>
      <c r="DD18" t="s">
        <v>3</v>
      </c>
      <c r="DE18" t="s">
        <v>3</v>
      </c>
      <c r="DF18">
        <f t="shared" si="3"/>
        <v>0</v>
      </c>
      <c r="DG18">
        <f t="shared" si="4"/>
        <v>0</v>
      </c>
      <c r="DH18">
        <f t="shared" si="5"/>
        <v>0</v>
      </c>
      <c r="DI18">
        <f t="shared" si="6"/>
        <v>0</v>
      </c>
      <c r="DJ18">
        <f>DI18</f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ROW(Source!A71)</f>
        <v>71</v>
      </c>
      <c r="B19">
        <v>75705739</v>
      </c>
      <c r="C19">
        <v>75705519</v>
      </c>
      <c r="D19">
        <v>75390376</v>
      </c>
      <c r="E19">
        <v>1</v>
      </c>
      <c r="F19">
        <v>1</v>
      </c>
      <c r="G19">
        <v>39</v>
      </c>
      <c r="H19">
        <v>3</v>
      </c>
      <c r="I19" t="s">
        <v>181</v>
      </c>
      <c r="J19" t="s">
        <v>182</v>
      </c>
      <c r="K19" t="s">
        <v>183</v>
      </c>
      <c r="L19">
        <v>1346</v>
      </c>
      <c r="N19">
        <v>1009</v>
      </c>
      <c r="O19" t="s">
        <v>184</v>
      </c>
      <c r="P19" t="s">
        <v>184</v>
      </c>
      <c r="Q19">
        <v>1</v>
      </c>
      <c r="W19">
        <v>0</v>
      </c>
      <c r="X19">
        <v>1118017035</v>
      </c>
      <c r="Y19">
        <f t="shared" si="0"/>
        <v>0.36</v>
      </c>
      <c r="AA19">
        <v>26.09</v>
      </c>
      <c r="AB19">
        <v>0</v>
      </c>
      <c r="AC19">
        <v>0</v>
      </c>
      <c r="AD19">
        <v>0</v>
      </c>
      <c r="AE19">
        <v>26.09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0.36</v>
      </c>
      <c r="AU19" t="s">
        <v>3</v>
      </c>
      <c r="AV19">
        <v>0</v>
      </c>
      <c r="AW19">
        <v>2</v>
      </c>
      <c r="AX19">
        <v>75705699</v>
      </c>
      <c r="AY19">
        <v>1</v>
      </c>
      <c r="AZ19">
        <v>0</v>
      </c>
      <c r="BA19">
        <v>18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ROUND(Y19*Source!I71,9)</f>
        <v>1.044</v>
      </c>
      <c r="CY19">
        <f t="shared" ref="CY19:CY25" si="11">AA19</f>
        <v>26.09</v>
      </c>
      <c r="CZ19">
        <f t="shared" ref="CZ19:CZ25" si="12">AE19</f>
        <v>26.09</v>
      </c>
      <c r="DA19">
        <f t="shared" ref="DA19:DA25" si="13">AI19</f>
        <v>1</v>
      </c>
      <c r="DB19">
        <f t="shared" si="1"/>
        <v>9.39</v>
      </c>
      <c r="DC19">
        <f t="shared" si="2"/>
        <v>0</v>
      </c>
      <c r="DD19" t="s">
        <v>3</v>
      </c>
      <c r="DE19" t="s">
        <v>3</v>
      </c>
      <c r="DF19">
        <f t="shared" si="3"/>
        <v>27.24</v>
      </c>
      <c r="DG19">
        <f t="shared" si="4"/>
        <v>0</v>
      </c>
      <c r="DH19">
        <f t="shared" si="5"/>
        <v>0</v>
      </c>
      <c r="DI19">
        <f t="shared" si="6"/>
        <v>0</v>
      </c>
      <c r="DJ19">
        <f t="shared" ref="DJ19:DJ25" si="14">DF19</f>
        <v>27.24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ROW(Source!A71)</f>
        <v>71</v>
      </c>
      <c r="B20">
        <v>75705739</v>
      </c>
      <c r="C20">
        <v>75705519</v>
      </c>
      <c r="D20">
        <v>75390588</v>
      </c>
      <c r="E20">
        <v>1</v>
      </c>
      <c r="F20">
        <v>1</v>
      </c>
      <c r="G20">
        <v>39</v>
      </c>
      <c r="H20">
        <v>3</v>
      </c>
      <c r="I20" t="s">
        <v>185</v>
      </c>
      <c r="J20" t="s">
        <v>186</v>
      </c>
      <c r="K20" t="s">
        <v>187</v>
      </c>
      <c r="L20">
        <v>1339</v>
      </c>
      <c r="N20">
        <v>1007</v>
      </c>
      <c r="O20" t="s">
        <v>180</v>
      </c>
      <c r="P20" t="s">
        <v>180</v>
      </c>
      <c r="Q20">
        <v>1</v>
      </c>
      <c r="W20">
        <v>0</v>
      </c>
      <c r="X20">
        <v>973433911</v>
      </c>
      <c r="Y20">
        <f t="shared" si="0"/>
        <v>0.24</v>
      </c>
      <c r="AA20">
        <v>49.83</v>
      </c>
      <c r="AB20">
        <v>0</v>
      </c>
      <c r="AC20">
        <v>0</v>
      </c>
      <c r="AD20">
        <v>0</v>
      </c>
      <c r="AE20">
        <v>49.83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0.24</v>
      </c>
      <c r="AU20" t="s">
        <v>3</v>
      </c>
      <c r="AV20">
        <v>0</v>
      </c>
      <c r="AW20">
        <v>2</v>
      </c>
      <c r="AX20">
        <v>75705700</v>
      </c>
      <c r="AY20">
        <v>1</v>
      </c>
      <c r="AZ20">
        <v>0</v>
      </c>
      <c r="BA20">
        <v>19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ROUND(Y20*Source!I71,9)</f>
        <v>0.69599999999999995</v>
      </c>
      <c r="CY20">
        <f t="shared" si="11"/>
        <v>49.83</v>
      </c>
      <c r="CZ20">
        <f t="shared" si="12"/>
        <v>49.83</v>
      </c>
      <c r="DA20">
        <f t="shared" si="13"/>
        <v>1</v>
      </c>
      <c r="DB20">
        <f t="shared" si="1"/>
        <v>11.96</v>
      </c>
      <c r="DC20">
        <f t="shared" si="2"/>
        <v>0</v>
      </c>
      <c r="DD20" t="s">
        <v>3</v>
      </c>
      <c r="DE20" t="s">
        <v>3</v>
      </c>
      <c r="DF20">
        <f t="shared" si="3"/>
        <v>34.68</v>
      </c>
      <c r="DG20">
        <f t="shared" si="4"/>
        <v>0</v>
      </c>
      <c r="DH20">
        <f t="shared" si="5"/>
        <v>0</v>
      </c>
      <c r="DI20">
        <f t="shared" si="6"/>
        <v>0</v>
      </c>
      <c r="DJ20">
        <f t="shared" si="14"/>
        <v>34.68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ROW(Source!A71)</f>
        <v>71</v>
      </c>
      <c r="B21">
        <v>75705739</v>
      </c>
      <c r="C21">
        <v>75705519</v>
      </c>
      <c r="D21">
        <v>75390936</v>
      </c>
      <c r="E21">
        <v>1</v>
      </c>
      <c r="F21">
        <v>1</v>
      </c>
      <c r="G21">
        <v>39</v>
      </c>
      <c r="H21">
        <v>3</v>
      </c>
      <c r="I21" t="s">
        <v>188</v>
      </c>
      <c r="J21" t="s">
        <v>189</v>
      </c>
      <c r="K21" t="s">
        <v>190</v>
      </c>
      <c r="L21">
        <v>1327</v>
      </c>
      <c r="N21">
        <v>1005</v>
      </c>
      <c r="O21" t="s">
        <v>191</v>
      </c>
      <c r="P21" t="s">
        <v>191</v>
      </c>
      <c r="Q21">
        <v>1</v>
      </c>
      <c r="W21">
        <v>0</v>
      </c>
      <c r="X21">
        <v>-668698448</v>
      </c>
      <c r="Y21">
        <f t="shared" si="0"/>
        <v>0.8</v>
      </c>
      <c r="AA21">
        <v>338.51</v>
      </c>
      <c r="AB21">
        <v>0</v>
      </c>
      <c r="AC21">
        <v>0</v>
      </c>
      <c r="AD21">
        <v>0</v>
      </c>
      <c r="AE21">
        <v>338.51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0.8</v>
      </c>
      <c r="AU21" t="s">
        <v>3</v>
      </c>
      <c r="AV21">
        <v>0</v>
      </c>
      <c r="AW21">
        <v>2</v>
      </c>
      <c r="AX21">
        <v>75705701</v>
      </c>
      <c r="AY21">
        <v>1</v>
      </c>
      <c r="AZ21">
        <v>0</v>
      </c>
      <c r="BA21">
        <v>20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ROUND(Y21*Source!I71,9)</f>
        <v>2.3199999999999998</v>
      </c>
      <c r="CY21">
        <f t="shared" si="11"/>
        <v>338.51</v>
      </c>
      <c r="CZ21">
        <f t="shared" si="12"/>
        <v>338.51</v>
      </c>
      <c r="DA21">
        <f t="shared" si="13"/>
        <v>1</v>
      </c>
      <c r="DB21">
        <f t="shared" si="1"/>
        <v>270.81</v>
      </c>
      <c r="DC21">
        <f t="shared" si="2"/>
        <v>0</v>
      </c>
      <c r="DD21" t="s">
        <v>3</v>
      </c>
      <c r="DE21" t="s">
        <v>3</v>
      </c>
      <c r="DF21">
        <f t="shared" si="3"/>
        <v>785.34</v>
      </c>
      <c r="DG21">
        <f t="shared" si="4"/>
        <v>0</v>
      </c>
      <c r="DH21">
        <f t="shared" si="5"/>
        <v>0</v>
      </c>
      <c r="DI21">
        <f t="shared" si="6"/>
        <v>0</v>
      </c>
      <c r="DJ21">
        <f t="shared" si="14"/>
        <v>785.34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ROW(Source!A71)</f>
        <v>71</v>
      </c>
      <c r="B22">
        <v>75705739</v>
      </c>
      <c r="C22">
        <v>75705519</v>
      </c>
      <c r="D22">
        <v>75390952</v>
      </c>
      <c r="E22">
        <v>1</v>
      </c>
      <c r="F22">
        <v>1</v>
      </c>
      <c r="G22">
        <v>39</v>
      </c>
      <c r="H22">
        <v>3</v>
      </c>
      <c r="I22" t="s">
        <v>192</v>
      </c>
      <c r="J22" t="s">
        <v>193</v>
      </c>
      <c r="K22" t="s">
        <v>194</v>
      </c>
      <c r="L22">
        <v>1348</v>
      </c>
      <c r="N22">
        <v>1009</v>
      </c>
      <c r="O22" t="s">
        <v>35</v>
      </c>
      <c r="P22" t="s">
        <v>35</v>
      </c>
      <c r="Q22">
        <v>1000</v>
      </c>
      <c r="W22">
        <v>0</v>
      </c>
      <c r="X22">
        <v>1133369200</v>
      </c>
      <c r="Y22">
        <f t="shared" si="0"/>
        <v>6.4000000000000003E-3</v>
      </c>
      <c r="AA22">
        <v>76204.789999999994</v>
      </c>
      <c r="AB22">
        <v>0</v>
      </c>
      <c r="AC22">
        <v>0</v>
      </c>
      <c r="AD22">
        <v>0</v>
      </c>
      <c r="AE22">
        <v>76204.789999999994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6.4000000000000003E-3</v>
      </c>
      <c r="AU22" t="s">
        <v>3</v>
      </c>
      <c r="AV22">
        <v>0</v>
      </c>
      <c r="AW22">
        <v>2</v>
      </c>
      <c r="AX22">
        <v>75705702</v>
      </c>
      <c r="AY22">
        <v>1</v>
      </c>
      <c r="AZ22">
        <v>0</v>
      </c>
      <c r="BA22">
        <v>21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ROUND(Y22*Source!I71,9)</f>
        <v>1.856E-2</v>
      </c>
      <c r="CY22">
        <f t="shared" si="11"/>
        <v>76204.789999999994</v>
      </c>
      <c r="CZ22">
        <f t="shared" si="12"/>
        <v>76204.789999999994</v>
      </c>
      <c r="DA22">
        <f t="shared" si="13"/>
        <v>1</v>
      </c>
      <c r="DB22">
        <f t="shared" si="1"/>
        <v>487.71</v>
      </c>
      <c r="DC22">
        <f t="shared" si="2"/>
        <v>0</v>
      </c>
      <c r="DD22" t="s">
        <v>3</v>
      </c>
      <c r="DE22" t="s">
        <v>3</v>
      </c>
      <c r="DF22">
        <f t="shared" si="3"/>
        <v>1414.36</v>
      </c>
      <c r="DG22">
        <f t="shared" si="4"/>
        <v>0</v>
      </c>
      <c r="DH22">
        <f t="shared" si="5"/>
        <v>0</v>
      </c>
      <c r="DI22">
        <f t="shared" si="6"/>
        <v>0</v>
      </c>
      <c r="DJ22">
        <f t="shared" si="14"/>
        <v>1414.36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ROW(Source!A71)</f>
        <v>71</v>
      </c>
      <c r="B23">
        <v>75705739</v>
      </c>
      <c r="C23">
        <v>75705519</v>
      </c>
      <c r="D23">
        <v>75389081</v>
      </c>
      <c r="E23">
        <v>1</v>
      </c>
      <c r="F23">
        <v>1</v>
      </c>
      <c r="G23">
        <v>39</v>
      </c>
      <c r="H23">
        <v>3</v>
      </c>
      <c r="I23" t="s">
        <v>33</v>
      </c>
      <c r="J23" t="s">
        <v>36</v>
      </c>
      <c r="K23" t="s">
        <v>34</v>
      </c>
      <c r="L23">
        <v>1348</v>
      </c>
      <c r="N23">
        <v>1009</v>
      </c>
      <c r="O23" t="s">
        <v>35</v>
      </c>
      <c r="P23" t="s">
        <v>35</v>
      </c>
      <c r="Q23">
        <v>1000</v>
      </c>
      <c r="W23">
        <v>0</v>
      </c>
      <c r="X23">
        <v>-27926426</v>
      </c>
      <c r="Y23">
        <f t="shared" si="0"/>
        <v>1.6999999999999999E-3</v>
      </c>
      <c r="AA23">
        <v>198992.34</v>
      </c>
      <c r="AB23">
        <v>0</v>
      </c>
      <c r="AC23">
        <v>0</v>
      </c>
      <c r="AD23">
        <v>0</v>
      </c>
      <c r="AE23">
        <v>198992.34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0</v>
      </c>
      <c r="AP23">
        <v>0</v>
      </c>
      <c r="AQ23">
        <v>0</v>
      </c>
      <c r="AR23">
        <v>0</v>
      </c>
      <c r="AS23" t="s">
        <v>3</v>
      </c>
      <c r="AT23">
        <v>1.6999999999999999E-3</v>
      </c>
      <c r="AU23" t="s">
        <v>3</v>
      </c>
      <c r="AV23">
        <v>0</v>
      </c>
      <c r="AW23">
        <v>1</v>
      </c>
      <c r="AX23">
        <v>-1</v>
      </c>
      <c r="AY23">
        <v>0</v>
      </c>
      <c r="AZ23">
        <v>0</v>
      </c>
      <c r="BA23" t="s">
        <v>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ROUND(Y23*Source!I71,9)</f>
        <v>4.9300000000000004E-3</v>
      </c>
      <c r="CY23">
        <f t="shared" si="11"/>
        <v>198992.34</v>
      </c>
      <c r="CZ23">
        <f t="shared" si="12"/>
        <v>198992.34</v>
      </c>
      <c r="DA23">
        <f t="shared" si="13"/>
        <v>1</v>
      </c>
      <c r="DB23">
        <f t="shared" si="1"/>
        <v>338.29</v>
      </c>
      <c r="DC23">
        <f t="shared" si="2"/>
        <v>0</v>
      </c>
      <c r="DD23" t="s">
        <v>3</v>
      </c>
      <c r="DE23" t="s">
        <v>3</v>
      </c>
      <c r="DF23">
        <f t="shared" si="3"/>
        <v>981.03</v>
      </c>
      <c r="DG23">
        <f t="shared" si="4"/>
        <v>0</v>
      </c>
      <c r="DH23">
        <f t="shared" si="5"/>
        <v>0</v>
      </c>
      <c r="DI23">
        <f t="shared" si="6"/>
        <v>0</v>
      </c>
      <c r="DJ23">
        <f t="shared" si="14"/>
        <v>981.03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ROW(Source!A71)</f>
        <v>71</v>
      </c>
      <c r="B24">
        <v>75705739</v>
      </c>
      <c r="C24">
        <v>75705519</v>
      </c>
      <c r="D24">
        <v>75389193</v>
      </c>
      <c r="E24">
        <v>1</v>
      </c>
      <c r="F24">
        <v>1</v>
      </c>
      <c r="G24">
        <v>39</v>
      </c>
      <c r="H24">
        <v>3</v>
      </c>
      <c r="I24" t="s">
        <v>195</v>
      </c>
      <c r="J24" t="s">
        <v>196</v>
      </c>
      <c r="K24" t="s">
        <v>197</v>
      </c>
      <c r="L24">
        <v>1346</v>
      </c>
      <c r="N24">
        <v>1009</v>
      </c>
      <c r="O24" t="s">
        <v>184</v>
      </c>
      <c r="P24" t="s">
        <v>184</v>
      </c>
      <c r="Q24">
        <v>1</v>
      </c>
      <c r="W24">
        <v>0</v>
      </c>
      <c r="X24">
        <v>-1799487693</v>
      </c>
      <c r="Y24">
        <f t="shared" si="0"/>
        <v>24.8</v>
      </c>
      <c r="AA24">
        <v>215.72</v>
      </c>
      <c r="AB24">
        <v>0</v>
      </c>
      <c r="AC24">
        <v>0</v>
      </c>
      <c r="AD24">
        <v>0</v>
      </c>
      <c r="AE24">
        <v>215.72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24.8</v>
      </c>
      <c r="AU24" t="s">
        <v>3</v>
      </c>
      <c r="AV24">
        <v>0</v>
      </c>
      <c r="AW24">
        <v>2</v>
      </c>
      <c r="AX24">
        <v>75705703</v>
      </c>
      <c r="AY24">
        <v>1</v>
      </c>
      <c r="AZ24">
        <v>0</v>
      </c>
      <c r="BA24">
        <v>22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ROUND(Y24*Source!I71,9)</f>
        <v>71.92</v>
      </c>
      <c r="CY24">
        <f t="shared" si="11"/>
        <v>215.72</v>
      </c>
      <c r="CZ24">
        <f t="shared" si="12"/>
        <v>215.72</v>
      </c>
      <c r="DA24">
        <f t="shared" si="13"/>
        <v>1</v>
      </c>
      <c r="DB24">
        <f t="shared" si="1"/>
        <v>5349.86</v>
      </c>
      <c r="DC24">
        <f t="shared" si="2"/>
        <v>0</v>
      </c>
      <c r="DD24" t="s">
        <v>3</v>
      </c>
      <c r="DE24" t="s">
        <v>3</v>
      </c>
      <c r="DF24">
        <f t="shared" si="3"/>
        <v>15514.58</v>
      </c>
      <c r="DG24">
        <f t="shared" si="4"/>
        <v>0</v>
      </c>
      <c r="DH24">
        <f t="shared" si="5"/>
        <v>0</v>
      </c>
      <c r="DI24">
        <f t="shared" si="6"/>
        <v>0</v>
      </c>
      <c r="DJ24">
        <f t="shared" si="14"/>
        <v>15514.58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ROW(Source!A71)</f>
        <v>71</v>
      </c>
      <c r="B25">
        <v>75705739</v>
      </c>
      <c r="C25">
        <v>75705519</v>
      </c>
      <c r="D25">
        <v>75389195</v>
      </c>
      <c r="E25">
        <v>1</v>
      </c>
      <c r="F25">
        <v>1</v>
      </c>
      <c r="G25">
        <v>39</v>
      </c>
      <c r="H25">
        <v>3</v>
      </c>
      <c r="I25" t="s">
        <v>198</v>
      </c>
      <c r="J25" t="s">
        <v>199</v>
      </c>
      <c r="K25" t="s">
        <v>200</v>
      </c>
      <c r="L25">
        <v>1346</v>
      </c>
      <c r="N25">
        <v>1009</v>
      </c>
      <c r="O25" t="s">
        <v>184</v>
      </c>
      <c r="P25" t="s">
        <v>184</v>
      </c>
      <c r="Q25">
        <v>1</v>
      </c>
      <c r="W25">
        <v>0</v>
      </c>
      <c r="X25">
        <v>2089374929</v>
      </c>
      <c r="Y25">
        <f t="shared" si="0"/>
        <v>14</v>
      </c>
      <c r="AA25">
        <v>80.599999999999994</v>
      </c>
      <c r="AB25">
        <v>0</v>
      </c>
      <c r="AC25">
        <v>0</v>
      </c>
      <c r="AD25">
        <v>0</v>
      </c>
      <c r="AE25">
        <v>80.599999999999994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14</v>
      </c>
      <c r="AU25" t="s">
        <v>3</v>
      </c>
      <c r="AV25">
        <v>0</v>
      </c>
      <c r="AW25">
        <v>2</v>
      </c>
      <c r="AX25">
        <v>75705704</v>
      </c>
      <c r="AY25">
        <v>1</v>
      </c>
      <c r="AZ25">
        <v>0</v>
      </c>
      <c r="BA25">
        <v>23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ROUND(Y25*Source!I71,9)</f>
        <v>40.6</v>
      </c>
      <c r="CY25">
        <f t="shared" si="11"/>
        <v>80.599999999999994</v>
      </c>
      <c r="CZ25">
        <f t="shared" si="12"/>
        <v>80.599999999999994</v>
      </c>
      <c r="DA25">
        <f t="shared" si="13"/>
        <v>1</v>
      </c>
      <c r="DB25">
        <f t="shared" si="1"/>
        <v>1128.4000000000001</v>
      </c>
      <c r="DC25">
        <f t="shared" si="2"/>
        <v>0</v>
      </c>
      <c r="DD25" t="s">
        <v>3</v>
      </c>
      <c r="DE25" t="s">
        <v>3</v>
      </c>
      <c r="DF25">
        <f t="shared" si="3"/>
        <v>3272.36</v>
      </c>
      <c r="DG25">
        <f t="shared" si="4"/>
        <v>0</v>
      </c>
      <c r="DH25">
        <f t="shared" si="5"/>
        <v>0</v>
      </c>
      <c r="DI25">
        <f t="shared" si="6"/>
        <v>0</v>
      </c>
      <c r="DJ25">
        <f t="shared" si="14"/>
        <v>3272.36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ROW(Source!A73)</f>
        <v>73</v>
      </c>
      <c r="B26">
        <v>75705739</v>
      </c>
      <c r="C26">
        <v>75705536</v>
      </c>
      <c r="D26">
        <v>75386788</v>
      </c>
      <c r="E26">
        <v>39</v>
      </c>
      <c r="F26">
        <v>1</v>
      </c>
      <c r="G26">
        <v>39</v>
      </c>
      <c r="H26">
        <v>1</v>
      </c>
      <c r="I26" t="s">
        <v>174</v>
      </c>
      <c r="J26" t="s">
        <v>3</v>
      </c>
      <c r="K26" t="s">
        <v>175</v>
      </c>
      <c r="L26">
        <v>1191</v>
      </c>
      <c r="N26">
        <v>1013</v>
      </c>
      <c r="O26" t="s">
        <v>176</v>
      </c>
      <c r="P26" t="s">
        <v>176</v>
      </c>
      <c r="Q26">
        <v>1</v>
      </c>
      <c r="W26">
        <v>0</v>
      </c>
      <c r="X26">
        <v>476480486</v>
      </c>
      <c r="Y26">
        <f t="shared" si="0"/>
        <v>30.74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30.74</v>
      </c>
      <c r="AU26" t="s">
        <v>3</v>
      </c>
      <c r="AV26">
        <v>1</v>
      </c>
      <c r="AW26">
        <v>2</v>
      </c>
      <c r="AX26">
        <v>75705705</v>
      </c>
      <c r="AY26">
        <v>1</v>
      </c>
      <c r="AZ26">
        <v>0</v>
      </c>
      <c r="BA26">
        <v>24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U26">
        <f>ROUND(AT26*Source!I73*AH26*AL26,2)</f>
        <v>0</v>
      </c>
      <c r="CV26">
        <f>ROUND(Y26*Source!I73,9)</f>
        <v>50.720999999999997</v>
      </c>
      <c r="CW26">
        <v>0</v>
      </c>
      <c r="CX26">
        <f>ROUND(Y26*Source!I73,9)</f>
        <v>50.720999999999997</v>
      </c>
      <c r="CY26">
        <f>AD26</f>
        <v>0</v>
      </c>
      <c r="CZ26">
        <f>AH26</f>
        <v>0</v>
      </c>
      <c r="DA26">
        <f>AL26</f>
        <v>1</v>
      </c>
      <c r="DB26">
        <f t="shared" si="1"/>
        <v>0</v>
      </c>
      <c r="DC26">
        <f t="shared" si="2"/>
        <v>0</v>
      </c>
      <c r="DD26" t="s">
        <v>3</v>
      </c>
      <c r="DE26" t="s">
        <v>3</v>
      </c>
      <c r="DF26">
        <f t="shared" si="3"/>
        <v>0</v>
      </c>
      <c r="DG26">
        <f t="shared" si="4"/>
        <v>0</v>
      </c>
      <c r="DH26">
        <f t="shared" si="5"/>
        <v>0</v>
      </c>
      <c r="DI26">
        <f t="shared" si="6"/>
        <v>0</v>
      </c>
      <c r="DJ26">
        <f>DI26</f>
        <v>0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ROW(Source!A73)</f>
        <v>73</v>
      </c>
      <c r="B27">
        <v>75705739</v>
      </c>
      <c r="C27">
        <v>75705536</v>
      </c>
      <c r="D27">
        <v>75390376</v>
      </c>
      <c r="E27">
        <v>1</v>
      </c>
      <c r="F27">
        <v>1</v>
      </c>
      <c r="G27">
        <v>39</v>
      </c>
      <c r="H27">
        <v>3</v>
      </c>
      <c r="I27" t="s">
        <v>181</v>
      </c>
      <c r="J27" t="s">
        <v>182</v>
      </c>
      <c r="K27" t="s">
        <v>183</v>
      </c>
      <c r="L27">
        <v>1346</v>
      </c>
      <c r="N27">
        <v>1009</v>
      </c>
      <c r="O27" t="s">
        <v>184</v>
      </c>
      <c r="P27" t="s">
        <v>184</v>
      </c>
      <c r="Q27">
        <v>1</v>
      </c>
      <c r="W27">
        <v>0</v>
      </c>
      <c r="X27">
        <v>1118017035</v>
      </c>
      <c r="Y27">
        <f t="shared" si="0"/>
        <v>0.36</v>
      </c>
      <c r="AA27">
        <v>26.09</v>
      </c>
      <c r="AB27">
        <v>0</v>
      </c>
      <c r="AC27">
        <v>0</v>
      </c>
      <c r="AD27">
        <v>0</v>
      </c>
      <c r="AE27">
        <v>26.09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0.36</v>
      </c>
      <c r="AU27" t="s">
        <v>3</v>
      </c>
      <c r="AV27">
        <v>0</v>
      </c>
      <c r="AW27">
        <v>2</v>
      </c>
      <c r="AX27">
        <v>75705706</v>
      </c>
      <c r="AY27">
        <v>1</v>
      </c>
      <c r="AZ27">
        <v>0</v>
      </c>
      <c r="BA27">
        <v>25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ROUND(Y27*Source!I73,9)</f>
        <v>0.59399999999999997</v>
      </c>
      <c r="CY27">
        <f t="shared" ref="CY27:CY32" si="15">AA27</f>
        <v>26.09</v>
      </c>
      <c r="CZ27">
        <f t="shared" ref="CZ27:CZ32" si="16">AE27</f>
        <v>26.09</v>
      </c>
      <c r="DA27">
        <f t="shared" ref="DA27:DA32" si="17">AI27</f>
        <v>1</v>
      </c>
      <c r="DB27">
        <f t="shared" si="1"/>
        <v>9.39</v>
      </c>
      <c r="DC27">
        <f t="shared" si="2"/>
        <v>0</v>
      </c>
      <c r="DD27" t="s">
        <v>3</v>
      </c>
      <c r="DE27" t="s">
        <v>3</v>
      </c>
      <c r="DF27">
        <f t="shared" si="3"/>
        <v>15.5</v>
      </c>
      <c r="DG27">
        <f t="shared" si="4"/>
        <v>0</v>
      </c>
      <c r="DH27">
        <f t="shared" si="5"/>
        <v>0</v>
      </c>
      <c r="DI27">
        <f t="shared" si="6"/>
        <v>0</v>
      </c>
      <c r="DJ27">
        <f t="shared" ref="DJ27:DJ32" si="18">DF27</f>
        <v>15.5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ROW(Source!A73)</f>
        <v>73</v>
      </c>
      <c r="B28">
        <v>75705739</v>
      </c>
      <c r="C28">
        <v>75705536</v>
      </c>
      <c r="D28">
        <v>75390588</v>
      </c>
      <c r="E28">
        <v>1</v>
      </c>
      <c r="F28">
        <v>1</v>
      </c>
      <c r="G28">
        <v>39</v>
      </c>
      <c r="H28">
        <v>3</v>
      </c>
      <c r="I28" t="s">
        <v>185</v>
      </c>
      <c r="J28" t="s">
        <v>186</v>
      </c>
      <c r="K28" t="s">
        <v>187</v>
      </c>
      <c r="L28">
        <v>1339</v>
      </c>
      <c r="N28">
        <v>1007</v>
      </c>
      <c r="O28" t="s">
        <v>180</v>
      </c>
      <c r="P28" t="s">
        <v>180</v>
      </c>
      <c r="Q28">
        <v>1</v>
      </c>
      <c r="W28">
        <v>0</v>
      </c>
      <c r="X28">
        <v>973433911</v>
      </c>
      <c r="Y28">
        <f t="shared" si="0"/>
        <v>0.24</v>
      </c>
      <c r="AA28">
        <v>49.83</v>
      </c>
      <c r="AB28">
        <v>0</v>
      </c>
      <c r="AC28">
        <v>0</v>
      </c>
      <c r="AD28">
        <v>0</v>
      </c>
      <c r="AE28">
        <v>49.83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0.24</v>
      </c>
      <c r="AU28" t="s">
        <v>3</v>
      </c>
      <c r="AV28">
        <v>0</v>
      </c>
      <c r="AW28">
        <v>2</v>
      </c>
      <c r="AX28">
        <v>75705707</v>
      </c>
      <c r="AY28">
        <v>1</v>
      </c>
      <c r="AZ28">
        <v>0</v>
      </c>
      <c r="BA28">
        <v>26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ROUND(Y28*Source!I73,9)</f>
        <v>0.39600000000000002</v>
      </c>
      <c r="CY28">
        <f t="shared" si="15"/>
        <v>49.83</v>
      </c>
      <c r="CZ28">
        <f t="shared" si="16"/>
        <v>49.83</v>
      </c>
      <c r="DA28">
        <f t="shared" si="17"/>
        <v>1</v>
      </c>
      <c r="DB28">
        <f t="shared" si="1"/>
        <v>11.96</v>
      </c>
      <c r="DC28">
        <f t="shared" si="2"/>
        <v>0</v>
      </c>
      <c r="DD28" t="s">
        <v>3</v>
      </c>
      <c r="DE28" t="s">
        <v>3</v>
      </c>
      <c r="DF28">
        <f t="shared" si="3"/>
        <v>19.73</v>
      </c>
      <c r="DG28">
        <f t="shared" si="4"/>
        <v>0</v>
      </c>
      <c r="DH28">
        <f t="shared" si="5"/>
        <v>0</v>
      </c>
      <c r="DI28">
        <f t="shared" si="6"/>
        <v>0</v>
      </c>
      <c r="DJ28">
        <f t="shared" si="18"/>
        <v>19.73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ROW(Source!A73)</f>
        <v>73</v>
      </c>
      <c r="B29">
        <v>75705739</v>
      </c>
      <c r="C29">
        <v>75705536</v>
      </c>
      <c r="D29">
        <v>75390936</v>
      </c>
      <c r="E29">
        <v>1</v>
      </c>
      <c r="F29">
        <v>1</v>
      </c>
      <c r="G29">
        <v>39</v>
      </c>
      <c r="H29">
        <v>3</v>
      </c>
      <c r="I29" t="s">
        <v>188</v>
      </c>
      <c r="J29" t="s">
        <v>189</v>
      </c>
      <c r="K29" t="s">
        <v>190</v>
      </c>
      <c r="L29">
        <v>1327</v>
      </c>
      <c r="N29">
        <v>1005</v>
      </c>
      <c r="O29" t="s">
        <v>191</v>
      </c>
      <c r="P29" t="s">
        <v>191</v>
      </c>
      <c r="Q29">
        <v>1</v>
      </c>
      <c r="W29">
        <v>0</v>
      </c>
      <c r="X29">
        <v>-668698448</v>
      </c>
      <c r="Y29">
        <f t="shared" si="0"/>
        <v>1.6</v>
      </c>
      <c r="AA29">
        <v>338.51</v>
      </c>
      <c r="AB29">
        <v>0</v>
      </c>
      <c r="AC29">
        <v>0</v>
      </c>
      <c r="AD29">
        <v>0</v>
      </c>
      <c r="AE29">
        <v>338.51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1.6</v>
      </c>
      <c r="AU29" t="s">
        <v>3</v>
      </c>
      <c r="AV29">
        <v>0</v>
      </c>
      <c r="AW29">
        <v>2</v>
      </c>
      <c r="AX29">
        <v>75705708</v>
      </c>
      <c r="AY29">
        <v>1</v>
      </c>
      <c r="AZ29">
        <v>0</v>
      </c>
      <c r="BA29">
        <v>27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ROUND(Y29*Source!I73,9)</f>
        <v>2.64</v>
      </c>
      <c r="CY29">
        <f t="shared" si="15"/>
        <v>338.51</v>
      </c>
      <c r="CZ29">
        <f t="shared" si="16"/>
        <v>338.51</v>
      </c>
      <c r="DA29">
        <f t="shared" si="17"/>
        <v>1</v>
      </c>
      <c r="DB29">
        <f t="shared" si="1"/>
        <v>541.62</v>
      </c>
      <c r="DC29">
        <f t="shared" si="2"/>
        <v>0</v>
      </c>
      <c r="DD29" t="s">
        <v>3</v>
      </c>
      <c r="DE29" t="s">
        <v>3</v>
      </c>
      <c r="DF29">
        <f t="shared" si="3"/>
        <v>893.67</v>
      </c>
      <c r="DG29">
        <f t="shared" si="4"/>
        <v>0</v>
      </c>
      <c r="DH29">
        <f t="shared" si="5"/>
        <v>0</v>
      </c>
      <c r="DI29">
        <f t="shared" si="6"/>
        <v>0</v>
      </c>
      <c r="DJ29">
        <f t="shared" si="18"/>
        <v>893.67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ROW(Source!A73)</f>
        <v>73</v>
      </c>
      <c r="B30">
        <v>75705739</v>
      </c>
      <c r="C30">
        <v>75705536</v>
      </c>
      <c r="D30">
        <v>75390952</v>
      </c>
      <c r="E30">
        <v>1</v>
      </c>
      <c r="F30">
        <v>1</v>
      </c>
      <c r="G30">
        <v>39</v>
      </c>
      <c r="H30">
        <v>3</v>
      </c>
      <c r="I30" t="s">
        <v>192</v>
      </c>
      <c r="J30" t="s">
        <v>193</v>
      </c>
      <c r="K30" t="s">
        <v>194</v>
      </c>
      <c r="L30">
        <v>1348</v>
      </c>
      <c r="N30">
        <v>1009</v>
      </c>
      <c r="O30" t="s">
        <v>35</v>
      </c>
      <c r="P30" t="s">
        <v>35</v>
      </c>
      <c r="Q30">
        <v>1000</v>
      </c>
      <c r="W30">
        <v>0</v>
      </c>
      <c r="X30">
        <v>1133369200</v>
      </c>
      <c r="Y30">
        <f t="shared" si="0"/>
        <v>6.7999999999999996E-3</v>
      </c>
      <c r="AA30">
        <v>76204.789999999994</v>
      </c>
      <c r="AB30">
        <v>0</v>
      </c>
      <c r="AC30">
        <v>0</v>
      </c>
      <c r="AD30">
        <v>0</v>
      </c>
      <c r="AE30">
        <v>76204.789999999994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6.7999999999999996E-3</v>
      </c>
      <c r="AU30" t="s">
        <v>3</v>
      </c>
      <c r="AV30">
        <v>0</v>
      </c>
      <c r="AW30">
        <v>2</v>
      </c>
      <c r="AX30">
        <v>75705709</v>
      </c>
      <c r="AY30">
        <v>1</v>
      </c>
      <c r="AZ30">
        <v>0</v>
      </c>
      <c r="BA30">
        <v>28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ROUND(Y30*Source!I73,9)</f>
        <v>1.1220000000000001E-2</v>
      </c>
      <c r="CY30">
        <f t="shared" si="15"/>
        <v>76204.789999999994</v>
      </c>
      <c r="CZ30">
        <f t="shared" si="16"/>
        <v>76204.789999999994</v>
      </c>
      <c r="DA30">
        <f t="shared" si="17"/>
        <v>1</v>
      </c>
      <c r="DB30">
        <f t="shared" si="1"/>
        <v>518.19000000000005</v>
      </c>
      <c r="DC30">
        <f t="shared" si="2"/>
        <v>0</v>
      </c>
      <c r="DD30" t="s">
        <v>3</v>
      </c>
      <c r="DE30" t="s">
        <v>3</v>
      </c>
      <c r="DF30">
        <f t="shared" si="3"/>
        <v>855.02</v>
      </c>
      <c r="DG30">
        <f t="shared" si="4"/>
        <v>0</v>
      </c>
      <c r="DH30">
        <f t="shared" si="5"/>
        <v>0</v>
      </c>
      <c r="DI30">
        <f t="shared" si="6"/>
        <v>0</v>
      </c>
      <c r="DJ30">
        <f t="shared" si="18"/>
        <v>855.02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ROW(Source!A73)</f>
        <v>73</v>
      </c>
      <c r="B31">
        <v>75705739</v>
      </c>
      <c r="C31">
        <v>75705536</v>
      </c>
      <c r="D31">
        <v>75389192</v>
      </c>
      <c r="E31">
        <v>1</v>
      </c>
      <c r="F31">
        <v>1</v>
      </c>
      <c r="G31">
        <v>39</v>
      </c>
      <c r="H31">
        <v>3</v>
      </c>
      <c r="I31" t="s">
        <v>210</v>
      </c>
      <c r="J31" t="s">
        <v>211</v>
      </c>
      <c r="K31" t="s">
        <v>212</v>
      </c>
      <c r="L31">
        <v>1346</v>
      </c>
      <c r="N31">
        <v>1009</v>
      </c>
      <c r="O31" t="s">
        <v>184</v>
      </c>
      <c r="P31" t="s">
        <v>184</v>
      </c>
      <c r="Q31">
        <v>1</v>
      </c>
      <c r="W31">
        <v>0</v>
      </c>
      <c r="X31">
        <v>-959966110</v>
      </c>
      <c r="Y31">
        <f t="shared" si="0"/>
        <v>24.8</v>
      </c>
      <c r="AA31">
        <v>157.52000000000001</v>
      </c>
      <c r="AB31">
        <v>0</v>
      </c>
      <c r="AC31">
        <v>0</v>
      </c>
      <c r="AD31">
        <v>0</v>
      </c>
      <c r="AE31">
        <v>157.52000000000001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24.8</v>
      </c>
      <c r="AU31" t="s">
        <v>3</v>
      </c>
      <c r="AV31">
        <v>0</v>
      </c>
      <c r="AW31">
        <v>2</v>
      </c>
      <c r="AX31">
        <v>75705710</v>
      </c>
      <c r="AY31">
        <v>1</v>
      </c>
      <c r="AZ31">
        <v>0</v>
      </c>
      <c r="BA31">
        <v>29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ROUND(Y31*Source!I73,9)</f>
        <v>40.92</v>
      </c>
      <c r="CY31">
        <f t="shared" si="15"/>
        <v>157.52000000000001</v>
      </c>
      <c r="CZ31">
        <f t="shared" si="16"/>
        <v>157.52000000000001</v>
      </c>
      <c r="DA31">
        <f t="shared" si="17"/>
        <v>1</v>
      </c>
      <c r="DB31">
        <f t="shared" si="1"/>
        <v>3906.5</v>
      </c>
      <c r="DC31">
        <f t="shared" si="2"/>
        <v>0</v>
      </c>
      <c r="DD31" t="s">
        <v>3</v>
      </c>
      <c r="DE31" t="s">
        <v>3</v>
      </c>
      <c r="DF31">
        <f t="shared" si="3"/>
        <v>6445.72</v>
      </c>
      <c r="DG31">
        <f t="shared" si="4"/>
        <v>0</v>
      </c>
      <c r="DH31">
        <f t="shared" si="5"/>
        <v>0</v>
      </c>
      <c r="DI31">
        <f t="shared" si="6"/>
        <v>0</v>
      </c>
      <c r="DJ31">
        <f t="shared" si="18"/>
        <v>6445.72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ROW(Source!A73)</f>
        <v>73</v>
      </c>
      <c r="B32">
        <v>75705739</v>
      </c>
      <c r="C32">
        <v>75705536</v>
      </c>
      <c r="D32">
        <v>75389195</v>
      </c>
      <c r="E32">
        <v>1</v>
      </c>
      <c r="F32">
        <v>1</v>
      </c>
      <c r="G32">
        <v>39</v>
      </c>
      <c r="H32">
        <v>3</v>
      </c>
      <c r="I32" t="s">
        <v>198</v>
      </c>
      <c r="J32" t="s">
        <v>199</v>
      </c>
      <c r="K32" t="s">
        <v>200</v>
      </c>
      <c r="L32">
        <v>1346</v>
      </c>
      <c r="N32">
        <v>1009</v>
      </c>
      <c r="O32" t="s">
        <v>184</v>
      </c>
      <c r="P32" t="s">
        <v>184</v>
      </c>
      <c r="Q32">
        <v>1</v>
      </c>
      <c r="W32">
        <v>0</v>
      </c>
      <c r="X32">
        <v>2089374929</v>
      </c>
      <c r="Y32">
        <f t="shared" si="0"/>
        <v>14</v>
      </c>
      <c r="AA32">
        <v>80.599999999999994</v>
      </c>
      <c r="AB32">
        <v>0</v>
      </c>
      <c r="AC32">
        <v>0</v>
      </c>
      <c r="AD32">
        <v>0</v>
      </c>
      <c r="AE32">
        <v>80.599999999999994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14</v>
      </c>
      <c r="AU32" t="s">
        <v>3</v>
      </c>
      <c r="AV32">
        <v>0</v>
      </c>
      <c r="AW32">
        <v>2</v>
      </c>
      <c r="AX32">
        <v>75705711</v>
      </c>
      <c r="AY32">
        <v>1</v>
      </c>
      <c r="AZ32">
        <v>0</v>
      </c>
      <c r="BA32">
        <v>30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ROUND(Y32*Source!I73,9)</f>
        <v>23.1</v>
      </c>
      <c r="CY32">
        <f t="shared" si="15"/>
        <v>80.599999999999994</v>
      </c>
      <c r="CZ32">
        <f t="shared" si="16"/>
        <v>80.599999999999994</v>
      </c>
      <c r="DA32">
        <f t="shared" si="17"/>
        <v>1</v>
      </c>
      <c r="DB32">
        <f t="shared" si="1"/>
        <v>1128.4000000000001</v>
      </c>
      <c r="DC32">
        <f t="shared" si="2"/>
        <v>0</v>
      </c>
      <c r="DD32" t="s">
        <v>3</v>
      </c>
      <c r="DE32" t="s">
        <v>3</v>
      </c>
      <c r="DF32">
        <f t="shared" si="3"/>
        <v>1861.86</v>
      </c>
      <c r="DG32">
        <f t="shared" si="4"/>
        <v>0</v>
      </c>
      <c r="DH32">
        <f t="shared" si="5"/>
        <v>0</v>
      </c>
      <c r="DI32">
        <f t="shared" si="6"/>
        <v>0</v>
      </c>
      <c r="DJ32">
        <f t="shared" si="18"/>
        <v>1861.86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ROW(Source!A74)</f>
        <v>74</v>
      </c>
      <c r="B33">
        <v>75705739</v>
      </c>
      <c r="C33">
        <v>75705551</v>
      </c>
      <c r="D33">
        <v>75386788</v>
      </c>
      <c r="E33">
        <v>39</v>
      </c>
      <c r="F33">
        <v>1</v>
      </c>
      <c r="G33">
        <v>39</v>
      </c>
      <c r="H33">
        <v>1</v>
      </c>
      <c r="I33" t="s">
        <v>174</v>
      </c>
      <c r="J33" t="s">
        <v>3</v>
      </c>
      <c r="K33" t="s">
        <v>175</v>
      </c>
      <c r="L33">
        <v>1191</v>
      </c>
      <c r="N33">
        <v>1013</v>
      </c>
      <c r="O33" t="s">
        <v>176</v>
      </c>
      <c r="P33" t="s">
        <v>176</v>
      </c>
      <c r="Q33">
        <v>1</v>
      </c>
      <c r="W33">
        <v>0</v>
      </c>
      <c r="X33">
        <v>476480486</v>
      </c>
      <c r="Y33">
        <f t="shared" ref="Y33:Y60" si="19">AT33</f>
        <v>17.79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17.79</v>
      </c>
      <c r="AU33" t="s">
        <v>3</v>
      </c>
      <c r="AV33">
        <v>1</v>
      </c>
      <c r="AW33">
        <v>2</v>
      </c>
      <c r="AX33">
        <v>75705712</v>
      </c>
      <c r="AY33">
        <v>1</v>
      </c>
      <c r="AZ33">
        <v>0</v>
      </c>
      <c r="BA33">
        <v>31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U33">
        <f>ROUND(AT33*Source!I74*AH33*AL33,2)</f>
        <v>0</v>
      </c>
      <c r="CV33">
        <f>ROUND(Y33*Source!I74,9)</f>
        <v>74.718000000000004</v>
      </c>
      <c r="CW33">
        <v>0</v>
      </c>
      <c r="CX33">
        <f>ROUND(Y33*Source!I74,9)</f>
        <v>74.718000000000004</v>
      </c>
      <c r="CY33">
        <f>AD33</f>
        <v>0</v>
      </c>
      <c r="CZ33">
        <f>AH33</f>
        <v>0</v>
      </c>
      <c r="DA33">
        <f>AL33</f>
        <v>1</v>
      </c>
      <c r="DB33">
        <f t="shared" ref="DB33:DB60" si="20">ROUND(ROUND(AT33*CZ33,2),6)</f>
        <v>0</v>
      </c>
      <c r="DC33">
        <f t="shared" ref="DC33:DC60" si="21">ROUND(ROUND(AT33*AG33,2),6)</f>
        <v>0</v>
      </c>
      <c r="DD33" t="s">
        <v>3</v>
      </c>
      <c r="DE33" t="s">
        <v>3</v>
      </c>
      <c r="DF33">
        <f t="shared" ref="DF33:DF62" si="22">ROUND(ROUND(AE33,2)*CX33,2)</f>
        <v>0</v>
      </c>
      <c r="DG33">
        <f t="shared" ref="DG33:DG62" si="23">ROUND(ROUND(AF33,2)*CX33,2)</f>
        <v>0</v>
      </c>
      <c r="DH33">
        <f t="shared" ref="DH33:DH62" si="24">ROUND(ROUND(AG33,2)*CX33,2)</f>
        <v>0</v>
      </c>
      <c r="DI33">
        <f t="shared" ref="DI33:DI62" si="25">ROUND(ROUND(AH33,2)*CX33,2)</f>
        <v>0</v>
      </c>
      <c r="DJ33">
        <f>DI33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ROW(Source!A74)</f>
        <v>74</v>
      </c>
      <c r="B34">
        <v>75705739</v>
      </c>
      <c r="C34">
        <v>75705551</v>
      </c>
      <c r="D34">
        <v>75398097</v>
      </c>
      <c r="E34">
        <v>1</v>
      </c>
      <c r="F34">
        <v>1</v>
      </c>
      <c r="G34">
        <v>39</v>
      </c>
      <c r="H34">
        <v>3</v>
      </c>
      <c r="I34" t="s">
        <v>114</v>
      </c>
      <c r="J34" t="s">
        <v>117</v>
      </c>
      <c r="K34" t="s">
        <v>115</v>
      </c>
      <c r="L34">
        <v>1354</v>
      </c>
      <c r="N34">
        <v>1010</v>
      </c>
      <c r="O34" t="s">
        <v>116</v>
      </c>
      <c r="P34" t="s">
        <v>116</v>
      </c>
      <c r="Q34">
        <v>1</v>
      </c>
      <c r="W34">
        <v>0</v>
      </c>
      <c r="X34">
        <v>1349499332</v>
      </c>
      <c r="Y34">
        <f t="shared" si="19"/>
        <v>10</v>
      </c>
      <c r="AA34">
        <v>2194</v>
      </c>
      <c r="AB34">
        <v>0</v>
      </c>
      <c r="AC34">
        <v>0</v>
      </c>
      <c r="AD34">
        <v>0</v>
      </c>
      <c r="AE34">
        <v>2194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0</v>
      </c>
      <c r="AP34">
        <v>1</v>
      </c>
      <c r="AQ34">
        <v>0</v>
      </c>
      <c r="AR34">
        <v>0</v>
      </c>
      <c r="AS34" t="s">
        <v>3</v>
      </c>
      <c r="AT34">
        <v>10</v>
      </c>
      <c r="AU34" t="s">
        <v>3</v>
      </c>
      <c r="AV34">
        <v>0</v>
      </c>
      <c r="AW34">
        <v>1</v>
      </c>
      <c r="AX34">
        <v>-1</v>
      </c>
      <c r="AY34">
        <v>0</v>
      </c>
      <c r="AZ34">
        <v>0</v>
      </c>
      <c r="BA34" t="s">
        <v>3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ROUND(Y34*Source!I74,9)</f>
        <v>42</v>
      </c>
      <c r="CY34">
        <f>AA34</f>
        <v>2194</v>
      </c>
      <c r="CZ34">
        <f>AE34</f>
        <v>2194</v>
      </c>
      <c r="DA34">
        <f>AI34</f>
        <v>1</v>
      </c>
      <c r="DB34">
        <f t="shared" si="20"/>
        <v>21940</v>
      </c>
      <c r="DC34">
        <f t="shared" si="21"/>
        <v>0</v>
      </c>
      <c r="DD34" t="s">
        <v>3</v>
      </c>
      <c r="DE34" t="s">
        <v>3</v>
      </c>
      <c r="DF34">
        <f t="shared" si="22"/>
        <v>92148</v>
      </c>
      <c r="DG34">
        <f t="shared" si="23"/>
        <v>0</v>
      </c>
      <c r="DH34">
        <f t="shared" si="24"/>
        <v>0</v>
      </c>
      <c r="DI34">
        <f t="shared" si="25"/>
        <v>0</v>
      </c>
      <c r="DJ34">
        <f>DF34</f>
        <v>92148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ROW(Source!A76)</f>
        <v>76</v>
      </c>
      <c r="B35">
        <v>75705739</v>
      </c>
      <c r="C35">
        <v>75705556</v>
      </c>
      <c r="D35">
        <v>75386788</v>
      </c>
      <c r="E35">
        <v>39</v>
      </c>
      <c r="F35">
        <v>1</v>
      </c>
      <c r="G35">
        <v>39</v>
      </c>
      <c r="H35">
        <v>1</v>
      </c>
      <c r="I35" t="s">
        <v>174</v>
      </c>
      <c r="J35" t="s">
        <v>3</v>
      </c>
      <c r="K35" t="s">
        <v>175</v>
      </c>
      <c r="L35">
        <v>1191</v>
      </c>
      <c r="N35">
        <v>1013</v>
      </c>
      <c r="O35" t="s">
        <v>176</v>
      </c>
      <c r="P35" t="s">
        <v>176</v>
      </c>
      <c r="Q35">
        <v>1</v>
      </c>
      <c r="W35">
        <v>0</v>
      </c>
      <c r="X35">
        <v>476480486</v>
      </c>
      <c r="Y35">
        <f t="shared" si="19"/>
        <v>3.66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3.66</v>
      </c>
      <c r="AU35" t="s">
        <v>3</v>
      </c>
      <c r="AV35">
        <v>1</v>
      </c>
      <c r="AW35">
        <v>2</v>
      </c>
      <c r="AX35">
        <v>75705713</v>
      </c>
      <c r="AY35">
        <v>1</v>
      </c>
      <c r="AZ35">
        <v>0</v>
      </c>
      <c r="BA35">
        <v>32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U35">
        <f>ROUND(AT35*Source!I76*AH35*AL35,2)</f>
        <v>0</v>
      </c>
      <c r="CV35">
        <f>ROUND(Y35*Source!I76,9)</f>
        <v>0.54900000000000004</v>
      </c>
      <c r="CW35">
        <v>0</v>
      </c>
      <c r="CX35">
        <f>ROUND(Y35*Source!I76,9)</f>
        <v>0.54900000000000004</v>
      </c>
      <c r="CY35">
        <f>AD35</f>
        <v>0</v>
      </c>
      <c r="CZ35">
        <f>AH35</f>
        <v>0</v>
      </c>
      <c r="DA35">
        <f>AL35</f>
        <v>1</v>
      </c>
      <c r="DB35">
        <f t="shared" si="20"/>
        <v>0</v>
      </c>
      <c r="DC35">
        <f t="shared" si="21"/>
        <v>0</v>
      </c>
      <c r="DD35" t="s">
        <v>3</v>
      </c>
      <c r="DE35" t="s">
        <v>3</v>
      </c>
      <c r="DF35">
        <f t="shared" si="22"/>
        <v>0</v>
      </c>
      <c r="DG35">
        <f t="shared" si="23"/>
        <v>0</v>
      </c>
      <c r="DH35">
        <f t="shared" si="24"/>
        <v>0</v>
      </c>
      <c r="DI35">
        <f t="shared" si="25"/>
        <v>0</v>
      </c>
      <c r="DJ35">
        <f>DI35</f>
        <v>0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ROW(Source!A76)</f>
        <v>76</v>
      </c>
      <c r="B36">
        <v>75705739</v>
      </c>
      <c r="C36">
        <v>75705556</v>
      </c>
      <c r="D36">
        <v>75388550</v>
      </c>
      <c r="E36">
        <v>1</v>
      </c>
      <c r="F36">
        <v>1</v>
      </c>
      <c r="G36">
        <v>39</v>
      </c>
      <c r="H36">
        <v>2</v>
      </c>
      <c r="I36" t="s">
        <v>213</v>
      </c>
      <c r="J36" t="s">
        <v>214</v>
      </c>
      <c r="K36" t="s">
        <v>215</v>
      </c>
      <c r="L36">
        <v>1368</v>
      </c>
      <c r="N36">
        <v>1011</v>
      </c>
      <c r="O36" t="s">
        <v>26</v>
      </c>
      <c r="P36" t="s">
        <v>26</v>
      </c>
      <c r="Q36">
        <v>1</v>
      </c>
      <c r="W36">
        <v>0</v>
      </c>
      <c r="X36">
        <v>-247555338</v>
      </c>
      <c r="Y36">
        <f t="shared" si="19"/>
        <v>0.48</v>
      </c>
      <c r="AA36">
        <v>0</v>
      </c>
      <c r="AB36">
        <v>7.44</v>
      </c>
      <c r="AC36">
        <v>0.01</v>
      </c>
      <c r="AD36">
        <v>0</v>
      </c>
      <c r="AE36">
        <v>0</v>
      </c>
      <c r="AF36">
        <v>7.44</v>
      </c>
      <c r="AG36">
        <v>0.01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0.48</v>
      </c>
      <c r="AU36" t="s">
        <v>3</v>
      </c>
      <c r="AV36">
        <v>0</v>
      </c>
      <c r="AW36">
        <v>2</v>
      </c>
      <c r="AX36">
        <v>75705714</v>
      </c>
      <c r="AY36">
        <v>1</v>
      </c>
      <c r="AZ36">
        <v>0</v>
      </c>
      <c r="BA36">
        <v>33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f>ROUND(Y36*Source!I76*DO36,9)</f>
        <v>0</v>
      </c>
      <c r="CX36">
        <f>ROUND(Y36*Source!I76,9)</f>
        <v>7.1999999999999995E-2</v>
      </c>
      <c r="CY36">
        <f>AB36</f>
        <v>7.44</v>
      </c>
      <c r="CZ36">
        <f>AF36</f>
        <v>7.44</v>
      </c>
      <c r="DA36">
        <f>AJ36</f>
        <v>1</v>
      </c>
      <c r="DB36">
        <f t="shared" si="20"/>
        <v>3.57</v>
      </c>
      <c r="DC36">
        <f t="shared" si="21"/>
        <v>0</v>
      </c>
      <c r="DD36" t="s">
        <v>3</v>
      </c>
      <c r="DE36" t="s">
        <v>3</v>
      </c>
      <c r="DF36">
        <f t="shared" si="22"/>
        <v>0</v>
      </c>
      <c r="DG36">
        <f t="shared" si="23"/>
        <v>0.54</v>
      </c>
      <c r="DH36">
        <f t="shared" si="24"/>
        <v>0</v>
      </c>
      <c r="DI36">
        <f t="shared" si="25"/>
        <v>0</v>
      </c>
      <c r="DJ36">
        <f>DG36</f>
        <v>0.54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ROW(Source!A77)</f>
        <v>77</v>
      </c>
      <c r="B37">
        <v>75705739</v>
      </c>
      <c r="C37">
        <v>75705561</v>
      </c>
      <c r="D37">
        <v>75386788</v>
      </c>
      <c r="E37">
        <v>39</v>
      </c>
      <c r="F37">
        <v>1</v>
      </c>
      <c r="G37">
        <v>39</v>
      </c>
      <c r="H37">
        <v>1</v>
      </c>
      <c r="I37" t="s">
        <v>174</v>
      </c>
      <c r="J37" t="s">
        <v>3</v>
      </c>
      <c r="K37" t="s">
        <v>175</v>
      </c>
      <c r="L37">
        <v>1191</v>
      </c>
      <c r="N37">
        <v>1013</v>
      </c>
      <c r="O37" t="s">
        <v>176</v>
      </c>
      <c r="P37" t="s">
        <v>176</v>
      </c>
      <c r="Q37">
        <v>1</v>
      </c>
      <c r="W37">
        <v>0</v>
      </c>
      <c r="X37">
        <v>476480486</v>
      </c>
      <c r="Y37">
        <f t="shared" si="19"/>
        <v>2.25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2.25</v>
      </c>
      <c r="AU37" t="s">
        <v>3</v>
      </c>
      <c r="AV37">
        <v>1</v>
      </c>
      <c r="AW37">
        <v>2</v>
      </c>
      <c r="AX37">
        <v>75705715</v>
      </c>
      <c r="AY37">
        <v>1</v>
      </c>
      <c r="AZ37">
        <v>0</v>
      </c>
      <c r="BA37">
        <v>34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U37">
        <f>ROUND(AT37*Source!I77*AH37*AL37,2)</f>
        <v>0</v>
      </c>
      <c r="CV37">
        <f>ROUND(Y37*Source!I77,9)</f>
        <v>0.65249999999999997</v>
      </c>
      <c r="CW37">
        <v>0</v>
      </c>
      <c r="CX37">
        <f>ROUND(Y37*Source!I77,9)</f>
        <v>0.65249999999999997</v>
      </c>
      <c r="CY37">
        <f>AD37</f>
        <v>0</v>
      </c>
      <c r="CZ37">
        <f>AH37</f>
        <v>0</v>
      </c>
      <c r="DA37">
        <f>AL37</f>
        <v>1</v>
      </c>
      <c r="DB37">
        <f t="shared" si="20"/>
        <v>0</v>
      </c>
      <c r="DC37">
        <f t="shared" si="21"/>
        <v>0</v>
      </c>
      <c r="DD37" t="s">
        <v>3</v>
      </c>
      <c r="DE37" t="s">
        <v>3</v>
      </c>
      <c r="DF37">
        <f t="shared" si="22"/>
        <v>0</v>
      </c>
      <c r="DG37">
        <f t="shared" si="23"/>
        <v>0</v>
      </c>
      <c r="DH37">
        <f t="shared" si="24"/>
        <v>0</v>
      </c>
      <c r="DI37">
        <f t="shared" si="25"/>
        <v>0</v>
      </c>
      <c r="DJ37">
        <f>DI37</f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ROW(Source!A77)</f>
        <v>77</v>
      </c>
      <c r="B38">
        <v>75705739</v>
      </c>
      <c r="C38">
        <v>75705561</v>
      </c>
      <c r="D38">
        <v>75386789</v>
      </c>
      <c r="E38">
        <v>39</v>
      </c>
      <c r="F38">
        <v>1</v>
      </c>
      <c r="G38">
        <v>39</v>
      </c>
      <c r="H38">
        <v>3</v>
      </c>
      <c r="I38" t="s">
        <v>208</v>
      </c>
      <c r="J38" t="s">
        <v>3</v>
      </c>
      <c r="K38" t="s">
        <v>209</v>
      </c>
      <c r="L38">
        <v>1348</v>
      </c>
      <c r="N38">
        <v>1009</v>
      </c>
      <c r="O38" t="s">
        <v>35</v>
      </c>
      <c r="P38" t="s">
        <v>35</v>
      </c>
      <c r="Q38">
        <v>1000</v>
      </c>
      <c r="W38">
        <v>0</v>
      </c>
      <c r="X38">
        <v>1489638031</v>
      </c>
      <c r="Y38">
        <f t="shared" si="19"/>
        <v>7.0000000000000001E-3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7.0000000000000001E-3</v>
      </c>
      <c r="AU38" t="s">
        <v>3</v>
      </c>
      <c r="AV38">
        <v>0</v>
      </c>
      <c r="AW38">
        <v>2</v>
      </c>
      <c r="AX38">
        <v>75705716</v>
      </c>
      <c r="AY38">
        <v>1</v>
      </c>
      <c r="AZ38">
        <v>0</v>
      </c>
      <c r="BA38">
        <v>35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ROUND(Y38*Source!I77,9)</f>
        <v>2.0300000000000001E-3</v>
      </c>
      <c r="CY38">
        <f>AA38</f>
        <v>0</v>
      </c>
      <c r="CZ38">
        <f>AE38</f>
        <v>0</v>
      </c>
      <c r="DA38">
        <f>AI38</f>
        <v>1</v>
      </c>
      <c r="DB38">
        <f t="shared" si="20"/>
        <v>0</v>
      </c>
      <c r="DC38">
        <f t="shared" si="21"/>
        <v>0</v>
      </c>
      <c r="DD38" t="s">
        <v>3</v>
      </c>
      <c r="DE38" t="s">
        <v>3</v>
      </c>
      <c r="DF38">
        <f t="shared" si="22"/>
        <v>0</v>
      </c>
      <c r="DG38">
        <f t="shared" si="23"/>
        <v>0</v>
      </c>
      <c r="DH38">
        <f t="shared" si="24"/>
        <v>0</v>
      </c>
      <c r="DI38">
        <f t="shared" si="25"/>
        <v>0</v>
      </c>
      <c r="DJ38">
        <f>DF38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ROW(Source!A78)</f>
        <v>78</v>
      </c>
      <c r="B39">
        <v>75705739</v>
      </c>
      <c r="C39">
        <v>75705566</v>
      </c>
      <c r="D39">
        <v>75386788</v>
      </c>
      <c r="E39">
        <v>39</v>
      </c>
      <c r="F39">
        <v>1</v>
      </c>
      <c r="G39">
        <v>39</v>
      </c>
      <c r="H39">
        <v>1</v>
      </c>
      <c r="I39" t="s">
        <v>174</v>
      </c>
      <c r="J39" t="s">
        <v>3</v>
      </c>
      <c r="K39" t="s">
        <v>175</v>
      </c>
      <c r="L39">
        <v>1191</v>
      </c>
      <c r="N39">
        <v>1013</v>
      </c>
      <c r="O39" t="s">
        <v>176</v>
      </c>
      <c r="P39" t="s">
        <v>176</v>
      </c>
      <c r="Q39">
        <v>1</v>
      </c>
      <c r="W39">
        <v>0</v>
      </c>
      <c r="X39">
        <v>476480486</v>
      </c>
      <c r="Y39">
        <f t="shared" si="19"/>
        <v>17.260000000000002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17.260000000000002</v>
      </c>
      <c r="AU39" t="s">
        <v>3</v>
      </c>
      <c r="AV39">
        <v>1</v>
      </c>
      <c r="AW39">
        <v>2</v>
      </c>
      <c r="AX39">
        <v>75705717</v>
      </c>
      <c r="AY39">
        <v>1</v>
      </c>
      <c r="AZ39">
        <v>0</v>
      </c>
      <c r="BA39">
        <v>36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U39">
        <f>ROUND(AT39*Source!I78*AH39*AL39,2)</f>
        <v>0</v>
      </c>
      <c r="CV39">
        <f>ROUND(Y39*Source!I78,9)</f>
        <v>2.589</v>
      </c>
      <c r="CW39">
        <v>0</v>
      </c>
      <c r="CX39">
        <f>ROUND(Y39*Source!I78,9)</f>
        <v>2.589</v>
      </c>
      <c r="CY39">
        <f>AD39</f>
        <v>0</v>
      </c>
      <c r="CZ39">
        <f>AH39</f>
        <v>0</v>
      </c>
      <c r="DA39">
        <f>AL39</f>
        <v>1</v>
      </c>
      <c r="DB39">
        <f t="shared" si="20"/>
        <v>0</v>
      </c>
      <c r="DC39">
        <f t="shared" si="21"/>
        <v>0</v>
      </c>
      <c r="DD39" t="s">
        <v>3</v>
      </c>
      <c r="DE39" t="s">
        <v>3</v>
      </c>
      <c r="DF39">
        <f t="shared" si="22"/>
        <v>0</v>
      </c>
      <c r="DG39">
        <f t="shared" si="23"/>
        <v>0</v>
      </c>
      <c r="DH39">
        <f t="shared" si="24"/>
        <v>0</v>
      </c>
      <c r="DI39">
        <f t="shared" si="25"/>
        <v>0</v>
      </c>
      <c r="DJ39">
        <f>DI39</f>
        <v>0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ROW(Source!A78)</f>
        <v>78</v>
      </c>
      <c r="B40">
        <v>75705739</v>
      </c>
      <c r="C40">
        <v>75705566</v>
      </c>
      <c r="D40">
        <v>75388586</v>
      </c>
      <c r="E40">
        <v>1</v>
      </c>
      <c r="F40">
        <v>1</v>
      </c>
      <c r="G40">
        <v>39</v>
      </c>
      <c r="H40">
        <v>2</v>
      </c>
      <c r="I40" t="s">
        <v>216</v>
      </c>
      <c r="J40" t="s">
        <v>217</v>
      </c>
      <c r="K40" t="s">
        <v>218</v>
      </c>
      <c r="L40">
        <v>1368</v>
      </c>
      <c r="N40">
        <v>1011</v>
      </c>
      <c r="O40" t="s">
        <v>26</v>
      </c>
      <c r="P40" t="s">
        <v>26</v>
      </c>
      <c r="Q40">
        <v>1</v>
      </c>
      <c r="W40">
        <v>0</v>
      </c>
      <c r="X40">
        <v>-684189830</v>
      </c>
      <c r="Y40">
        <f t="shared" si="19"/>
        <v>4.8499999999999996</v>
      </c>
      <c r="AA40">
        <v>0</v>
      </c>
      <c r="AB40">
        <v>10.7</v>
      </c>
      <c r="AC40">
        <v>1.91</v>
      </c>
      <c r="AD40">
        <v>0</v>
      </c>
      <c r="AE40">
        <v>0</v>
      </c>
      <c r="AF40">
        <v>10.7</v>
      </c>
      <c r="AG40">
        <v>1.91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</v>
      </c>
      <c r="AT40">
        <v>4.8499999999999996</v>
      </c>
      <c r="AU40" t="s">
        <v>3</v>
      </c>
      <c r="AV40">
        <v>0</v>
      </c>
      <c r="AW40">
        <v>2</v>
      </c>
      <c r="AX40">
        <v>75705718</v>
      </c>
      <c r="AY40">
        <v>1</v>
      </c>
      <c r="AZ40">
        <v>0</v>
      </c>
      <c r="BA40">
        <v>37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f>ROUND(Y40*Source!I78*DO40,9)</f>
        <v>0</v>
      </c>
      <c r="CX40">
        <f>ROUND(Y40*Source!I78,9)</f>
        <v>0.72750000000000004</v>
      </c>
      <c r="CY40">
        <f>AB40</f>
        <v>10.7</v>
      </c>
      <c r="CZ40">
        <f>AF40</f>
        <v>10.7</v>
      </c>
      <c r="DA40">
        <f>AJ40</f>
        <v>1</v>
      </c>
      <c r="DB40">
        <f t="shared" si="20"/>
        <v>51.9</v>
      </c>
      <c r="DC40">
        <f t="shared" si="21"/>
        <v>9.26</v>
      </c>
      <c r="DD40" t="s">
        <v>3</v>
      </c>
      <c r="DE40" t="s">
        <v>3</v>
      </c>
      <c r="DF40">
        <f t="shared" si="22"/>
        <v>0</v>
      </c>
      <c r="DG40">
        <f t="shared" si="23"/>
        <v>7.78</v>
      </c>
      <c r="DH40">
        <f t="shared" si="24"/>
        <v>1.39</v>
      </c>
      <c r="DI40">
        <f t="shared" si="25"/>
        <v>0</v>
      </c>
      <c r="DJ40">
        <f>DG40</f>
        <v>7.78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ROW(Source!A78)</f>
        <v>78</v>
      </c>
      <c r="B41">
        <v>75705739</v>
      </c>
      <c r="C41">
        <v>75705566</v>
      </c>
      <c r="D41">
        <v>75388550</v>
      </c>
      <c r="E41">
        <v>1</v>
      </c>
      <c r="F41">
        <v>1</v>
      </c>
      <c r="G41">
        <v>39</v>
      </c>
      <c r="H41">
        <v>2</v>
      </c>
      <c r="I41" t="s">
        <v>213</v>
      </c>
      <c r="J41" t="s">
        <v>214</v>
      </c>
      <c r="K41" t="s">
        <v>215</v>
      </c>
      <c r="L41">
        <v>1368</v>
      </c>
      <c r="N41">
        <v>1011</v>
      </c>
      <c r="O41" t="s">
        <v>26</v>
      </c>
      <c r="P41" t="s">
        <v>26</v>
      </c>
      <c r="Q41">
        <v>1</v>
      </c>
      <c r="W41">
        <v>0</v>
      </c>
      <c r="X41">
        <v>-247555338</v>
      </c>
      <c r="Y41">
        <f t="shared" si="19"/>
        <v>0.48</v>
      </c>
      <c r="AA41">
        <v>0</v>
      </c>
      <c r="AB41">
        <v>7.44</v>
      </c>
      <c r="AC41">
        <v>0.01</v>
      </c>
      <c r="AD41">
        <v>0</v>
      </c>
      <c r="AE41">
        <v>0</v>
      </c>
      <c r="AF41">
        <v>7.44</v>
      </c>
      <c r="AG41">
        <v>0.01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0.48</v>
      </c>
      <c r="AU41" t="s">
        <v>3</v>
      </c>
      <c r="AV41">
        <v>0</v>
      </c>
      <c r="AW41">
        <v>2</v>
      </c>
      <c r="AX41">
        <v>75705719</v>
      </c>
      <c r="AY41">
        <v>1</v>
      </c>
      <c r="AZ41">
        <v>0</v>
      </c>
      <c r="BA41">
        <v>38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f>ROUND(Y41*Source!I78*DO41,9)</f>
        <v>0</v>
      </c>
      <c r="CX41">
        <f>ROUND(Y41*Source!I78,9)</f>
        <v>7.1999999999999995E-2</v>
      </c>
      <c r="CY41">
        <f>AB41</f>
        <v>7.44</v>
      </c>
      <c r="CZ41">
        <f>AF41</f>
        <v>7.44</v>
      </c>
      <c r="DA41">
        <f>AJ41</f>
        <v>1</v>
      </c>
      <c r="DB41">
        <f t="shared" si="20"/>
        <v>3.57</v>
      </c>
      <c r="DC41">
        <f t="shared" si="21"/>
        <v>0</v>
      </c>
      <c r="DD41" t="s">
        <v>3</v>
      </c>
      <c r="DE41" t="s">
        <v>3</v>
      </c>
      <c r="DF41">
        <f t="shared" si="22"/>
        <v>0</v>
      </c>
      <c r="DG41">
        <f t="shared" si="23"/>
        <v>0.54</v>
      </c>
      <c r="DH41">
        <f t="shared" si="24"/>
        <v>0</v>
      </c>
      <c r="DI41">
        <f t="shared" si="25"/>
        <v>0</v>
      </c>
      <c r="DJ41">
        <f>DG41</f>
        <v>0.54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ROW(Source!A78)</f>
        <v>78</v>
      </c>
      <c r="B42">
        <v>75705739</v>
      </c>
      <c r="C42">
        <v>75705566</v>
      </c>
      <c r="D42">
        <v>75389734</v>
      </c>
      <c r="E42">
        <v>1</v>
      </c>
      <c r="F42">
        <v>1</v>
      </c>
      <c r="G42">
        <v>39</v>
      </c>
      <c r="H42">
        <v>3</v>
      </c>
      <c r="I42" t="s">
        <v>219</v>
      </c>
      <c r="J42" t="s">
        <v>220</v>
      </c>
      <c r="K42" t="s">
        <v>221</v>
      </c>
      <c r="L42">
        <v>1348</v>
      </c>
      <c r="N42">
        <v>1009</v>
      </c>
      <c r="O42" t="s">
        <v>35</v>
      </c>
      <c r="P42" t="s">
        <v>35</v>
      </c>
      <c r="Q42">
        <v>1000</v>
      </c>
      <c r="W42">
        <v>0</v>
      </c>
      <c r="X42">
        <v>1667586132</v>
      </c>
      <c r="Y42">
        <f t="shared" si="19"/>
        <v>2.2200000000000002E-3</v>
      </c>
      <c r="AA42">
        <v>199923.02</v>
      </c>
      <c r="AB42">
        <v>0</v>
      </c>
      <c r="AC42">
        <v>0</v>
      </c>
      <c r="AD42">
        <v>0</v>
      </c>
      <c r="AE42">
        <v>199923.02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2.2200000000000002E-3</v>
      </c>
      <c r="AU42" t="s">
        <v>3</v>
      </c>
      <c r="AV42">
        <v>0</v>
      </c>
      <c r="AW42">
        <v>2</v>
      </c>
      <c r="AX42">
        <v>75705720</v>
      </c>
      <c r="AY42">
        <v>1</v>
      </c>
      <c r="AZ42">
        <v>0</v>
      </c>
      <c r="BA42">
        <v>39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ROUND(Y42*Source!I78,9)</f>
        <v>3.3300000000000002E-4</v>
      </c>
      <c r="CY42">
        <f t="shared" ref="CY42:CY48" si="26">AA42</f>
        <v>199923.02</v>
      </c>
      <c r="CZ42">
        <f t="shared" ref="CZ42:CZ48" si="27">AE42</f>
        <v>199923.02</v>
      </c>
      <c r="DA42">
        <f t="shared" ref="DA42:DA48" si="28">AI42</f>
        <v>1</v>
      </c>
      <c r="DB42">
        <f t="shared" si="20"/>
        <v>443.83</v>
      </c>
      <c r="DC42">
        <f t="shared" si="21"/>
        <v>0</v>
      </c>
      <c r="DD42" t="s">
        <v>3</v>
      </c>
      <c r="DE42" t="s">
        <v>3</v>
      </c>
      <c r="DF42">
        <f t="shared" si="22"/>
        <v>66.569999999999993</v>
      </c>
      <c r="DG42">
        <f t="shared" si="23"/>
        <v>0</v>
      </c>
      <c r="DH42">
        <f t="shared" si="24"/>
        <v>0</v>
      </c>
      <c r="DI42">
        <f t="shared" si="25"/>
        <v>0</v>
      </c>
      <c r="DJ42">
        <f t="shared" ref="DJ42:DJ48" si="29">DF42</f>
        <v>66.569999999999993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ROW(Source!A78)</f>
        <v>78</v>
      </c>
      <c r="B43">
        <v>75705739</v>
      </c>
      <c r="C43">
        <v>75705566</v>
      </c>
      <c r="D43">
        <v>75389824</v>
      </c>
      <c r="E43">
        <v>1</v>
      </c>
      <c r="F43">
        <v>1</v>
      </c>
      <c r="G43">
        <v>39</v>
      </c>
      <c r="H43">
        <v>3</v>
      </c>
      <c r="I43" t="s">
        <v>222</v>
      </c>
      <c r="J43" t="s">
        <v>223</v>
      </c>
      <c r="K43" t="s">
        <v>224</v>
      </c>
      <c r="L43">
        <v>1354</v>
      </c>
      <c r="N43">
        <v>1010</v>
      </c>
      <c r="O43" t="s">
        <v>116</v>
      </c>
      <c r="P43" t="s">
        <v>116</v>
      </c>
      <c r="Q43">
        <v>1</v>
      </c>
      <c r="W43">
        <v>0</v>
      </c>
      <c r="X43">
        <v>1799219779</v>
      </c>
      <c r="Y43">
        <f t="shared" si="19"/>
        <v>120</v>
      </c>
      <c r="AA43">
        <v>2.31</v>
      </c>
      <c r="AB43">
        <v>0</v>
      </c>
      <c r="AC43">
        <v>0</v>
      </c>
      <c r="AD43">
        <v>0</v>
      </c>
      <c r="AE43">
        <v>2.31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120</v>
      </c>
      <c r="AU43" t="s">
        <v>3</v>
      </c>
      <c r="AV43">
        <v>0</v>
      </c>
      <c r="AW43">
        <v>2</v>
      </c>
      <c r="AX43">
        <v>75705721</v>
      </c>
      <c r="AY43">
        <v>1</v>
      </c>
      <c r="AZ43">
        <v>0</v>
      </c>
      <c r="BA43">
        <v>40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ROUND(Y43*Source!I78,9)</f>
        <v>18</v>
      </c>
      <c r="CY43">
        <f t="shared" si="26"/>
        <v>2.31</v>
      </c>
      <c r="CZ43">
        <f t="shared" si="27"/>
        <v>2.31</v>
      </c>
      <c r="DA43">
        <f t="shared" si="28"/>
        <v>1</v>
      </c>
      <c r="DB43">
        <f t="shared" si="20"/>
        <v>277.2</v>
      </c>
      <c r="DC43">
        <f t="shared" si="21"/>
        <v>0</v>
      </c>
      <c r="DD43" t="s">
        <v>3</v>
      </c>
      <c r="DE43" t="s">
        <v>3</v>
      </c>
      <c r="DF43">
        <f t="shared" si="22"/>
        <v>41.58</v>
      </c>
      <c r="DG43">
        <f t="shared" si="23"/>
        <v>0</v>
      </c>
      <c r="DH43">
        <f t="shared" si="24"/>
        <v>0</v>
      </c>
      <c r="DI43">
        <f t="shared" si="25"/>
        <v>0</v>
      </c>
      <c r="DJ43">
        <f t="shared" si="29"/>
        <v>41.58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ROW(Source!A78)</f>
        <v>78</v>
      </c>
      <c r="B44">
        <v>75705739</v>
      </c>
      <c r="C44">
        <v>75705566</v>
      </c>
      <c r="D44">
        <v>75394651</v>
      </c>
      <c r="E44">
        <v>1</v>
      </c>
      <c r="F44">
        <v>1</v>
      </c>
      <c r="G44">
        <v>39</v>
      </c>
      <c r="H44">
        <v>3</v>
      </c>
      <c r="I44" t="s">
        <v>225</v>
      </c>
      <c r="J44" t="s">
        <v>226</v>
      </c>
      <c r="K44" t="s">
        <v>227</v>
      </c>
      <c r="L44">
        <v>1301</v>
      </c>
      <c r="N44">
        <v>1003</v>
      </c>
      <c r="O44" t="s">
        <v>204</v>
      </c>
      <c r="P44" t="s">
        <v>204</v>
      </c>
      <c r="Q44">
        <v>1</v>
      </c>
      <c r="W44">
        <v>0</v>
      </c>
      <c r="X44">
        <v>959910289</v>
      </c>
      <c r="Y44">
        <f t="shared" si="19"/>
        <v>102</v>
      </c>
      <c r="AA44">
        <v>26.18</v>
      </c>
      <c r="AB44">
        <v>0</v>
      </c>
      <c r="AC44">
        <v>0</v>
      </c>
      <c r="AD44">
        <v>0</v>
      </c>
      <c r="AE44">
        <v>26.18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102</v>
      </c>
      <c r="AU44" t="s">
        <v>3</v>
      </c>
      <c r="AV44">
        <v>0</v>
      </c>
      <c r="AW44">
        <v>2</v>
      </c>
      <c r="AX44">
        <v>75705722</v>
      </c>
      <c r="AY44">
        <v>1</v>
      </c>
      <c r="AZ44">
        <v>0</v>
      </c>
      <c r="BA44">
        <v>41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ROUND(Y44*Source!I78,9)</f>
        <v>15.3</v>
      </c>
      <c r="CY44">
        <f t="shared" si="26"/>
        <v>26.18</v>
      </c>
      <c r="CZ44">
        <f t="shared" si="27"/>
        <v>26.18</v>
      </c>
      <c r="DA44">
        <f t="shared" si="28"/>
        <v>1</v>
      </c>
      <c r="DB44">
        <f t="shared" si="20"/>
        <v>2670.36</v>
      </c>
      <c r="DC44">
        <f t="shared" si="21"/>
        <v>0</v>
      </c>
      <c r="DD44" t="s">
        <v>3</v>
      </c>
      <c r="DE44" t="s">
        <v>3</v>
      </c>
      <c r="DF44">
        <f t="shared" si="22"/>
        <v>400.55</v>
      </c>
      <c r="DG44">
        <f t="shared" si="23"/>
        <v>0</v>
      </c>
      <c r="DH44">
        <f t="shared" si="24"/>
        <v>0</v>
      </c>
      <c r="DI44">
        <f t="shared" si="25"/>
        <v>0</v>
      </c>
      <c r="DJ44">
        <f t="shared" si="29"/>
        <v>400.55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ROW(Source!A78)</f>
        <v>78</v>
      </c>
      <c r="B45">
        <v>75705739</v>
      </c>
      <c r="C45">
        <v>75705566</v>
      </c>
      <c r="D45">
        <v>75397884</v>
      </c>
      <c r="E45">
        <v>1</v>
      </c>
      <c r="F45">
        <v>1</v>
      </c>
      <c r="G45">
        <v>39</v>
      </c>
      <c r="H45">
        <v>3</v>
      </c>
      <c r="I45" t="s">
        <v>228</v>
      </c>
      <c r="J45" t="s">
        <v>229</v>
      </c>
      <c r="K45" t="s">
        <v>230</v>
      </c>
      <c r="L45">
        <v>1355</v>
      </c>
      <c r="N45">
        <v>1010</v>
      </c>
      <c r="O45" t="s">
        <v>231</v>
      </c>
      <c r="P45" t="s">
        <v>231</v>
      </c>
      <c r="Q45">
        <v>100</v>
      </c>
      <c r="W45">
        <v>0</v>
      </c>
      <c r="X45">
        <v>-1743513445</v>
      </c>
      <c r="Y45">
        <f t="shared" si="19"/>
        <v>1</v>
      </c>
      <c r="AA45">
        <v>403.69</v>
      </c>
      <c r="AB45">
        <v>0</v>
      </c>
      <c r="AC45">
        <v>0</v>
      </c>
      <c r="AD45">
        <v>0</v>
      </c>
      <c r="AE45">
        <v>403.69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1</v>
      </c>
      <c r="AU45" t="s">
        <v>3</v>
      </c>
      <c r="AV45">
        <v>0</v>
      </c>
      <c r="AW45">
        <v>2</v>
      </c>
      <c r="AX45">
        <v>75705723</v>
      </c>
      <c r="AY45">
        <v>1</v>
      </c>
      <c r="AZ45">
        <v>0</v>
      </c>
      <c r="BA45">
        <v>42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ROUND(Y45*Source!I78,9)</f>
        <v>0.15</v>
      </c>
      <c r="CY45">
        <f t="shared" si="26"/>
        <v>403.69</v>
      </c>
      <c r="CZ45">
        <f t="shared" si="27"/>
        <v>403.69</v>
      </c>
      <c r="DA45">
        <f t="shared" si="28"/>
        <v>1</v>
      </c>
      <c r="DB45">
        <f t="shared" si="20"/>
        <v>403.69</v>
      </c>
      <c r="DC45">
        <f t="shared" si="21"/>
        <v>0</v>
      </c>
      <c r="DD45" t="s">
        <v>3</v>
      </c>
      <c r="DE45" t="s">
        <v>3</v>
      </c>
      <c r="DF45">
        <f t="shared" si="22"/>
        <v>60.55</v>
      </c>
      <c r="DG45">
        <f t="shared" si="23"/>
        <v>0</v>
      </c>
      <c r="DH45">
        <f t="shared" si="24"/>
        <v>0</v>
      </c>
      <c r="DI45">
        <f t="shared" si="25"/>
        <v>0</v>
      </c>
      <c r="DJ45">
        <f t="shared" si="29"/>
        <v>60.55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ROW(Source!A78)</f>
        <v>78</v>
      </c>
      <c r="B46">
        <v>75705739</v>
      </c>
      <c r="C46">
        <v>75705566</v>
      </c>
      <c r="D46">
        <v>75397606</v>
      </c>
      <c r="E46">
        <v>1</v>
      </c>
      <c r="F46">
        <v>1</v>
      </c>
      <c r="G46">
        <v>39</v>
      </c>
      <c r="H46">
        <v>3</v>
      </c>
      <c r="I46" t="s">
        <v>132</v>
      </c>
      <c r="J46" t="s">
        <v>134</v>
      </c>
      <c r="K46" t="s">
        <v>133</v>
      </c>
      <c r="L46">
        <v>1354</v>
      </c>
      <c r="N46">
        <v>1010</v>
      </c>
      <c r="O46" t="s">
        <v>116</v>
      </c>
      <c r="P46" t="s">
        <v>116</v>
      </c>
      <c r="Q46">
        <v>1</v>
      </c>
      <c r="W46">
        <v>0</v>
      </c>
      <c r="X46">
        <v>510472555</v>
      </c>
      <c r="Y46">
        <f t="shared" si="19"/>
        <v>93.333332999999996</v>
      </c>
      <c r="AA46">
        <v>63.77</v>
      </c>
      <c r="AB46">
        <v>0</v>
      </c>
      <c r="AC46">
        <v>0</v>
      </c>
      <c r="AD46">
        <v>0</v>
      </c>
      <c r="AE46">
        <v>63.77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0</v>
      </c>
      <c r="AP46">
        <v>1</v>
      </c>
      <c r="AQ46">
        <v>0</v>
      </c>
      <c r="AR46">
        <v>0</v>
      </c>
      <c r="AS46" t="s">
        <v>3</v>
      </c>
      <c r="AT46">
        <v>93.333332999999996</v>
      </c>
      <c r="AU46" t="s">
        <v>3</v>
      </c>
      <c r="AV46">
        <v>0</v>
      </c>
      <c r="AW46">
        <v>2</v>
      </c>
      <c r="AX46">
        <v>75705724</v>
      </c>
      <c r="AY46">
        <v>1</v>
      </c>
      <c r="AZ46">
        <v>6144</v>
      </c>
      <c r="BA46">
        <v>43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ROUND(Y46*Source!I78,9)</f>
        <v>13.999999949999999</v>
      </c>
      <c r="CY46">
        <f t="shared" si="26"/>
        <v>63.77</v>
      </c>
      <c r="CZ46">
        <f t="shared" si="27"/>
        <v>63.77</v>
      </c>
      <c r="DA46">
        <f t="shared" si="28"/>
        <v>1</v>
      </c>
      <c r="DB46">
        <f t="shared" si="20"/>
        <v>5951.87</v>
      </c>
      <c r="DC46">
        <f t="shared" si="21"/>
        <v>0</v>
      </c>
      <c r="DD46" t="s">
        <v>3</v>
      </c>
      <c r="DE46" t="s">
        <v>3</v>
      </c>
      <c r="DF46">
        <f t="shared" si="22"/>
        <v>892.78</v>
      </c>
      <c r="DG46">
        <f t="shared" si="23"/>
        <v>0</v>
      </c>
      <c r="DH46">
        <f t="shared" si="24"/>
        <v>0</v>
      </c>
      <c r="DI46">
        <f t="shared" si="25"/>
        <v>0</v>
      </c>
      <c r="DJ46">
        <f t="shared" si="29"/>
        <v>892.78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ROW(Source!A78)</f>
        <v>78</v>
      </c>
      <c r="B47">
        <v>75705739</v>
      </c>
      <c r="C47">
        <v>75705566</v>
      </c>
      <c r="D47">
        <v>75397606</v>
      </c>
      <c r="E47">
        <v>1</v>
      </c>
      <c r="F47">
        <v>1</v>
      </c>
      <c r="G47">
        <v>39</v>
      </c>
      <c r="H47">
        <v>3</v>
      </c>
      <c r="I47" t="s">
        <v>132</v>
      </c>
      <c r="J47" t="s">
        <v>134</v>
      </c>
      <c r="K47" t="s">
        <v>133</v>
      </c>
      <c r="L47">
        <v>1354</v>
      </c>
      <c r="N47">
        <v>1010</v>
      </c>
      <c r="O47" t="s">
        <v>116</v>
      </c>
      <c r="P47" t="s">
        <v>116</v>
      </c>
      <c r="Q47">
        <v>1</v>
      </c>
      <c r="W47">
        <v>1</v>
      </c>
      <c r="X47">
        <v>510472555</v>
      </c>
      <c r="Y47">
        <f t="shared" si="19"/>
        <v>-5</v>
      </c>
      <c r="AA47">
        <v>63.77</v>
      </c>
      <c r="AB47">
        <v>0</v>
      </c>
      <c r="AC47">
        <v>0</v>
      </c>
      <c r="AD47">
        <v>0</v>
      </c>
      <c r="AE47">
        <v>63.77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-5</v>
      </c>
      <c r="AU47" t="s">
        <v>3</v>
      </c>
      <c r="AV47">
        <v>0</v>
      </c>
      <c r="AW47">
        <v>1</v>
      </c>
      <c r="AX47">
        <v>-1</v>
      </c>
      <c r="AY47">
        <v>0</v>
      </c>
      <c r="AZ47">
        <v>0</v>
      </c>
      <c r="BA47" t="s">
        <v>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ROUND(Y47*Source!I78,9)</f>
        <v>-0.75</v>
      </c>
      <c r="CY47">
        <f t="shared" si="26"/>
        <v>63.77</v>
      </c>
      <c r="CZ47">
        <f t="shared" si="27"/>
        <v>63.77</v>
      </c>
      <c r="DA47">
        <f t="shared" si="28"/>
        <v>1</v>
      </c>
      <c r="DB47">
        <f t="shared" si="20"/>
        <v>-318.85000000000002</v>
      </c>
      <c r="DC47">
        <f t="shared" si="21"/>
        <v>0</v>
      </c>
      <c r="DD47" t="s">
        <v>3</v>
      </c>
      <c r="DE47" t="s">
        <v>3</v>
      </c>
      <c r="DF47">
        <f t="shared" si="22"/>
        <v>-47.83</v>
      </c>
      <c r="DG47">
        <f t="shared" si="23"/>
        <v>0</v>
      </c>
      <c r="DH47">
        <f t="shared" si="24"/>
        <v>0</v>
      </c>
      <c r="DI47">
        <f t="shared" si="25"/>
        <v>0</v>
      </c>
      <c r="DJ47">
        <f t="shared" si="29"/>
        <v>-47.83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ROW(Source!A78)</f>
        <v>78</v>
      </c>
      <c r="B48">
        <v>75705739</v>
      </c>
      <c r="C48">
        <v>75705566</v>
      </c>
      <c r="D48">
        <v>75392921</v>
      </c>
      <c r="E48">
        <v>1</v>
      </c>
      <c r="F48">
        <v>1</v>
      </c>
      <c r="G48">
        <v>39</v>
      </c>
      <c r="H48">
        <v>3</v>
      </c>
      <c r="I48" t="s">
        <v>232</v>
      </c>
      <c r="J48" t="s">
        <v>233</v>
      </c>
      <c r="K48" t="s">
        <v>234</v>
      </c>
      <c r="L48">
        <v>1354</v>
      </c>
      <c r="N48">
        <v>1010</v>
      </c>
      <c r="O48" t="s">
        <v>116</v>
      </c>
      <c r="P48" t="s">
        <v>116</v>
      </c>
      <c r="Q48">
        <v>1</v>
      </c>
      <c r="W48">
        <v>0</v>
      </c>
      <c r="X48">
        <v>1369286595</v>
      </c>
      <c r="Y48">
        <f t="shared" si="19"/>
        <v>1.5</v>
      </c>
      <c r="AA48">
        <v>335.08</v>
      </c>
      <c r="AB48">
        <v>0</v>
      </c>
      <c r="AC48">
        <v>0</v>
      </c>
      <c r="AD48">
        <v>0</v>
      </c>
      <c r="AE48">
        <v>335.08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3</v>
      </c>
      <c r="AT48">
        <v>1.5</v>
      </c>
      <c r="AU48" t="s">
        <v>3</v>
      </c>
      <c r="AV48">
        <v>0</v>
      </c>
      <c r="AW48">
        <v>2</v>
      </c>
      <c r="AX48">
        <v>75705725</v>
      </c>
      <c r="AY48">
        <v>1</v>
      </c>
      <c r="AZ48">
        <v>0</v>
      </c>
      <c r="BA48">
        <v>44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ROUND(Y48*Source!I78,9)</f>
        <v>0.22500000000000001</v>
      </c>
      <c r="CY48">
        <f t="shared" si="26"/>
        <v>335.08</v>
      </c>
      <c r="CZ48">
        <f t="shared" si="27"/>
        <v>335.08</v>
      </c>
      <c r="DA48">
        <f t="shared" si="28"/>
        <v>1</v>
      </c>
      <c r="DB48">
        <f t="shared" si="20"/>
        <v>502.62</v>
      </c>
      <c r="DC48">
        <f t="shared" si="21"/>
        <v>0</v>
      </c>
      <c r="DD48" t="s">
        <v>3</v>
      </c>
      <c r="DE48" t="s">
        <v>3</v>
      </c>
      <c r="DF48">
        <f t="shared" si="22"/>
        <v>75.39</v>
      </c>
      <c r="DG48">
        <f t="shared" si="23"/>
        <v>0</v>
      </c>
      <c r="DH48">
        <f t="shared" si="24"/>
        <v>0</v>
      </c>
      <c r="DI48">
        <f t="shared" si="25"/>
        <v>0</v>
      </c>
      <c r="DJ48">
        <f t="shared" si="29"/>
        <v>75.39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ROW(Source!A81)</f>
        <v>81</v>
      </c>
      <c r="B49">
        <v>75705739</v>
      </c>
      <c r="C49">
        <v>75705588</v>
      </c>
      <c r="D49">
        <v>75386788</v>
      </c>
      <c r="E49">
        <v>39</v>
      </c>
      <c r="F49">
        <v>1</v>
      </c>
      <c r="G49">
        <v>39</v>
      </c>
      <c r="H49">
        <v>1</v>
      </c>
      <c r="I49" t="s">
        <v>174</v>
      </c>
      <c r="J49" t="s">
        <v>3</v>
      </c>
      <c r="K49" t="s">
        <v>175</v>
      </c>
      <c r="L49">
        <v>1191</v>
      </c>
      <c r="N49">
        <v>1013</v>
      </c>
      <c r="O49" t="s">
        <v>176</v>
      </c>
      <c r="P49" t="s">
        <v>176</v>
      </c>
      <c r="Q49">
        <v>1</v>
      </c>
      <c r="W49">
        <v>0</v>
      </c>
      <c r="X49">
        <v>476480486</v>
      </c>
      <c r="Y49">
        <f t="shared" si="19"/>
        <v>8.2899999999999991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8.2899999999999991</v>
      </c>
      <c r="AU49" t="s">
        <v>3</v>
      </c>
      <c r="AV49">
        <v>1</v>
      </c>
      <c r="AW49">
        <v>2</v>
      </c>
      <c r="AX49">
        <v>75705726</v>
      </c>
      <c r="AY49">
        <v>1</v>
      </c>
      <c r="AZ49">
        <v>0</v>
      </c>
      <c r="BA49">
        <v>45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U49">
        <f>ROUND(AT49*Source!I81*AH49*AL49,2)</f>
        <v>0</v>
      </c>
      <c r="CV49">
        <f>ROUND(Y49*Source!I81,9)</f>
        <v>1.2435</v>
      </c>
      <c r="CW49">
        <v>0</v>
      </c>
      <c r="CX49">
        <f>ROUND(Y49*Source!I81,9)</f>
        <v>1.2435</v>
      </c>
      <c r="CY49">
        <f>AD49</f>
        <v>0</v>
      </c>
      <c r="CZ49">
        <f>AH49</f>
        <v>0</v>
      </c>
      <c r="DA49">
        <f>AL49</f>
        <v>1</v>
      </c>
      <c r="DB49">
        <f t="shared" si="20"/>
        <v>0</v>
      </c>
      <c r="DC49">
        <f t="shared" si="21"/>
        <v>0</v>
      </c>
      <c r="DD49" t="s">
        <v>3</v>
      </c>
      <c r="DE49" t="s">
        <v>3</v>
      </c>
      <c r="DF49">
        <f t="shared" si="22"/>
        <v>0</v>
      </c>
      <c r="DG49">
        <f t="shared" si="23"/>
        <v>0</v>
      </c>
      <c r="DH49">
        <f t="shared" si="24"/>
        <v>0</v>
      </c>
      <c r="DI49">
        <f t="shared" si="25"/>
        <v>0</v>
      </c>
      <c r="DJ49">
        <f>DI49</f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ROW(Source!A81)</f>
        <v>81</v>
      </c>
      <c r="B50">
        <v>75705739</v>
      </c>
      <c r="C50">
        <v>75705588</v>
      </c>
      <c r="D50">
        <v>75398794</v>
      </c>
      <c r="E50">
        <v>1</v>
      </c>
      <c r="F50">
        <v>1</v>
      </c>
      <c r="G50">
        <v>39</v>
      </c>
      <c r="H50">
        <v>3</v>
      </c>
      <c r="I50" t="s">
        <v>141</v>
      </c>
      <c r="J50" t="s">
        <v>144</v>
      </c>
      <c r="K50" t="s">
        <v>142</v>
      </c>
      <c r="L50">
        <v>1303</v>
      </c>
      <c r="N50">
        <v>1003</v>
      </c>
      <c r="O50" t="s">
        <v>143</v>
      </c>
      <c r="P50" t="s">
        <v>143</v>
      </c>
      <c r="Q50">
        <v>1000</v>
      </c>
      <c r="W50">
        <v>0</v>
      </c>
      <c r="X50">
        <v>-1673733971</v>
      </c>
      <c r="Y50">
        <f t="shared" si="19"/>
        <v>0.10199999999999999</v>
      </c>
      <c r="AA50">
        <v>89703.17</v>
      </c>
      <c r="AB50">
        <v>0</v>
      </c>
      <c r="AC50">
        <v>0</v>
      </c>
      <c r="AD50">
        <v>0</v>
      </c>
      <c r="AE50">
        <v>89703.17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0</v>
      </c>
      <c r="AQ50">
        <v>0</v>
      </c>
      <c r="AR50">
        <v>0</v>
      </c>
      <c r="AS50" t="s">
        <v>3</v>
      </c>
      <c r="AT50">
        <v>0.10199999999999999</v>
      </c>
      <c r="AU50" t="s">
        <v>3</v>
      </c>
      <c r="AV50">
        <v>0</v>
      </c>
      <c r="AW50">
        <v>1</v>
      </c>
      <c r="AX50">
        <v>-1</v>
      </c>
      <c r="AY50">
        <v>0</v>
      </c>
      <c r="AZ50">
        <v>0</v>
      </c>
      <c r="BA50" t="s">
        <v>3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ROUND(Y50*Source!I81,9)</f>
        <v>1.5299999999999999E-2</v>
      </c>
      <c r="CY50">
        <f>AA50</f>
        <v>89703.17</v>
      </c>
      <c r="CZ50">
        <f>AE50</f>
        <v>89703.17</v>
      </c>
      <c r="DA50">
        <f>AI50</f>
        <v>1</v>
      </c>
      <c r="DB50">
        <f t="shared" si="20"/>
        <v>9149.7199999999993</v>
      </c>
      <c r="DC50">
        <f t="shared" si="21"/>
        <v>0</v>
      </c>
      <c r="DD50" t="s">
        <v>3</v>
      </c>
      <c r="DE50" t="s">
        <v>3</v>
      </c>
      <c r="DF50">
        <f t="shared" si="22"/>
        <v>1372.46</v>
      </c>
      <c r="DG50">
        <f t="shared" si="23"/>
        <v>0</v>
      </c>
      <c r="DH50">
        <f t="shared" si="24"/>
        <v>0</v>
      </c>
      <c r="DI50">
        <f t="shared" si="25"/>
        <v>0</v>
      </c>
      <c r="DJ50">
        <f>DF50</f>
        <v>1372.46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ROW(Source!A83)</f>
        <v>83</v>
      </c>
      <c r="B51">
        <v>75705739</v>
      </c>
      <c r="C51">
        <v>75705593</v>
      </c>
      <c r="D51">
        <v>75386788</v>
      </c>
      <c r="E51">
        <v>39</v>
      </c>
      <c r="F51">
        <v>1</v>
      </c>
      <c r="G51">
        <v>39</v>
      </c>
      <c r="H51">
        <v>1</v>
      </c>
      <c r="I51" t="s">
        <v>174</v>
      </c>
      <c r="J51" t="s">
        <v>3</v>
      </c>
      <c r="K51" t="s">
        <v>175</v>
      </c>
      <c r="L51">
        <v>1191</v>
      </c>
      <c r="N51">
        <v>1013</v>
      </c>
      <c r="O51" t="s">
        <v>176</v>
      </c>
      <c r="P51" t="s">
        <v>176</v>
      </c>
      <c r="Q51">
        <v>1</v>
      </c>
      <c r="W51">
        <v>0</v>
      </c>
      <c r="X51">
        <v>476480486</v>
      </c>
      <c r="Y51">
        <f t="shared" si="19"/>
        <v>5.92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5.92</v>
      </c>
      <c r="AU51" t="s">
        <v>3</v>
      </c>
      <c r="AV51">
        <v>1</v>
      </c>
      <c r="AW51">
        <v>2</v>
      </c>
      <c r="AX51">
        <v>75705727</v>
      </c>
      <c r="AY51">
        <v>1</v>
      </c>
      <c r="AZ51">
        <v>0</v>
      </c>
      <c r="BA51">
        <v>46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U51">
        <f>ROUND(AT51*Source!I83*AH51*AL51,2)</f>
        <v>0</v>
      </c>
      <c r="CV51">
        <f>ROUND(Y51*Source!I83,9)</f>
        <v>0.82879999999999998</v>
      </c>
      <c r="CW51">
        <v>0</v>
      </c>
      <c r="CX51">
        <f>ROUND(Y51*Source!I83,9)</f>
        <v>0.82879999999999998</v>
      </c>
      <c r="CY51">
        <f>AD51</f>
        <v>0</v>
      </c>
      <c r="CZ51">
        <f>AH51</f>
        <v>0</v>
      </c>
      <c r="DA51">
        <f>AL51</f>
        <v>1</v>
      </c>
      <c r="DB51">
        <f t="shared" si="20"/>
        <v>0</v>
      </c>
      <c r="DC51">
        <f t="shared" si="21"/>
        <v>0</v>
      </c>
      <c r="DD51" t="s">
        <v>3</v>
      </c>
      <c r="DE51" t="s">
        <v>3</v>
      </c>
      <c r="DF51">
        <f t="shared" si="22"/>
        <v>0</v>
      </c>
      <c r="DG51">
        <f t="shared" si="23"/>
        <v>0</v>
      </c>
      <c r="DH51">
        <f t="shared" si="24"/>
        <v>0</v>
      </c>
      <c r="DI51">
        <f t="shared" si="25"/>
        <v>0</v>
      </c>
      <c r="DJ51">
        <f>DI51</f>
        <v>0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ROW(Source!A83)</f>
        <v>83</v>
      </c>
      <c r="B52">
        <v>75705739</v>
      </c>
      <c r="C52">
        <v>75705593</v>
      </c>
      <c r="D52">
        <v>75398794</v>
      </c>
      <c r="E52">
        <v>1</v>
      </c>
      <c r="F52">
        <v>1</v>
      </c>
      <c r="G52">
        <v>39</v>
      </c>
      <c r="H52">
        <v>3</v>
      </c>
      <c r="I52" t="s">
        <v>141</v>
      </c>
      <c r="J52" t="s">
        <v>144</v>
      </c>
      <c r="K52" t="s">
        <v>142</v>
      </c>
      <c r="L52">
        <v>1303</v>
      </c>
      <c r="N52">
        <v>1003</v>
      </c>
      <c r="O52" t="s">
        <v>143</v>
      </c>
      <c r="P52" t="s">
        <v>143</v>
      </c>
      <c r="Q52">
        <v>1000</v>
      </c>
      <c r="W52">
        <v>0</v>
      </c>
      <c r="X52">
        <v>-1673733971</v>
      </c>
      <c r="Y52">
        <f t="shared" si="19"/>
        <v>0.10199999999999999</v>
      </c>
      <c r="AA52">
        <v>89703.17</v>
      </c>
      <c r="AB52">
        <v>0</v>
      </c>
      <c r="AC52">
        <v>0</v>
      </c>
      <c r="AD52">
        <v>0</v>
      </c>
      <c r="AE52">
        <v>89703.17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0</v>
      </c>
      <c r="AP52">
        <v>0</v>
      </c>
      <c r="AQ52">
        <v>0</v>
      </c>
      <c r="AR52">
        <v>0</v>
      </c>
      <c r="AS52" t="s">
        <v>3</v>
      </c>
      <c r="AT52">
        <v>0.10199999999999999</v>
      </c>
      <c r="AU52" t="s">
        <v>3</v>
      </c>
      <c r="AV52">
        <v>0</v>
      </c>
      <c r="AW52">
        <v>1</v>
      </c>
      <c r="AX52">
        <v>-1</v>
      </c>
      <c r="AY52">
        <v>0</v>
      </c>
      <c r="AZ52">
        <v>0</v>
      </c>
      <c r="BA52" t="s">
        <v>3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ROUND(Y52*Source!I83,9)</f>
        <v>1.4279999999999999E-2</v>
      </c>
      <c r="CY52">
        <f>AA52</f>
        <v>89703.17</v>
      </c>
      <c r="CZ52">
        <f>AE52</f>
        <v>89703.17</v>
      </c>
      <c r="DA52">
        <f>AI52</f>
        <v>1</v>
      </c>
      <c r="DB52">
        <f t="shared" si="20"/>
        <v>9149.7199999999993</v>
      </c>
      <c r="DC52">
        <f t="shared" si="21"/>
        <v>0</v>
      </c>
      <c r="DD52" t="s">
        <v>3</v>
      </c>
      <c r="DE52" t="s">
        <v>3</v>
      </c>
      <c r="DF52">
        <f t="shared" si="22"/>
        <v>1280.96</v>
      </c>
      <c r="DG52">
        <f t="shared" si="23"/>
        <v>0</v>
      </c>
      <c r="DH52">
        <f t="shared" si="24"/>
        <v>0</v>
      </c>
      <c r="DI52">
        <f t="shared" si="25"/>
        <v>0</v>
      </c>
      <c r="DJ52">
        <f>DF52</f>
        <v>1280.96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ROW(Source!A85)</f>
        <v>85</v>
      </c>
      <c r="B53">
        <v>75705739</v>
      </c>
      <c r="C53">
        <v>75705598</v>
      </c>
      <c r="D53">
        <v>75386788</v>
      </c>
      <c r="E53">
        <v>39</v>
      </c>
      <c r="F53">
        <v>1</v>
      </c>
      <c r="G53">
        <v>39</v>
      </c>
      <c r="H53">
        <v>1</v>
      </c>
      <c r="I53" t="s">
        <v>174</v>
      </c>
      <c r="J53" t="s">
        <v>3</v>
      </c>
      <c r="K53" t="s">
        <v>175</v>
      </c>
      <c r="L53">
        <v>1191</v>
      </c>
      <c r="N53">
        <v>1013</v>
      </c>
      <c r="O53" t="s">
        <v>176</v>
      </c>
      <c r="P53" t="s">
        <v>176</v>
      </c>
      <c r="Q53">
        <v>1</v>
      </c>
      <c r="W53">
        <v>0</v>
      </c>
      <c r="X53">
        <v>476480486</v>
      </c>
      <c r="Y53">
        <f t="shared" si="19"/>
        <v>3.01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3.01</v>
      </c>
      <c r="AU53" t="s">
        <v>3</v>
      </c>
      <c r="AV53">
        <v>1</v>
      </c>
      <c r="AW53">
        <v>2</v>
      </c>
      <c r="AX53">
        <v>75705728</v>
      </c>
      <c r="AY53">
        <v>1</v>
      </c>
      <c r="AZ53">
        <v>0</v>
      </c>
      <c r="BA53">
        <v>47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U53">
        <f>ROUND(AT53*Source!I85*AH53*AL53,2)</f>
        <v>0</v>
      </c>
      <c r="CV53">
        <f>ROUND(Y53*Source!I85,9)</f>
        <v>3.9129999999999998</v>
      </c>
      <c r="CW53">
        <v>0</v>
      </c>
      <c r="CX53">
        <f>ROUND(Y53*Source!I85,9)</f>
        <v>3.9129999999999998</v>
      </c>
      <c r="CY53">
        <f>AD53</f>
        <v>0</v>
      </c>
      <c r="CZ53">
        <f>AH53</f>
        <v>0</v>
      </c>
      <c r="DA53">
        <f>AL53</f>
        <v>1</v>
      </c>
      <c r="DB53">
        <f t="shared" si="20"/>
        <v>0</v>
      </c>
      <c r="DC53">
        <f t="shared" si="21"/>
        <v>0</v>
      </c>
      <c r="DD53" t="s">
        <v>3</v>
      </c>
      <c r="DE53" t="s">
        <v>3</v>
      </c>
      <c r="DF53">
        <f t="shared" si="22"/>
        <v>0</v>
      </c>
      <c r="DG53">
        <f t="shared" si="23"/>
        <v>0</v>
      </c>
      <c r="DH53">
        <f t="shared" si="24"/>
        <v>0</v>
      </c>
      <c r="DI53">
        <f t="shared" si="25"/>
        <v>0</v>
      </c>
      <c r="DJ53">
        <f>DI53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ROW(Source!A85)</f>
        <v>85</v>
      </c>
      <c r="B54">
        <v>75705739</v>
      </c>
      <c r="C54">
        <v>75705598</v>
      </c>
      <c r="D54">
        <v>75390706</v>
      </c>
      <c r="E54">
        <v>1</v>
      </c>
      <c r="F54">
        <v>1</v>
      </c>
      <c r="G54">
        <v>39</v>
      </c>
      <c r="H54">
        <v>3</v>
      </c>
      <c r="I54" t="s">
        <v>201</v>
      </c>
      <c r="J54" t="s">
        <v>202</v>
      </c>
      <c r="K54" t="s">
        <v>203</v>
      </c>
      <c r="L54">
        <v>1301</v>
      </c>
      <c r="N54">
        <v>1003</v>
      </c>
      <c r="O54" t="s">
        <v>204</v>
      </c>
      <c r="P54" t="s">
        <v>204</v>
      </c>
      <c r="Q54">
        <v>1</v>
      </c>
      <c r="W54">
        <v>0</v>
      </c>
      <c r="X54">
        <v>1792308677</v>
      </c>
      <c r="Y54">
        <f t="shared" si="19"/>
        <v>105</v>
      </c>
      <c r="AA54">
        <v>2.2400000000000002</v>
      </c>
      <c r="AB54">
        <v>0</v>
      </c>
      <c r="AC54">
        <v>0</v>
      </c>
      <c r="AD54">
        <v>0</v>
      </c>
      <c r="AE54">
        <v>2.2400000000000002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105</v>
      </c>
      <c r="AU54" t="s">
        <v>3</v>
      </c>
      <c r="AV54">
        <v>0</v>
      </c>
      <c r="AW54">
        <v>2</v>
      </c>
      <c r="AX54">
        <v>75705729</v>
      </c>
      <c r="AY54">
        <v>1</v>
      </c>
      <c r="AZ54">
        <v>0</v>
      </c>
      <c r="BA54">
        <v>48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ROUND(Y54*Source!I85,9)</f>
        <v>136.5</v>
      </c>
      <c r="CY54">
        <f>AA54</f>
        <v>2.2400000000000002</v>
      </c>
      <c r="CZ54">
        <f>AE54</f>
        <v>2.2400000000000002</v>
      </c>
      <c r="DA54">
        <f>AI54</f>
        <v>1</v>
      </c>
      <c r="DB54">
        <f t="shared" si="20"/>
        <v>235.2</v>
      </c>
      <c r="DC54">
        <f t="shared" si="21"/>
        <v>0</v>
      </c>
      <c r="DD54" t="s">
        <v>3</v>
      </c>
      <c r="DE54" t="s">
        <v>3</v>
      </c>
      <c r="DF54">
        <f t="shared" si="22"/>
        <v>305.76</v>
      </c>
      <c r="DG54">
        <f t="shared" si="23"/>
        <v>0</v>
      </c>
      <c r="DH54">
        <f t="shared" si="24"/>
        <v>0</v>
      </c>
      <c r="DI54">
        <f t="shared" si="25"/>
        <v>0</v>
      </c>
      <c r="DJ54">
        <f>DF54</f>
        <v>305.76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ROW(Source!A85)</f>
        <v>85</v>
      </c>
      <c r="B55">
        <v>75705739</v>
      </c>
      <c r="C55">
        <v>75705598</v>
      </c>
      <c r="D55">
        <v>75390808</v>
      </c>
      <c r="E55">
        <v>1</v>
      </c>
      <c r="F55">
        <v>1</v>
      </c>
      <c r="G55">
        <v>39</v>
      </c>
      <c r="H55">
        <v>3</v>
      </c>
      <c r="I55" t="s">
        <v>205</v>
      </c>
      <c r="J55" t="s">
        <v>206</v>
      </c>
      <c r="K55" t="s">
        <v>207</v>
      </c>
      <c r="L55">
        <v>1327</v>
      </c>
      <c r="N55">
        <v>1005</v>
      </c>
      <c r="O55" t="s">
        <v>191</v>
      </c>
      <c r="P55" t="s">
        <v>191</v>
      </c>
      <c r="Q55">
        <v>1</v>
      </c>
      <c r="W55">
        <v>0</v>
      </c>
      <c r="X55">
        <v>1627923774</v>
      </c>
      <c r="Y55">
        <f t="shared" si="19"/>
        <v>112.2</v>
      </c>
      <c r="AA55">
        <v>10.62</v>
      </c>
      <c r="AB55">
        <v>0</v>
      </c>
      <c r="AC55">
        <v>0</v>
      </c>
      <c r="AD55">
        <v>0</v>
      </c>
      <c r="AE55">
        <v>10.62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112.2</v>
      </c>
      <c r="AU55" t="s">
        <v>3</v>
      </c>
      <c r="AV55">
        <v>0</v>
      </c>
      <c r="AW55">
        <v>2</v>
      </c>
      <c r="AX55">
        <v>75705730</v>
      </c>
      <c r="AY55">
        <v>1</v>
      </c>
      <c r="AZ55">
        <v>0</v>
      </c>
      <c r="BA55">
        <v>49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ROUND(Y55*Source!I85,9)</f>
        <v>145.86000000000001</v>
      </c>
      <c r="CY55">
        <f>AA55</f>
        <v>10.62</v>
      </c>
      <c r="CZ55">
        <f>AE55</f>
        <v>10.62</v>
      </c>
      <c r="DA55">
        <f>AI55</f>
        <v>1</v>
      </c>
      <c r="DB55">
        <f t="shared" si="20"/>
        <v>1191.56</v>
      </c>
      <c r="DC55">
        <f t="shared" si="21"/>
        <v>0</v>
      </c>
      <c r="DD55" t="s">
        <v>3</v>
      </c>
      <c r="DE55" t="s">
        <v>3</v>
      </c>
      <c r="DF55">
        <f t="shared" si="22"/>
        <v>1549.03</v>
      </c>
      <c r="DG55">
        <f t="shared" si="23"/>
        <v>0</v>
      </c>
      <c r="DH55">
        <f t="shared" si="24"/>
        <v>0</v>
      </c>
      <c r="DI55">
        <f t="shared" si="25"/>
        <v>0</v>
      </c>
      <c r="DJ55">
        <f>DF55</f>
        <v>1549.03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ROW(Source!A86)</f>
        <v>86</v>
      </c>
      <c r="B56">
        <v>75705739</v>
      </c>
      <c r="C56">
        <v>75705605</v>
      </c>
      <c r="D56">
        <v>75386788</v>
      </c>
      <c r="E56">
        <v>39</v>
      </c>
      <c r="F56">
        <v>1</v>
      </c>
      <c r="G56">
        <v>39</v>
      </c>
      <c r="H56">
        <v>1</v>
      </c>
      <c r="I56" t="s">
        <v>174</v>
      </c>
      <c r="J56" t="s">
        <v>3</v>
      </c>
      <c r="K56" t="s">
        <v>175</v>
      </c>
      <c r="L56">
        <v>1191</v>
      </c>
      <c r="N56">
        <v>1013</v>
      </c>
      <c r="O56" t="s">
        <v>176</v>
      </c>
      <c r="P56" t="s">
        <v>176</v>
      </c>
      <c r="Q56">
        <v>1</v>
      </c>
      <c r="W56">
        <v>0</v>
      </c>
      <c r="X56">
        <v>476480486</v>
      </c>
      <c r="Y56">
        <f t="shared" si="19"/>
        <v>2.5299999999999998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2.5299999999999998</v>
      </c>
      <c r="AU56" t="s">
        <v>3</v>
      </c>
      <c r="AV56">
        <v>1</v>
      </c>
      <c r="AW56">
        <v>2</v>
      </c>
      <c r="AX56">
        <v>75705731</v>
      </c>
      <c r="AY56">
        <v>1</v>
      </c>
      <c r="AZ56">
        <v>0</v>
      </c>
      <c r="BA56">
        <v>50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U56">
        <f>ROUND(AT56*Source!I86*AH56*AL56,2)</f>
        <v>0</v>
      </c>
      <c r="CV56">
        <f>ROUND(Y56*Source!I86,9)</f>
        <v>3.2890000000000001</v>
      </c>
      <c r="CW56">
        <v>0</v>
      </c>
      <c r="CX56">
        <f>ROUND(Y56*Source!I86,9)</f>
        <v>3.2890000000000001</v>
      </c>
      <c r="CY56">
        <f>AD56</f>
        <v>0</v>
      </c>
      <c r="CZ56">
        <f>AH56</f>
        <v>0</v>
      </c>
      <c r="DA56">
        <f>AL56</f>
        <v>1</v>
      </c>
      <c r="DB56">
        <f t="shared" si="20"/>
        <v>0</v>
      </c>
      <c r="DC56">
        <f t="shared" si="21"/>
        <v>0</v>
      </c>
      <c r="DD56" t="s">
        <v>3</v>
      </c>
      <c r="DE56" t="s">
        <v>3</v>
      </c>
      <c r="DF56">
        <f t="shared" si="22"/>
        <v>0</v>
      </c>
      <c r="DG56">
        <f t="shared" si="23"/>
        <v>0</v>
      </c>
      <c r="DH56">
        <f t="shared" si="24"/>
        <v>0</v>
      </c>
      <c r="DI56">
        <f t="shared" si="25"/>
        <v>0</v>
      </c>
      <c r="DJ56">
        <f>DI56</f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ROW(Source!A86)</f>
        <v>86</v>
      </c>
      <c r="B57">
        <v>75705739</v>
      </c>
      <c r="C57">
        <v>75705605</v>
      </c>
      <c r="D57">
        <v>75386789</v>
      </c>
      <c r="E57">
        <v>39</v>
      </c>
      <c r="F57">
        <v>1</v>
      </c>
      <c r="G57">
        <v>39</v>
      </c>
      <c r="H57">
        <v>3</v>
      </c>
      <c r="I57" t="s">
        <v>208</v>
      </c>
      <c r="J57" t="s">
        <v>3</v>
      </c>
      <c r="K57" t="s">
        <v>209</v>
      </c>
      <c r="L57">
        <v>1348</v>
      </c>
      <c r="N57">
        <v>1009</v>
      </c>
      <c r="O57" t="s">
        <v>35</v>
      </c>
      <c r="P57" t="s">
        <v>35</v>
      </c>
      <c r="Q57">
        <v>1000</v>
      </c>
      <c r="W57">
        <v>0</v>
      </c>
      <c r="X57">
        <v>1489638031</v>
      </c>
      <c r="Y57">
        <f t="shared" si="19"/>
        <v>1.4999999999999999E-2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1.4999999999999999E-2</v>
      </c>
      <c r="AU57" t="s">
        <v>3</v>
      </c>
      <c r="AV57">
        <v>0</v>
      </c>
      <c r="AW57">
        <v>2</v>
      </c>
      <c r="AX57">
        <v>75705732</v>
      </c>
      <c r="AY57">
        <v>1</v>
      </c>
      <c r="AZ57">
        <v>0</v>
      </c>
      <c r="BA57">
        <v>51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ROUND(Y57*Source!I86,9)</f>
        <v>1.95E-2</v>
      </c>
      <c r="CY57">
        <f>AA57</f>
        <v>0</v>
      </c>
      <c r="CZ57">
        <f>AE57</f>
        <v>0</v>
      </c>
      <c r="DA57">
        <f>AI57</f>
        <v>1</v>
      </c>
      <c r="DB57">
        <f t="shared" si="20"/>
        <v>0</v>
      </c>
      <c r="DC57">
        <f t="shared" si="21"/>
        <v>0</v>
      </c>
      <c r="DD57" t="s">
        <v>3</v>
      </c>
      <c r="DE57" t="s">
        <v>3</v>
      </c>
      <c r="DF57">
        <f t="shared" si="22"/>
        <v>0</v>
      </c>
      <c r="DG57">
        <f t="shared" si="23"/>
        <v>0</v>
      </c>
      <c r="DH57">
        <f t="shared" si="24"/>
        <v>0</v>
      </c>
      <c r="DI57">
        <f t="shared" si="25"/>
        <v>0</v>
      </c>
      <c r="DJ57">
        <f>DF57</f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ROW(Source!A122)</f>
        <v>122</v>
      </c>
      <c r="B58">
        <v>75705739</v>
      </c>
      <c r="C58">
        <v>75705666</v>
      </c>
      <c r="D58">
        <v>75387788</v>
      </c>
      <c r="E58">
        <v>1</v>
      </c>
      <c r="F58">
        <v>1</v>
      </c>
      <c r="G58">
        <v>39</v>
      </c>
      <c r="H58">
        <v>2</v>
      </c>
      <c r="I58" t="s">
        <v>235</v>
      </c>
      <c r="J58" t="s">
        <v>236</v>
      </c>
      <c r="K58" t="s">
        <v>237</v>
      </c>
      <c r="L58">
        <v>1368</v>
      </c>
      <c r="N58">
        <v>1011</v>
      </c>
      <c r="O58" t="s">
        <v>26</v>
      </c>
      <c r="P58" t="s">
        <v>26</v>
      </c>
      <c r="Q58">
        <v>1</v>
      </c>
      <c r="W58">
        <v>0</v>
      </c>
      <c r="X58">
        <v>-1415669716</v>
      </c>
      <c r="Y58">
        <f t="shared" si="19"/>
        <v>5.3699999999999998E-2</v>
      </c>
      <c r="AA58">
        <v>0</v>
      </c>
      <c r="AB58">
        <v>2195.02</v>
      </c>
      <c r="AC58">
        <v>940.44</v>
      </c>
      <c r="AD58">
        <v>0</v>
      </c>
      <c r="AE58">
        <v>0</v>
      </c>
      <c r="AF58">
        <v>2195.02</v>
      </c>
      <c r="AG58">
        <v>940.44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5.3699999999999998E-2</v>
      </c>
      <c r="AU58" t="s">
        <v>3</v>
      </c>
      <c r="AV58">
        <v>0</v>
      </c>
      <c r="AW58">
        <v>2</v>
      </c>
      <c r="AX58">
        <v>75705947</v>
      </c>
      <c r="AY58">
        <v>1</v>
      </c>
      <c r="AZ58">
        <v>0</v>
      </c>
      <c r="BA58">
        <v>52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f>ROUND(Y58*Source!I122*DO58,9)</f>
        <v>0</v>
      </c>
      <c r="CX58">
        <f>ROUND(Y58*Source!I122,9)</f>
        <v>3.4367999999999998E-3</v>
      </c>
      <c r="CY58">
        <f>AB58</f>
        <v>2195.02</v>
      </c>
      <c r="CZ58">
        <f>AF58</f>
        <v>2195.02</v>
      </c>
      <c r="DA58">
        <f>AJ58</f>
        <v>1</v>
      </c>
      <c r="DB58">
        <f t="shared" si="20"/>
        <v>117.87</v>
      </c>
      <c r="DC58">
        <f t="shared" si="21"/>
        <v>50.5</v>
      </c>
      <c r="DD58" t="s">
        <v>3</v>
      </c>
      <c r="DE58" t="s">
        <v>3</v>
      </c>
      <c r="DF58">
        <f t="shared" si="22"/>
        <v>0</v>
      </c>
      <c r="DG58">
        <f t="shared" si="23"/>
        <v>7.54</v>
      </c>
      <c r="DH58">
        <f t="shared" si="24"/>
        <v>3.23</v>
      </c>
      <c r="DI58">
        <f t="shared" si="25"/>
        <v>0</v>
      </c>
      <c r="DJ58">
        <f>DG58</f>
        <v>7.54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ROW(Source!A123)</f>
        <v>123</v>
      </c>
      <c r="B59">
        <v>75705739</v>
      </c>
      <c r="C59">
        <v>75705669</v>
      </c>
      <c r="D59">
        <v>75388479</v>
      </c>
      <c r="E59">
        <v>1</v>
      </c>
      <c r="F59">
        <v>1</v>
      </c>
      <c r="G59">
        <v>39</v>
      </c>
      <c r="H59">
        <v>2</v>
      </c>
      <c r="I59" t="s">
        <v>238</v>
      </c>
      <c r="J59" t="s">
        <v>239</v>
      </c>
      <c r="K59" t="s">
        <v>240</v>
      </c>
      <c r="L59">
        <v>1368</v>
      </c>
      <c r="N59">
        <v>1011</v>
      </c>
      <c r="O59" t="s">
        <v>26</v>
      </c>
      <c r="P59" t="s">
        <v>26</v>
      </c>
      <c r="Q59">
        <v>1</v>
      </c>
      <c r="W59">
        <v>0</v>
      </c>
      <c r="X59">
        <v>9060937</v>
      </c>
      <c r="Y59">
        <f t="shared" si="19"/>
        <v>0.02</v>
      </c>
      <c r="AA59">
        <v>0</v>
      </c>
      <c r="AB59">
        <v>1552.57</v>
      </c>
      <c r="AC59">
        <v>619.16</v>
      </c>
      <c r="AD59">
        <v>0</v>
      </c>
      <c r="AE59">
        <v>0</v>
      </c>
      <c r="AF59">
        <v>1552.57</v>
      </c>
      <c r="AG59">
        <v>619.16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0.02</v>
      </c>
      <c r="AU59" t="s">
        <v>3</v>
      </c>
      <c r="AV59">
        <v>0</v>
      </c>
      <c r="AW59">
        <v>2</v>
      </c>
      <c r="AX59">
        <v>75705734</v>
      </c>
      <c r="AY59">
        <v>1</v>
      </c>
      <c r="AZ59">
        <v>0</v>
      </c>
      <c r="BA59">
        <v>53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f>ROUND(Y59*Source!I123*DO59,9)</f>
        <v>0</v>
      </c>
      <c r="CX59">
        <f>ROUND(Y59*Source!I123,9)</f>
        <v>1.2800000000000001E-3</v>
      </c>
      <c r="CY59">
        <f>AB59</f>
        <v>1552.57</v>
      </c>
      <c r="CZ59">
        <f>AF59</f>
        <v>1552.57</v>
      </c>
      <c r="DA59">
        <f>AJ59</f>
        <v>1</v>
      </c>
      <c r="DB59">
        <f t="shared" si="20"/>
        <v>31.05</v>
      </c>
      <c r="DC59">
        <f t="shared" si="21"/>
        <v>12.38</v>
      </c>
      <c r="DD59" t="s">
        <v>3</v>
      </c>
      <c r="DE59" t="s">
        <v>3</v>
      </c>
      <c r="DF59">
        <f t="shared" si="22"/>
        <v>0</v>
      </c>
      <c r="DG59">
        <f t="shared" si="23"/>
        <v>1.99</v>
      </c>
      <c r="DH59">
        <f t="shared" si="24"/>
        <v>0.79</v>
      </c>
      <c r="DI59">
        <f t="shared" si="25"/>
        <v>0</v>
      </c>
      <c r="DJ59">
        <f>DG59</f>
        <v>1.99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ROW(Source!A123)</f>
        <v>123</v>
      </c>
      <c r="B60">
        <v>75705739</v>
      </c>
      <c r="C60">
        <v>75705669</v>
      </c>
      <c r="D60">
        <v>75388480</v>
      </c>
      <c r="E60">
        <v>1</v>
      </c>
      <c r="F60">
        <v>1</v>
      </c>
      <c r="G60">
        <v>39</v>
      </c>
      <c r="H60">
        <v>2</v>
      </c>
      <c r="I60" t="s">
        <v>241</v>
      </c>
      <c r="J60" t="s">
        <v>242</v>
      </c>
      <c r="K60" t="s">
        <v>243</v>
      </c>
      <c r="L60">
        <v>1368</v>
      </c>
      <c r="N60">
        <v>1011</v>
      </c>
      <c r="O60" t="s">
        <v>26</v>
      </c>
      <c r="P60" t="s">
        <v>26</v>
      </c>
      <c r="Q60">
        <v>1</v>
      </c>
      <c r="W60">
        <v>0</v>
      </c>
      <c r="X60">
        <v>822486257</v>
      </c>
      <c r="Y60">
        <f t="shared" si="19"/>
        <v>1.7999999999999999E-2</v>
      </c>
      <c r="AA60">
        <v>0</v>
      </c>
      <c r="AB60">
        <v>1566.41</v>
      </c>
      <c r="AC60">
        <v>619.79</v>
      </c>
      <c r="AD60">
        <v>0</v>
      </c>
      <c r="AE60">
        <v>0</v>
      </c>
      <c r="AF60">
        <v>1566.41</v>
      </c>
      <c r="AG60">
        <v>619.79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1.7999999999999999E-2</v>
      </c>
      <c r="AU60" t="s">
        <v>3</v>
      </c>
      <c r="AV60">
        <v>0</v>
      </c>
      <c r="AW60">
        <v>2</v>
      </c>
      <c r="AX60">
        <v>75705735</v>
      </c>
      <c r="AY60">
        <v>1</v>
      </c>
      <c r="AZ60">
        <v>0</v>
      </c>
      <c r="BA60">
        <v>54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f>ROUND(Y60*Source!I123*DO60,9)</f>
        <v>0</v>
      </c>
      <c r="CX60">
        <f>ROUND(Y60*Source!I123,9)</f>
        <v>1.152E-3</v>
      </c>
      <c r="CY60">
        <f>AB60</f>
        <v>1566.41</v>
      </c>
      <c r="CZ60">
        <f>AF60</f>
        <v>1566.41</v>
      </c>
      <c r="DA60">
        <f>AJ60</f>
        <v>1</v>
      </c>
      <c r="DB60">
        <f t="shared" si="20"/>
        <v>28.2</v>
      </c>
      <c r="DC60">
        <f t="shared" si="21"/>
        <v>11.16</v>
      </c>
      <c r="DD60" t="s">
        <v>3</v>
      </c>
      <c r="DE60" t="s">
        <v>3</v>
      </c>
      <c r="DF60">
        <f t="shared" si="22"/>
        <v>0</v>
      </c>
      <c r="DG60">
        <f t="shared" si="23"/>
        <v>1.8</v>
      </c>
      <c r="DH60">
        <f t="shared" si="24"/>
        <v>0.71</v>
      </c>
      <c r="DI60">
        <f t="shared" si="25"/>
        <v>0</v>
      </c>
      <c r="DJ60">
        <f>DG60</f>
        <v>1.8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ROW(Source!A124)</f>
        <v>124</v>
      </c>
      <c r="B61">
        <v>75705739</v>
      </c>
      <c r="C61">
        <v>75705674</v>
      </c>
      <c r="D61">
        <v>75388479</v>
      </c>
      <c r="E61">
        <v>1</v>
      </c>
      <c r="F61">
        <v>1</v>
      </c>
      <c r="G61">
        <v>39</v>
      </c>
      <c r="H61">
        <v>2</v>
      </c>
      <c r="I61" t="s">
        <v>238</v>
      </c>
      <c r="J61" t="s">
        <v>239</v>
      </c>
      <c r="K61" t="s">
        <v>240</v>
      </c>
      <c r="L61">
        <v>1368</v>
      </c>
      <c r="N61">
        <v>1011</v>
      </c>
      <c r="O61" t="s">
        <v>26</v>
      </c>
      <c r="P61" t="s">
        <v>26</v>
      </c>
      <c r="Q61">
        <v>1</v>
      </c>
      <c r="W61">
        <v>0</v>
      </c>
      <c r="X61">
        <v>9060937</v>
      </c>
      <c r="Y61">
        <f>(AT61*48)</f>
        <v>0.48</v>
      </c>
      <c r="AA61">
        <v>0</v>
      </c>
      <c r="AB61">
        <v>1552.57</v>
      </c>
      <c r="AC61">
        <v>619.16</v>
      </c>
      <c r="AD61">
        <v>0</v>
      </c>
      <c r="AE61">
        <v>0</v>
      </c>
      <c r="AF61">
        <v>1552.57</v>
      </c>
      <c r="AG61">
        <v>619.16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0.01</v>
      </c>
      <c r="AU61" t="s">
        <v>166</v>
      </c>
      <c r="AV61">
        <v>0</v>
      </c>
      <c r="AW61">
        <v>2</v>
      </c>
      <c r="AX61">
        <v>75705736</v>
      </c>
      <c r="AY61">
        <v>1</v>
      </c>
      <c r="AZ61">
        <v>0</v>
      </c>
      <c r="BA61">
        <v>55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f>ROUND(Y61*Source!I124*DO61,9)</f>
        <v>0</v>
      </c>
      <c r="CX61">
        <f>ROUND(Y61*Source!I124,9)</f>
        <v>3.0720000000000001E-2</v>
      </c>
      <c r="CY61">
        <f>AB61</f>
        <v>1552.57</v>
      </c>
      <c r="CZ61">
        <f>AF61</f>
        <v>1552.57</v>
      </c>
      <c r="DA61">
        <f>AJ61</f>
        <v>1</v>
      </c>
      <c r="DB61">
        <f>ROUND((ROUND(AT61*CZ61,2)*48),6)</f>
        <v>745.44</v>
      </c>
      <c r="DC61">
        <f>ROUND((ROUND(AT61*AG61,2)*48),6)</f>
        <v>297.12</v>
      </c>
      <c r="DD61" t="s">
        <v>3</v>
      </c>
      <c r="DE61" t="s">
        <v>3</v>
      </c>
      <c r="DF61">
        <f t="shared" si="22"/>
        <v>0</v>
      </c>
      <c r="DG61">
        <f t="shared" si="23"/>
        <v>47.69</v>
      </c>
      <c r="DH61">
        <f t="shared" si="24"/>
        <v>19.02</v>
      </c>
      <c r="DI61">
        <f t="shared" si="25"/>
        <v>0</v>
      </c>
      <c r="DJ61">
        <f>DG61</f>
        <v>47.69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ROW(Source!A124)</f>
        <v>124</v>
      </c>
      <c r="B62">
        <v>75705739</v>
      </c>
      <c r="C62">
        <v>75705674</v>
      </c>
      <c r="D62">
        <v>75388480</v>
      </c>
      <c r="E62">
        <v>1</v>
      </c>
      <c r="F62">
        <v>1</v>
      </c>
      <c r="G62">
        <v>39</v>
      </c>
      <c r="H62">
        <v>2</v>
      </c>
      <c r="I62" t="s">
        <v>241</v>
      </c>
      <c r="J62" t="s">
        <v>242</v>
      </c>
      <c r="K62" t="s">
        <v>243</v>
      </c>
      <c r="L62">
        <v>1368</v>
      </c>
      <c r="N62">
        <v>1011</v>
      </c>
      <c r="O62" t="s">
        <v>26</v>
      </c>
      <c r="P62" t="s">
        <v>26</v>
      </c>
      <c r="Q62">
        <v>1</v>
      </c>
      <c r="W62">
        <v>0</v>
      </c>
      <c r="X62">
        <v>822486257</v>
      </c>
      <c r="Y62">
        <f>(AT62*48)</f>
        <v>0.38400000000000001</v>
      </c>
      <c r="AA62">
        <v>0</v>
      </c>
      <c r="AB62">
        <v>1566.41</v>
      </c>
      <c r="AC62">
        <v>619.79</v>
      </c>
      <c r="AD62">
        <v>0</v>
      </c>
      <c r="AE62">
        <v>0</v>
      </c>
      <c r="AF62">
        <v>1566.41</v>
      </c>
      <c r="AG62">
        <v>619.79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8.0000000000000002E-3</v>
      </c>
      <c r="AU62" t="s">
        <v>166</v>
      </c>
      <c r="AV62">
        <v>0</v>
      </c>
      <c r="AW62">
        <v>2</v>
      </c>
      <c r="AX62">
        <v>75705737</v>
      </c>
      <c r="AY62">
        <v>1</v>
      </c>
      <c r="AZ62">
        <v>0</v>
      </c>
      <c r="BA62">
        <v>56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f>ROUND(Y62*Source!I124*DO62,9)</f>
        <v>0</v>
      </c>
      <c r="CX62">
        <f>ROUND(Y62*Source!I124,9)</f>
        <v>2.4576000000000001E-2</v>
      </c>
      <c r="CY62">
        <f>AB62</f>
        <v>1566.41</v>
      </c>
      <c r="CZ62">
        <f>AF62</f>
        <v>1566.41</v>
      </c>
      <c r="DA62">
        <f>AJ62</f>
        <v>1</v>
      </c>
      <c r="DB62">
        <f>ROUND((ROUND(AT62*CZ62,2)*48),6)</f>
        <v>601.44000000000005</v>
      </c>
      <c r="DC62">
        <f>ROUND((ROUND(AT62*AG62,2)*48),6)</f>
        <v>238.08</v>
      </c>
      <c r="DD62" t="s">
        <v>3</v>
      </c>
      <c r="DE62" t="s">
        <v>3</v>
      </c>
      <c r="DF62">
        <f t="shared" si="22"/>
        <v>0</v>
      </c>
      <c r="DG62">
        <f t="shared" si="23"/>
        <v>38.5</v>
      </c>
      <c r="DH62">
        <f t="shared" si="24"/>
        <v>15.23</v>
      </c>
      <c r="DI62">
        <f t="shared" si="25"/>
        <v>0</v>
      </c>
      <c r="DJ62">
        <f>DG62</f>
        <v>38.5</v>
      </c>
      <c r="DK62">
        <v>0</v>
      </c>
      <c r="DL62" t="s">
        <v>3</v>
      </c>
      <c r="DM62">
        <v>0</v>
      </c>
      <c r="DN62" t="s">
        <v>3</v>
      </c>
      <c r="DO6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75705682</v>
      </c>
      <c r="C1">
        <v>75705422</v>
      </c>
      <c r="D1">
        <v>75386788</v>
      </c>
      <c r="E1">
        <v>39</v>
      </c>
      <c r="F1">
        <v>1</v>
      </c>
      <c r="G1">
        <v>39</v>
      </c>
      <c r="H1">
        <v>1</v>
      </c>
      <c r="I1" t="s">
        <v>174</v>
      </c>
      <c r="J1" t="s">
        <v>3</v>
      </c>
      <c r="K1" t="s">
        <v>175</v>
      </c>
      <c r="L1">
        <v>1191</v>
      </c>
      <c r="N1">
        <v>1013</v>
      </c>
      <c r="O1" t="s">
        <v>176</v>
      </c>
      <c r="P1" t="s">
        <v>176</v>
      </c>
      <c r="Q1">
        <v>1</v>
      </c>
      <c r="X1">
        <v>87.17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87.17</v>
      </c>
      <c r="AH1">
        <v>2</v>
      </c>
      <c r="AI1">
        <v>75705423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75705683</v>
      </c>
      <c r="C2">
        <v>75705422</v>
      </c>
      <c r="D2">
        <v>75389290</v>
      </c>
      <c r="E2">
        <v>1</v>
      </c>
      <c r="F2">
        <v>1</v>
      </c>
      <c r="G2">
        <v>39</v>
      </c>
      <c r="H2">
        <v>3</v>
      </c>
      <c r="I2" t="s">
        <v>177</v>
      </c>
      <c r="J2" t="s">
        <v>178</v>
      </c>
      <c r="K2" t="s">
        <v>179</v>
      </c>
      <c r="L2">
        <v>1339</v>
      </c>
      <c r="N2">
        <v>1007</v>
      </c>
      <c r="O2" t="s">
        <v>180</v>
      </c>
      <c r="P2" t="s">
        <v>180</v>
      </c>
      <c r="Q2">
        <v>1</v>
      </c>
      <c r="X2">
        <v>8.0000000000000002E-3</v>
      </c>
      <c r="Y2">
        <v>11988.68</v>
      </c>
      <c r="Z2">
        <v>0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8.0000000000000002E-3</v>
      </c>
      <c r="AH2">
        <v>2</v>
      </c>
      <c r="AI2">
        <v>75705424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75705684</v>
      </c>
      <c r="C3">
        <v>75705428</v>
      </c>
      <c r="D3">
        <v>75386788</v>
      </c>
      <c r="E3">
        <v>39</v>
      </c>
      <c r="F3">
        <v>1</v>
      </c>
      <c r="G3">
        <v>39</v>
      </c>
      <c r="H3">
        <v>1</v>
      </c>
      <c r="I3" t="s">
        <v>174</v>
      </c>
      <c r="J3" t="s">
        <v>3</v>
      </c>
      <c r="K3" t="s">
        <v>175</v>
      </c>
      <c r="L3">
        <v>1191</v>
      </c>
      <c r="N3">
        <v>1013</v>
      </c>
      <c r="O3" t="s">
        <v>176</v>
      </c>
      <c r="P3" t="s">
        <v>176</v>
      </c>
      <c r="Q3">
        <v>1</v>
      </c>
      <c r="X3">
        <v>24.52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24.52</v>
      </c>
      <c r="AH3">
        <v>2</v>
      </c>
      <c r="AI3">
        <v>75705429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75705685</v>
      </c>
      <c r="C4">
        <v>75705428</v>
      </c>
      <c r="D4">
        <v>75390376</v>
      </c>
      <c r="E4">
        <v>1</v>
      </c>
      <c r="F4">
        <v>1</v>
      </c>
      <c r="G4">
        <v>39</v>
      </c>
      <c r="H4">
        <v>3</v>
      </c>
      <c r="I4" t="s">
        <v>181</v>
      </c>
      <c r="J4" t="s">
        <v>182</v>
      </c>
      <c r="K4" t="s">
        <v>183</v>
      </c>
      <c r="L4">
        <v>1346</v>
      </c>
      <c r="N4">
        <v>1009</v>
      </c>
      <c r="O4" t="s">
        <v>184</v>
      </c>
      <c r="P4" t="s">
        <v>184</v>
      </c>
      <c r="Q4">
        <v>1</v>
      </c>
      <c r="X4">
        <v>0.36</v>
      </c>
      <c r="Y4">
        <v>26.09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0.36</v>
      </c>
      <c r="AH4">
        <v>2</v>
      </c>
      <c r="AI4">
        <v>75705430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75705686</v>
      </c>
      <c r="C5">
        <v>75705428</v>
      </c>
      <c r="D5">
        <v>75390588</v>
      </c>
      <c r="E5">
        <v>1</v>
      </c>
      <c r="F5">
        <v>1</v>
      </c>
      <c r="G5">
        <v>39</v>
      </c>
      <c r="H5">
        <v>3</v>
      </c>
      <c r="I5" t="s">
        <v>185</v>
      </c>
      <c r="J5" t="s">
        <v>186</v>
      </c>
      <c r="K5" t="s">
        <v>187</v>
      </c>
      <c r="L5">
        <v>1339</v>
      </c>
      <c r="N5">
        <v>1007</v>
      </c>
      <c r="O5" t="s">
        <v>180</v>
      </c>
      <c r="P5" t="s">
        <v>180</v>
      </c>
      <c r="Q5">
        <v>1</v>
      </c>
      <c r="X5">
        <v>0.24</v>
      </c>
      <c r="Y5">
        <v>49.83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0.24</v>
      </c>
      <c r="AH5">
        <v>2</v>
      </c>
      <c r="AI5">
        <v>75705431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75705687</v>
      </c>
      <c r="C6">
        <v>75705428</v>
      </c>
      <c r="D6">
        <v>75390936</v>
      </c>
      <c r="E6">
        <v>1</v>
      </c>
      <c r="F6">
        <v>1</v>
      </c>
      <c r="G6">
        <v>39</v>
      </c>
      <c r="H6">
        <v>3</v>
      </c>
      <c r="I6" t="s">
        <v>188</v>
      </c>
      <c r="J6" t="s">
        <v>189</v>
      </c>
      <c r="K6" t="s">
        <v>190</v>
      </c>
      <c r="L6">
        <v>1327</v>
      </c>
      <c r="N6">
        <v>1005</v>
      </c>
      <c r="O6" t="s">
        <v>191</v>
      </c>
      <c r="P6" t="s">
        <v>191</v>
      </c>
      <c r="Q6">
        <v>1</v>
      </c>
      <c r="X6">
        <v>0.8</v>
      </c>
      <c r="Y6">
        <v>338.51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0.8</v>
      </c>
      <c r="AH6">
        <v>2</v>
      </c>
      <c r="AI6">
        <v>75705432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75705688</v>
      </c>
      <c r="C7">
        <v>75705428</v>
      </c>
      <c r="D7">
        <v>75390952</v>
      </c>
      <c r="E7">
        <v>1</v>
      </c>
      <c r="F7">
        <v>1</v>
      </c>
      <c r="G7">
        <v>39</v>
      </c>
      <c r="H7">
        <v>3</v>
      </c>
      <c r="I7" t="s">
        <v>192</v>
      </c>
      <c r="J7" t="s">
        <v>193</v>
      </c>
      <c r="K7" t="s">
        <v>194</v>
      </c>
      <c r="L7">
        <v>1348</v>
      </c>
      <c r="N7">
        <v>1009</v>
      </c>
      <c r="O7" t="s">
        <v>35</v>
      </c>
      <c r="P7" t="s">
        <v>35</v>
      </c>
      <c r="Q7">
        <v>1000</v>
      </c>
      <c r="X7">
        <v>6.4000000000000003E-3</v>
      </c>
      <c r="Y7">
        <v>76204.789999999994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6.4000000000000003E-3</v>
      </c>
      <c r="AH7">
        <v>2</v>
      </c>
      <c r="AI7">
        <v>75705433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ROW(Source!A30)</f>
        <v>30</v>
      </c>
      <c r="B8">
        <v>75705689</v>
      </c>
      <c r="C8">
        <v>75705428</v>
      </c>
      <c r="D8">
        <v>75389193</v>
      </c>
      <c r="E8">
        <v>1</v>
      </c>
      <c r="F8">
        <v>1</v>
      </c>
      <c r="G8">
        <v>39</v>
      </c>
      <c r="H8">
        <v>3</v>
      </c>
      <c r="I8" t="s">
        <v>195</v>
      </c>
      <c r="J8" t="s">
        <v>196</v>
      </c>
      <c r="K8" t="s">
        <v>197</v>
      </c>
      <c r="L8">
        <v>1346</v>
      </c>
      <c r="N8">
        <v>1009</v>
      </c>
      <c r="O8" t="s">
        <v>184</v>
      </c>
      <c r="P8" t="s">
        <v>184</v>
      </c>
      <c r="Q8">
        <v>1</v>
      </c>
      <c r="X8">
        <v>24.8</v>
      </c>
      <c r="Y8">
        <v>215.72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24.8</v>
      </c>
      <c r="AH8">
        <v>2</v>
      </c>
      <c r="AI8">
        <v>75705434</v>
      </c>
      <c r="AJ8">
        <v>9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ROW(Source!A30)</f>
        <v>30</v>
      </c>
      <c r="B9">
        <v>75705690</v>
      </c>
      <c r="C9">
        <v>75705428</v>
      </c>
      <c r="D9">
        <v>75389195</v>
      </c>
      <c r="E9">
        <v>1</v>
      </c>
      <c r="F9">
        <v>1</v>
      </c>
      <c r="G9">
        <v>39</v>
      </c>
      <c r="H9">
        <v>3</v>
      </c>
      <c r="I9" t="s">
        <v>198</v>
      </c>
      <c r="J9" t="s">
        <v>199</v>
      </c>
      <c r="K9" t="s">
        <v>200</v>
      </c>
      <c r="L9">
        <v>1346</v>
      </c>
      <c r="N9">
        <v>1009</v>
      </c>
      <c r="O9" t="s">
        <v>184</v>
      </c>
      <c r="P9" t="s">
        <v>184</v>
      </c>
      <c r="Q9">
        <v>1</v>
      </c>
      <c r="X9">
        <v>14</v>
      </c>
      <c r="Y9">
        <v>80.599999999999994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14</v>
      </c>
      <c r="AH9">
        <v>2</v>
      </c>
      <c r="AI9">
        <v>75705435</v>
      </c>
      <c r="AJ9">
        <v>10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ROW(Source!A32)</f>
        <v>32</v>
      </c>
      <c r="B10">
        <v>75705691</v>
      </c>
      <c r="C10">
        <v>75705445</v>
      </c>
      <c r="D10">
        <v>75386788</v>
      </c>
      <c r="E10">
        <v>39</v>
      </c>
      <c r="F10">
        <v>1</v>
      </c>
      <c r="G10">
        <v>39</v>
      </c>
      <c r="H10">
        <v>1</v>
      </c>
      <c r="I10" t="s">
        <v>174</v>
      </c>
      <c r="J10" t="s">
        <v>3</v>
      </c>
      <c r="K10" t="s">
        <v>175</v>
      </c>
      <c r="L10">
        <v>1191</v>
      </c>
      <c r="N10">
        <v>1013</v>
      </c>
      <c r="O10" t="s">
        <v>176</v>
      </c>
      <c r="P10" t="s">
        <v>176</v>
      </c>
      <c r="Q10">
        <v>1</v>
      </c>
      <c r="X10">
        <v>3.01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 t="s">
        <v>3</v>
      </c>
      <c r="AG10">
        <v>3.01</v>
      </c>
      <c r="AH10">
        <v>2</v>
      </c>
      <c r="AI10">
        <v>75705446</v>
      </c>
      <c r="AJ10">
        <v>11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ROW(Source!A32)</f>
        <v>32</v>
      </c>
      <c r="B11">
        <v>75705692</v>
      </c>
      <c r="C11">
        <v>75705445</v>
      </c>
      <c r="D11">
        <v>75390706</v>
      </c>
      <c r="E11">
        <v>1</v>
      </c>
      <c r="F11">
        <v>1</v>
      </c>
      <c r="G11">
        <v>39</v>
      </c>
      <c r="H11">
        <v>3</v>
      </c>
      <c r="I11" t="s">
        <v>201</v>
      </c>
      <c r="J11" t="s">
        <v>202</v>
      </c>
      <c r="K11" t="s">
        <v>203</v>
      </c>
      <c r="L11">
        <v>1301</v>
      </c>
      <c r="N11">
        <v>1003</v>
      </c>
      <c r="O11" t="s">
        <v>204</v>
      </c>
      <c r="P11" t="s">
        <v>204</v>
      </c>
      <c r="Q11">
        <v>1</v>
      </c>
      <c r="X11">
        <v>105</v>
      </c>
      <c r="Y11">
        <v>2.2400000000000002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105</v>
      </c>
      <c r="AH11">
        <v>2</v>
      </c>
      <c r="AI11">
        <v>75705447</v>
      </c>
      <c r="AJ11">
        <v>12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75705693</v>
      </c>
      <c r="C12">
        <v>75705445</v>
      </c>
      <c r="D12">
        <v>75390808</v>
      </c>
      <c r="E12">
        <v>1</v>
      </c>
      <c r="F12">
        <v>1</v>
      </c>
      <c r="G12">
        <v>39</v>
      </c>
      <c r="H12">
        <v>3</v>
      </c>
      <c r="I12" t="s">
        <v>205</v>
      </c>
      <c r="J12" t="s">
        <v>206</v>
      </c>
      <c r="K12" t="s">
        <v>207</v>
      </c>
      <c r="L12">
        <v>1327</v>
      </c>
      <c r="N12">
        <v>1005</v>
      </c>
      <c r="O12" t="s">
        <v>191</v>
      </c>
      <c r="P12" t="s">
        <v>191</v>
      </c>
      <c r="Q12">
        <v>1</v>
      </c>
      <c r="X12">
        <v>112.2</v>
      </c>
      <c r="Y12">
        <v>10.62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112.2</v>
      </c>
      <c r="AH12">
        <v>2</v>
      </c>
      <c r="AI12">
        <v>75705448</v>
      </c>
      <c r="AJ12">
        <v>13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ROW(Source!A33)</f>
        <v>33</v>
      </c>
      <c r="B13">
        <v>75705694</v>
      </c>
      <c r="C13">
        <v>75705452</v>
      </c>
      <c r="D13">
        <v>75386788</v>
      </c>
      <c r="E13">
        <v>39</v>
      </c>
      <c r="F13">
        <v>1</v>
      </c>
      <c r="G13">
        <v>39</v>
      </c>
      <c r="H13">
        <v>1</v>
      </c>
      <c r="I13" t="s">
        <v>174</v>
      </c>
      <c r="J13" t="s">
        <v>3</v>
      </c>
      <c r="K13" t="s">
        <v>175</v>
      </c>
      <c r="L13">
        <v>1191</v>
      </c>
      <c r="N13">
        <v>1013</v>
      </c>
      <c r="O13" t="s">
        <v>176</v>
      </c>
      <c r="P13" t="s">
        <v>176</v>
      </c>
      <c r="Q13">
        <v>1</v>
      </c>
      <c r="X13">
        <v>2.5299999999999998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3</v>
      </c>
      <c r="AG13">
        <v>2.5299999999999998</v>
      </c>
      <c r="AH13">
        <v>2</v>
      </c>
      <c r="AI13">
        <v>75705453</v>
      </c>
      <c r="AJ13">
        <v>14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ROW(Source!A33)</f>
        <v>33</v>
      </c>
      <c r="B14">
        <v>75705695</v>
      </c>
      <c r="C14">
        <v>75705452</v>
      </c>
      <c r="D14">
        <v>75386789</v>
      </c>
      <c r="E14">
        <v>39</v>
      </c>
      <c r="F14">
        <v>1</v>
      </c>
      <c r="G14">
        <v>39</v>
      </c>
      <c r="H14">
        <v>3</v>
      </c>
      <c r="I14" t="s">
        <v>208</v>
      </c>
      <c r="J14" t="s">
        <v>3</v>
      </c>
      <c r="K14" t="s">
        <v>209</v>
      </c>
      <c r="L14">
        <v>1348</v>
      </c>
      <c r="N14">
        <v>1009</v>
      </c>
      <c r="O14" t="s">
        <v>35</v>
      </c>
      <c r="P14" t="s">
        <v>35</v>
      </c>
      <c r="Q14">
        <v>1000</v>
      </c>
      <c r="X14">
        <v>1.4999999999999999E-2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1.4999999999999999E-2</v>
      </c>
      <c r="AH14">
        <v>2</v>
      </c>
      <c r="AI14">
        <v>75705454</v>
      </c>
      <c r="AJ14">
        <v>15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ROW(Source!A69)</f>
        <v>69</v>
      </c>
      <c r="B15">
        <v>75705696</v>
      </c>
      <c r="C15">
        <v>75705513</v>
      </c>
      <c r="D15">
        <v>75386788</v>
      </c>
      <c r="E15">
        <v>39</v>
      </c>
      <c r="F15">
        <v>1</v>
      </c>
      <c r="G15">
        <v>39</v>
      </c>
      <c r="H15">
        <v>1</v>
      </c>
      <c r="I15" t="s">
        <v>174</v>
      </c>
      <c r="J15" t="s">
        <v>3</v>
      </c>
      <c r="K15" t="s">
        <v>175</v>
      </c>
      <c r="L15">
        <v>1191</v>
      </c>
      <c r="N15">
        <v>1013</v>
      </c>
      <c r="O15" t="s">
        <v>176</v>
      </c>
      <c r="P15" t="s">
        <v>176</v>
      </c>
      <c r="Q15">
        <v>1</v>
      </c>
      <c r="X15">
        <v>87.17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3</v>
      </c>
      <c r="AG15">
        <v>87.17</v>
      </c>
      <c r="AH15">
        <v>2</v>
      </c>
      <c r="AI15">
        <v>75705514</v>
      </c>
      <c r="AJ15">
        <v>16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ROW(Source!A69)</f>
        <v>69</v>
      </c>
      <c r="B16">
        <v>75705697</v>
      </c>
      <c r="C16">
        <v>75705513</v>
      </c>
      <c r="D16">
        <v>75389290</v>
      </c>
      <c r="E16">
        <v>1</v>
      </c>
      <c r="F16">
        <v>1</v>
      </c>
      <c r="G16">
        <v>39</v>
      </c>
      <c r="H16">
        <v>3</v>
      </c>
      <c r="I16" t="s">
        <v>177</v>
      </c>
      <c r="J16" t="s">
        <v>178</v>
      </c>
      <c r="K16" t="s">
        <v>179</v>
      </c>
      <c r="L16">
        <v>1339</v>
      </c>
      <c r="N16">
        <v>1007</v>
      </c>
      <c r="O16" t="s">
        <v>180</v>
      </c>
      <c r="P16" t="s">
        <v>180</v>
      </c>
      <c r="Q16">
        <v>1</v>
      </c>
      <c r="X16">
        <v>8.0000000000000002E-3</v>
      </c>
      <c r="Y16">
        <v>11988.68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8.0000000000000002E-3</v>
      </c>
      <c r="AH16">
        <v>2</v>
      </c>
      <c r="AI16">
        <v>75705515</v>
      </c>
      <c r="AJ16">
        <v>17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ROW(Source!A71)</f>
        <v>71</v>
      </c>
      <c r="B17">
        <v>75705698</v>
      </c>
      <c r="C17">
        <v>75705519</v>
      </c>
      <c r="D17">
        <v>75386788</v>
      </c>
      <c r="E17">
        <v>39</v>
      </c>
      <c r="F17">
        <v>1</v>
      </c>
      <c r="G17">
        <v>39</v>
      </c>
      <c r="H17">
        <v>1</v>
      </c>
      <c r="I17" t="s">
        <v>174</v>
      </c>
      <c r="J17" t="s">
        <v>3</v>
      </c>
      <c r="K17" t="s">
        <v>175</v>
      </c>
      <c r="L17">
        <v>1191</v>
      </c>
      <c r="N17">
        <v>1013</v>
      </c>
      <c r="O17" t="s">
        <v>176</v>
      </c>
      <c r="P17" t="s">
        <v>176</v>
      </c>
      <c r="Q17">
        <v>1</v>
      </c>
      <c r="X17">
        <v>24.52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3</v>
      </c>
      <c r="AG17">
        <v>24.52</v>
      </c>
      <c r="AH17">
        <v>2</v>
      </c>
      <c r="AI17">
        <v>75705520</v>
      </c>
      <c r="AJ17">
        <v>18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ROW(Source!A71)</f>
        <v>71</v>
      </c>
      <c r="B18">
        <v>75705699</v>
      </c>
      <c r="C18">
        <v>75705519</v>
      </c>
      <c r="D18">
        <v>75390376</v>
      </c>
      <c r="E18">
        <v>1</v>
      </c>
      <c r="F18">
        <v>1</v>
      </c>
      <c r="G18">
        <v>39</v>
      </c>
      <c r="H18">
        <v>3</v>
      </c>
      <c r="I18" t="s">
        <v>181</v>
      </c>
      <c r="J18" t="s">
        <v>182</v>
      </c>
      <c r="K18" t="s">
        <v>183</v>
      </c>
      <c r="L18">
        <v>1346</v>
      </c>
      <c r="N18">
        <v>1009</v>
      </c>
      <c r="O18" t="s">
        <v>184</v>
      </c>
      <c r="P18" t="s">
        <v>184</v>
      </c>
      <c r="Q18">
        <v>1</v>
      </c>
      <c r="X18">
        <v>0.36</v>
      </c>
      <c r="Y18">
        <v>26.09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0.36</v>
      </c>
      <c r="AH18">
        <v>2</v>
      </c>
      <c r="AI18">
        <v>75705521</v>
      </c>
      <c r="AJ18">
        <v>19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ROW(Source!A71)</f>
        <v>71</v>
      </c>
      <c r="B19">
        <v>75705700</v>
      </c>
      <c r="C19">
        <v>75705519</v>
      </c>
      <c r="D19">
        <v>75390588</v>
      </c>
      <c r="E19">
        <v>1</v>
      </c>
      <c r="F19">
        <v>1</v>
      </c>
      <c r="G19">
        <v>39</v>
      </c>
      <c r="H19">
        <v>3</v>
      </c>
      <c r="I19" t="s">
        <v>185</v>
      </c>
      <c r="J19" t="s">
        <v>186</v>
      </c>
      <c r="K19" t="s">
        <v>187</v>
      </c>
      <c r="L19">
        <v>1339</v>
      </c>
      <c r="N19">
        <v>1007</v>
      </c>
      <c r="O19" t="s">
        <v>180</v>
      </c>
      <c r="P19" t="s">
        <v>180</v>
      </c>
      <c r="Q19">
        <v>1</v>
      </c>
      <c r="X19">
        <v>0.24</v>
      </c>
      <c r="Y19">
        <v>49.83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0.24</v>
      </c>
      <c r="AH19">
        <v>2</v>
      </c>
      <c r="AI19">
        <v>75705522</v>
      </c>
      <c r="AJ19">
        <v>20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ROW(Source!A71)</f>
        <v>71</v>
      </c>
      <c r="B20">
        <v>75705701</v>
      </c>
      <c r="C20">
        <v>75705519</v>
      </c>
      <c r="D20">
        <v>75390936</v>
      </c>
      <c r="E20">
        <v>1</v>
      </c>
      <c r="F20">
        <v>1</v>
      </c>
      <c r="G20">
        <v>39</v>
      </c>
      <c r="H20">
        <v>3</v>
      </c>
      <c r="I20" t="s">
        <v>188</v>
      </c>
      <c r="J20" t="s">
        <v>189</v>
      </c>
      <c r="K20" t="s">
        <v>190</v>
      </c>
      <c r="L20">
        <v>1327</v>
      </c>
      <c r="N20">
        <v>1005</v>
      </c>
      <c r="O20" t="s">
        <v>191</v>
      </c>
      <c r="P20" t="s">
        <v>191</v>
      </c>
      <c r="Q20">
        <v>1</v>
      </c>
      <c r="X20">
        <v>0.8</v>
      </c>
      <c r="Y20">
        <v>338.51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0.8</v>
      </c>
      <c r="AH20">
        <v>2</v>
      </c>
      <c r="AI20">
        <v>75705523</v>
      </c>
      <c r="AJ20">
        <v>21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ROW(Source!A71)</f>
        <v>71</v>
      </c>
      <c r="B21">
        <v>75705702</v>
      </c>
      <c r="C21">
        <v>75705519</v>
      </c>
      <c r="D21">
        <v>75390952</v>
      </c>
      <c r="E21">
        <v>1</v>
      </c>
      <c r="F21">
        <v>1</v>
      </c>
      <c r="G21">
        <v>39</v>
      </c>
      <c r="H21">
        <v>3</v>
      </c>
      <c r="I21" t="s">
        <v>192</v>
      </c>
      <c r="J21" t="s">
        <v>193</v>
      </c>
      <c r="K21" t="s">
        <v>194</v>
      </c>
      <c r="L21">
        <v>1348</v>
      </c>
      <c r="N21">
        <v>1009</v>
      </c>
      <c r="O21" t="s">
        <v>35</v>
      </c>
      <c r="P21" t="s">
        <v>35</v>
      </c>
      <c r="Q21">
        <v>1000</v>
      </c>
      <c r="X21">
        <v>6.4000000000000003E-3</v>
      </c>
      <c r="Y21">
        <v>76204.789999999994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6.4000000000000003E-3</v>
      </c>
      <c r="AH21">
        <v>2</v>
      </c>
      <c r="AI21">
        <v>75705524</v>
      </c>
      <c r="AJ21">
        <v>22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ROW(Source!A71)</f>
        <v>71</v>
      </c>
      <c r="B22">
        <v>75705703</v>
      </c>
      <c r="C22">
        <v>75705519</v>
      </c>
      <c r="D22">
        <v>75389193</v>
      </c>
      <c r="E22">
        <v>1</v>
      </c>
      <c r="F22">
        <v>1</v>
      </c>
      <c r="G22">
        <v>39</v>
      </c>
      <c r="H22">
        <v>3</v>
      </c>
      <c r="I22" t="s">
        <v>195</v>
      </c>
      <c r="J22" t="s">
        <v>196</v>
      </c>
      <c r="K22" t="s">
        <v>197</v>
      </c>
      <c r="L22">
        <v>1346</v>
      </c>
      <c r="N22">
        <v>1009</v>
      </c>
      <c r="O22" t="s">
        <v>184</v>
      </c>
      <c r="P22" t="s">
        <v>184</v>
      </c>
      <c r="Q22">
        <v>1</v>
      </c>
      <c r="X22">
        <v>24.8</v>
      </c>
      <c r="Y22">
        <v>215.72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24.8</v>
      </c>
      <c r="AH22">
        <v>2</v>
      </c>
      <c r="AI22">
        <v>75705525</v>
      </c>
      <c r="AJ22">
        <v>24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ROW(Source!A71)</f>
        <v>71</v>
      </c>
      <c r="B23">
        <v>75705704</v>
      </c>
      <c r="C23">
        <v>75705519</v>
      </c>
      <c r="D23">
        <v>75389195</v>
      </c>
      <c r="E23">
        <v>1</v>
      </c>
      <c r="F23">
        <v>1</v>
      </c>
      <c r="G23">
        <v>39</v>
      </c>
      <c r="H23">
        <v>3</v>
      </c>
      <c r="I23" t="s">
        <v>198</v>
      </c>
      <c r="J23" t="s">
        <v>199</v>
      </c>
      <c r="K23" t="s">
        <v>200</v>
      </c>
      <c r="L23">
        <v>1346</v>
      </c>
      <c r="N23">
        <v>1009</v>
      </c>
      <c r="O23" t="s">
        <v>184</v>
      </c>
      <c r="P23" t="s">
        <v>184</v>
      </c>
      <c r="Q23">
        <v>1</v>
      </c>
      <c r="X23">
        <v>14</v>
      </c>
      <c r="Y23">
        <v>80.599999999999994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14</v>
      </c>
      <c r="AH23">
        <v>2</v>
      </c>
      <c r="AI23">
        <v>75705526</v>
      </c>
      <c r="AJ23">
        <v>25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ROW(Source!A73)</f>
        <v>73</v>
      </c>
      <c r="B24">
        <v>75705705</v>
      </c>
      <c r="C24">
        <v>75705536</v>
      </c>
      <c r="D24">
        <v>75386788</v>
      </c>
      <c r="E24">
        <v>39</v>
      </c>
      <c r="F24">
        <v>1</v>
      </c>
      <c r="G24">
        <v>39</v>
      </c>
      <c r="H24">
        <v>1</v>
      </c>
      <c r="I24" t="s">
        <v>174</v>
      </c>
      <c r="J24" t="s">
        <v>3</v>
      </c>
      <c r="K24" t="s">
        <v>175</v>
      </c>
      <c r="L24">
        <v>1191</v>
      </c>
      <c r="N24">
        <v>1013</v>
      </c>
      <c r="O24" t="s">
        <v>176</v>
      </c>
      <c r="P24" t="s">
        <v>176</v>
      </c>
      <c r="Q24">
        <v>1</v>
      </c>
      <c r="X24">
        <v>30.74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</v>
      </c>
      <c r="AG24">
        <v>30.74</v>
      </c>
      <c r="AH24">
        <v>2</v>
      </c>
      <c r="AI24">
        <v>75705537</v>
      </c>
      <c r="AJ24">
        <v>26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ROW(Source!A73)</f>
        <v>73</v>
      </c>
      <c r="B25">
        <v>75705706</v>
      </c>
      <c r="C25">
        <v>75705536</v>
      </c>
      <c r="D25">
        <v>75390376</v>
      </c>
      <c r="E25">
        <v>1</v>
      </c>
      <c r="F25">
        <v>1</v>
      </c>
      <c r="G25">
        <v>39</v>
      </c>
      <c r="H25">
        <v>3</v>
      </c>
      <c r="I25" t="s">
        <v>181</v>
      </c>
      <c r="J25" t="s">
        <v>182</v>
      </c>
      <c r="K25" t="s">
        <v>183</v>
      </c>
      <c r="L25">
        <v>1346</v>
      </c>
      <c r="N25">
        <v>1009</v>
      </c>
      <c r="O25" t="s">
        <v>184</v>
      </c>
      <c r="P25" t="s">
        <v>184</v>
      </c>
      <c r="Q25">
        <v>1</v>
      </c>
      <c r="X25">
        <v>0.36</v>
      </c>
      <c r="Y25">
        <v>26.09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0.36</v>
      </c>
      <c r="AH25">
        <v>2</v>
      </c>
      <c r="AI25">
        <v>75705538</v>
      </c>
      <c r="AJ25">
        <v>27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ROW(Source!A73)</f>
        <v>73</v>
      </c>
      <c r="B26">
        <v>75705707</v>
      </c>
      <c r="C26">
        <v>75705536</v>
      </c>
      <c r="D26">
        <v>75390588</v>
      </c>
      <c r="E26">
        <v>1</v>
      </c>
      <c r="F26">
        <v>1</v>
      </c>
      <c r="G26">
        <v>39</v>
      </c>
      <c r="H26">
        <v>3</v>
      </c>
      <c r="I26" t="s">
        <v>185</v>
      </c>
      <c r="J26" t="s">
        <v>186</v>
      </c>
      <c r="K26" t="s">
        <v>187</v>
      </c>
      <c r="L26">
        <v>1339</v>
      </c>
      <c r="N26">
        <v>1007</v>
      </c>
      <c r="O26" t="s">
        <v>180</v>
      </c>
      <c r="P26" t="s">
        <v>180</v>
      </c>
      <c r="Q26">
        <v>1</v>
      </c>
      <c r="X26">
        <v>0.24</v>
      </c>
      <c r="Y26">
        <v>49.83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0.24</v>
      </c>
      <c r="AH26">
        <v>2</v>
      </c>
      <c r="AI26">
        <v>75705539</v>
      </c>
      <c r="AJ26">
        <v>28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ROW(Source!A73)</f>
        <v>73</v>
      </c>
      <c r="B27">
        <v>75705708</v>
      </c>
      <c r="C27">
        <v>75705536</v>
      </c>
      <c r="D27">
        <v>75390936</v>
      </c>
      <c r="E27">
        <v>1</v>
      </c>
      <c r="F27">
        <v>1</v>
      </c>
      <c r="G27">
        <v>39</v>
      </c>
      <c r="H27">
        <v>3</v>
      </c>
      <c r="I27" t="s">
        <v>188</v>
      </c>
      <c r="J27" t="s">
        <v>189</v>
      </c>
      <c r="K27" t="s">
        <v>190</v>
      </c>
      <c r="L27">
        <v>1327</v>
      </c>
      <c r="N27">
        <v>1005</v>
      </c>
      <c r="O27" t="s">
        <v>191</v>
      </c>
      <c r="P27" t="s">
        <v>191</v>
      </c>
      <c r="Q27">
        <v>1</v>
      </c>
      <c r="X27">
        <v>1.6</v>
      </c>
      <c r="Y27">
        <v>338.51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1.6</v>
      </c>
      <c r="AH27">
        <v>2</v>
      </c>
      <c r="AI27">
        <v>75705540</v>
      </c>
      <c r="AJ27">
        <v>29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ROW(Source!A73)</f>
        <v>73</v>
      </c>
      <c r="B28">
        <v>75705709</v>
      </c>
      <c r="C28">
        <v>75705536</v>
      </c>
      <c r="D28">
        <v>75390952</v>
      </c>
      <c r="E28">
        <v>1</v>
      </c>
      <c r="F28">
        <v>1</v>
      </c>
      <c r="G28">
        <v>39</v>
      </c>
      <c r="H28">
        <v>3</v>
      </c>
      <c r="I28" t="s">
        <v>192</v>
      </c>
      <c r="J28" t="s">
        <v>193</v>
      </c>
      <c r="K28" t="s">
        <v>194</v>
      </c>
      <c r="L28">
        <v>1348</v>
      </c>
      <c r="N28">
        <v>1009</v>
      </c>
      <c r="O28" t="s">
        <v>35</v>
      </c>
      <c r="P28" t="s">
        <v>35</v>
      </c>
      <c r="Q28">
        <v>1000</v>
      </c>
      <c r="X28">
        <v>6.7999999999999996E-3</v>
      </c>
      <c r="Y28">
        <v>76204.789999999994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6.7999999999999996E-3</v>
      </c>
      <c r="AH28">
        <v>2</v>
      </c>
      <c r="AI28">
        <v>75705541</v>
      </c>
      <c r="AJ28">
        <v>30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ROW(Source!A73)</f>
        <v>73</v>
      </c>
      <c r="B29">
        <v>75705710</v>
      </c>
      <c r="C29">
        <v>75705536</v>
      </c>
      <c r="D29">
        <v>75389192</v>
      </c>
      <c r="E29">
        <v>1</v>
      </c>
      <c r="F29">
        <v>1</v>
      </c>
      <c r="G29">
        <v>39</v>
      </c>
      <c r="H29">
        <v>3</v>
      </c>
      <c r="I29" t="s">
        <v>210</v>
      </c>
      <c r="J29" t="s">
        <v>211</v>
      </c>
      <c r="K29" t="s">
        <v>212</v>
      </c>
      <c r="L29">
        <v>1346</v>
      </c>
      <c r="N29">
        <v>1009</v>
      </c>
      <c r="O29" t="s">
        <v>184</v>
      </c>
      <c r="P29" t="s">
        <v>184</v>
      </c>
      <c r="Q29">
        <v>1</v>
      </c>
      <c r="X29">
        <v>24.8</v>
      </c>
      <c r="Y29">
        <v>157.52000000000001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24.8</v>
      </c>
      <c r="AH29">
        <v>2</v>
      </c>
      <c r="AI29">
        <v>75705542</v>
      </c>
      <c r="AJ29">
        <v>31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ROW(Source!A73)</f>
        <v>73</v>
      </c>
      <c r="B30">
        <v>75705711</v>
      </c>
      <c r="C30">
        <v>75705536</v>
      </c>
      <c r="D30">
        <v>75389195</v>
      </c>
      <c r="E30">
        <v>1</v>
      </c>
      <c r="F30">
        <v>1</v>
      </c>
      <c r="G30">
        <v>39</v>
      </c>
      <c r="H30">
        <v>3</v>
      </c>
      <c r="I30" t="s">
        <v>198</v>
      </c>
      <c r="J30" t="s">
        <v>199</v>
      </c>
      <c r="K30" t="s">
        <v>200</v>
      </c>
      <c r="L30">
        <v>1346</v>
      </c>
      <c r="N30">
        <v>1009</v>
      </c>
      <c r="O30" t="s">
        <v>184</v>
      </c>
      <c r="P30" t="s">
        <v>184</v>
      </c>
      <c r="Q30">
        <v>1</v>
      </c>
      <c r="X30">
        <v>14</v>
      </c>
      <c r="Y30">
        <v>80.599999999999994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14</v>
      </c>
      <c r="AH30">
        <v>2</v>
      </c>
      <c r="AI30">
        <v>75705543</v>
      </c>
      <c r="AJ30">
        <v>32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ROW(Source!A74)</f>
        <v>74</v>
      </c>
      <c r="B31">
        <v>75705712</v>
      </c>
      <c r="C31">
        <v>75705551</v>
      </c>
      <c r="D31">
        <v>75386788</v>
      </c>
      <c r="E31">
        <v>39</v>
      </c>
      <c r="F31">
        <v>1</v>
      </c>
      <c r="G31">
        <v>39</v>
      </c>
      <c r="H31">
        <v>1</v>
      </c>
      <c r="I31" t="s">
        <v>174</v>
      </c>
      <c r="J31" t="s">
        <v>3</v>
      </c>
      <c r="K31" t="s">
        <v>175</v>
      </c>
      <c r="L31">
        <v>1191</v>
      </c>
      <c r="N31">
        <v>1013</v>
      </c>
      <c r="O31" t="s">
        <v>176</v>
      </c>
      <c r="P31" t="s">
        <v>176</v>
      </c>
      <c r="Q31">
        <v>1</v>
      </c>
      <c r="X31">
        <v>17.79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3</v>
      </c>
      <c r="AG31">
        <v>17.79</v>
      </c>
      <c r="AH31">
        <v>2</v>
      </c>
      <c r="AI31">
        <v>75705552</v>
      </c>
      <c r="AJ31">
        <v>33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ROW(Source!A76)</f>
        <v>76</v>
      </c>
      <c r="B32">
        <v>75705713</v>
      </c>
      <c r="C32">
        <v>75705556</v>
      </c>
      <c r="D32">
        <v>75386788</v>
      </c>
      <c r="E32">
        <v>39</v>
      </c>
      <c r="F32">
        <v>1</v>
      </c>
      <c r="G32">
        <v>39</v>
      </c>
      <c r="H32">
        <v>1</v>
      </c>
      <c r="I32" t="s">
        <v>174</v>
      </c>
      <c r="J32" t="s">
        <v>3</v>
      </c>
      <c r="K32" t="s">
        <v>175</v>
      </c>
      <c r="L32">
        <v>1191</v>
      </c>
      <c r="N32">
        <v>1013</v>
      </c>
      <c r="O32" t="s">
        <v>176</v>
      </c>
      <c r="P32" t="s">
        <v>176</v>
      </c>
      <c r="Q32">
        <v>1</v>
      </c>
      <c r="X32">
        <v>3.66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3</v>
      </c>
      <c r="AG32">
        <v>3.66</v>
      </c>
      <c r="AH32">
        <v>2</v>
      </c>
      <c r="AI32">
        <v>75705557</v>
      </c>
      <c r="AJ32">
        <v>35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ROW(Source!A76)</f>
        <v>76</v>
      </c>
      <c r="B33">
        <v>75705714</v>
      </c>
      <c r="C33">
        <v>75705556</v>
      </c>
      <c r="D33">
        <v>75388550</v>
      </c>
      <c r="E33">
        <v>1</v>
      </c>
      <c r="F33">
        <v>1</v>
      </c>
      <c r="G33">
        <v>39</v>
      </c>
      <c r="H33">
        <v>2</v>
      </c>
      <c r="I33" t="s">
        <v>213</v>
      </c>
      <c r="J33" t="s">
        <v>214</v>
      </c>
      <c r="K33" t="s">
        <v>215</v>
      </c>
      <c r="L33">
        <v>1368</v>
      </c>
      <c r="N33">
        <v>1011</v>
      </c>
      <c r="O33" t="s">
        <v>26</v>
      </c>
      <c r="P33" t="s">
        <v>26</v>
      </c>
      <c r="Q33">
        <v>1</v>
      </c>
      <c r="X33">
        <v>0.48</v>
      </c>
      <c r="Y33">
        <v>0</v>
      </c>
      <c r="Z33">
        <v>7.44</v>
      </c>
      <c r="AA33">
        <v>0.01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0.48</v>
      </c>
      <c r="AH33">
        <v>2</v>
      </c>
      <c r="AI33">
        <v>75705558</v>
      </c>
      <c r="AJ33">
        <v>36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ROW(Source!A77)</f>
        <v>77</v>
      </c>
      <c r="B34">
        <v>75705715</v>
      </c>
      <c r="C34">
        <v>75705561</v>
      </c>
      <c r="D34">
        <v>75386788</v>
      </c>
      <c r="E34">
        <v>39</v>
      </c>
      <c r="F34">
        <v>1</v>
      </c>
      <c r="G34">
        <v>39</v>
      </c>
      <c r="H34">
        <v>1</v>
      </c>
      <c r="I34" t="s">
        <v>174</v>
      </c>
      <c r="J34" t="s">
        <v>3</v>
      </c>
      <c r="K34" t="s">
        <v>175</v>
      </c>
      <c r="L34">
        <v>1191</v>
      </c>
      <c r="N34">
        <v>1013</v>
      </c>
      <c r="O34" t="s">
        <v>176</v>
      </c>
      <c r="P34" t="s">
        <v>176</v>
      </c>
      <c r="Q34">
        <v>1</v>
      </c>
      <c r="X34">
        <v>2.25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3</v>
      </c>
      <c r="AG34">
        <v>2.25</v>
      </c>
      <c r="AH34">
        <v>2</v>
      </c>
      <c r="AI34">
        <v>75705562</v>
      </c>
      <c r="AJ34">
        <v>37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ROW(Source!A77)</f>
        <v>77</v>
      </c>
      <c r="B35">
        <v>75705716</v>
      </c>
      <c r="C35">
        <v>75705561</v>
      </c>
      <c r="D35">
        <v>75386789</v>
      </c>
      <c r="E35">
        <v>39</v>
      </c>
      <c r="F35">
        <v>1</v>
      </c>
      <c r="G35">
        <v>39</v>
      </c>
      <c r="H35">
        <v>3</v>
      </c>
      <c r="I35" t="s">
        <v>208</v>
      </c>
      <c r="J35" t="s">
        <v>3</v>
      </c>
      <c r="K35" t="s">
        <v>209</v>
      </c>
      <c r="L35">
        <v>1348</v>
      </c>
      <c r="N35">
        <v>1009</v>
      </c>
      <c r="O35" t="s">
        <v>35</v>
      </c>
      <c r="P35" t="s">
        <v>35</v>
      </c>
      <c r="Q35">
        <v>1000</v>
      </c>
      <c r="X35">
        <v>7.0000000000000001E-3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7.0000000000000001E-3</v>
      </c>
      <c r="AH35">
        <v>2</v>
      </c>
      <c r="AI35">
        <v>75705563</v>
      </c>
      <c r="AJ35">
        <v>38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ROW(Source!A78)</f>
        <v>78</v>
      </c>
      <c r="B36">
        <v>75705717</v>
      </c>
      <c r="C36">
        <v>75705566</v>
      </c>
      <c r="D36">
        <v>75386788</v>
      </c>
      <c r="E36">
        <v>39</v>
      </c>
      <c r="F36">
        <v>1</v>
      </c>
      <c r="G36">
        <v>39</v>
      </c>
      <c r="H36">
        <v>1</v>
      </c>
      <c r="I36" t="s">
        <v>174</v>
      </c>
      <c r="J36" t="s">
        <v>3</v>
      </c>
      <c r="K36" t="s">
        <v>175</v>
      </c>
      <c r="L36">
        <v>1191</v>
      </c>
      <c r="N36">
        <v>1013</v>
      </c>
      <c r="O36" t="s">
        <v>176</v>
      </c>
      <c r="P36" t="s">
        <v>176</v>
      </c>
      <c r="Q36">
        <v>1</v>
      </c>
      <c r="X36">
        <v>17.260000000000002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3</v>
      </c>
      <c r="AG36">
        <v>17.260000000000002</v>
      </c>
      <c r="AH36">
        <v>2</v>
      </c>
      <c r="AI36">
        <v>75705567</v>
      </c>
      <c r="AJ36">
        <v>39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ROW(Source!A78)</f>
        <v>78</v>
      </c>
      <c r="B37">
        <v>75705718</v>
      </c>
      <c r="C37">
        <v>75705566</v>
      </c>
      <c r="D37">
        <v>75388586</v>
      </c>
      <c r="E37">
        <v>1</v>
      </c>
      <c r="F37">
        <v>1</v>
      </c>
      <c r="G37">
        <v>39</v>
      </c>
      <c r="H37">
        <v>2</v>
      </c>
      <c r="I37" t="s">
        <v>216</v>
      </c>
      <c r="J37" t="s">
        <v>217</v>
      </c>
      <c r="K37" t="s">
        <v>218</v>
      </c>
      <c r="L37">
        <v>1368</v>
      </c>
      <c r="N37">
        <v>1011</v>
      </c>
      <c r="O37" t="s">
        <v>26</v>
      </c>
      <c r="P37" t="s">
        <v>26</v>
      </c>
      <c r="Q37">
        <v>1</v>
      </c>
      <c r="X37">
        <v>4.8499999999999996</v>
      </c>
      <c r="Y37">
        <v>0</v>
      </c>
      <c r="Z37">
        <v>10.7</v>
      </c>
      <c r="AA37">
        <v>1.91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4.8499999999999996</v>
      </c>
      <c r="AH37">
        <v>2</v>
      </c>
      <c r="AI37">
        <v>75705568</v>
      </c>
      <c r="AJ37">
        <v>40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ROW(Source!A78)</f>
        <v>78</v>
      </c>
      <c r="B38">
        <v>75705719</v>
      </c>
      <c r="C38">
        <v>75705566</v>
      </c>
      <c r="D38">
        <v>75388550</v>
      </c>
      <c r="E38">
        <v>1</v>
      </c>
      <c r="F38">
        <v>1</v>
      </c>
      <c r="G38">
        <v>39</v>
      </c>
      <c r="H38">
        <v>2</v>
      </c>
      <c r="I38" t="s">
        <v>213</v>
      </c>
      <c r="J38" t="s">
        <v>214</v>
      </c>
      <c r="K38" t="s">
        <v>215</v>
      </c>
      <c r="L38">
        <v>1368</v>
      </c>
      <c r="N38">
        <v>1011</v>
      </c>
      <c r="O38" t="s">
        <v>26</v>
      </c>
      <c r="P38" t="s">
        <v>26</v>
      </c>
      <c r="Q38">
        <v>1</v>
      </c>
      <c r="X38">
        <v>0.48</v>
      </c>
      <c r="Y38">
        <v>0</v>
      </c>
      <c r="Z38">
        <v>7.44</v>
      </c>
      <c r="AA38">
        <v>0.01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0.48</v>
      </c>
      <c r="AH38">
        <v>2</v>
      </c>
      <c r="AI38">
        <v>75705569</v>
      </c>
      <c r="AJ38">
        <v>41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ROW(Source!A78)</f>
        <v>78</v>
      </c>
      <c r="B39">
        <v>75705720</v>
      </c>
      <c r="C39">
        <v>75705566</v>
      </c>
      <c r="D39">
        <v>75389734</v>
      </c>
      <c r="E39">
        <v>1</v>
      </c>
      <c r="F39">
        <v>1</v>
      </c>
      <c r="G39">
        <v>39</v>
      </c>
      <c r="H39">
        <v>3</v>
      </c>
      <c r="I39" t="s">
        <v>219</v>
      </c>
      <c r="J39" t="s">
        <v>220</v>
      </c>
      <c r="K39" t="s">
        <v>221</v>
      </c>
      <c r="L39">
        <v>1348</v>
      </c>
      <c r="N39">
        <v>1009</v>
      </c>
      <c r="O39" t="s">
        <v>35</v>
      </c>
      <c r="P39" t="s">
        <v>35</v>
      </c>
      <c r="Q39">
        <v>1000</v>
      </c>
      <c r="X39">
        <v>2.2200000000000002E-3</v>
      </c>
      <c r="Y39">
        <v>199923.02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2.2200000000000002E-3</v>
      </c>
      <c r="AH39">
        <v>2</v>
      </c>
      <c r="AI39">
        <v>75705570</v>
      </c>
      <c r="AJ39">
        <v>42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ROW(Source!A78)</f>
        <v>78</v>
      </c>
      <c r="B40">
        <v>75705721</v>
      </c>
      <c r="C40">
        <v>75705566</v>
      </c>
      <c r="D40">
        <v>75389824</v>
      </c>
      <c r="E40">
        <v>1</v>
      </c>
      <c r="F40">
        <v>1</v>
      </c>
      <c r="G40">
        <v>39</v>
      </c>
      <c r="H40">
        <v>3</v>
      </c>
      <c r="I40" t="s">
        <v>222</v>
      </c>
      <c r="J40" t="s">
        <v>223</v>
      </c>
      <c r="K40" t="s">
        <v>224</v>
      </c>
      <c r="L40">
        <v>1354</v>
      </c>
      <c r="N40">
        <v>1010</v>
      </c>
      <c r="O40" t="s">
        <v>116</v>
      </c>
      <c r="P40" t="s">
        <v>116</v>
      </c>
      <c r="Q40">
        <v>1</v>
      </c>
      <c r="X40">
        <v>120</v>
      </c>
      <c r="Y40">
        <v>2.31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120</v>
      </c>
      <c r="AH40">
        <v>2</v>
      </c>
      <c r="AI40">
        <v>75705571</v>
      </c>
      <c r="AJ40">
        <v>43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ROW(Source!A78)</f>
        <v>78</v>
      </c>
      <c r="B41">
        <v>75705722</v>
      </c>
      <c r="C41">
        <v>75705566</v>
      </c>
      <c r="D41">
        <v>75394651</v>
      </c>
      <c r="E41">
        <v>1</v>
      </c>
      <c r="F41">
        <v>1</v>
      </c>
      <c r="G41">
        <v>39</v>
      </c>
      <c r="H41">
        <v>3</v>
      </c>
      <c r="I41" t="s">
        <v>225</v>
      </c>
      <c r="J41" t="s">
        <v>226</v>
      </c>
      <c r="K41" t="s">
        <v>227</v>
      </c>
      <c r="L41">
        <v>1301</v>
      </c>
      <c r="N41">
        <v>1003</v>
      </c>
      <c r="O41" t="s">
        <v>204</v>
      </c>
      <c r="P41" t="s">
        <v>204</v>
      </c>
      <c r="Q41">
        <v>1</v>
      </c>
      <c r="X41">
        <v>102</v>
      </c>
      <c r="Y41">
        <v>26.18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102</v>
      </c>
      <c r="AH41">
        <v>2</v>
      </c>
      <c r="AI41">
        <v>75705572</v>
      </c>
      <c r="AJ41">
        <v>44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ROW(Source!A78)</f>
        <v>78</v>
      </c>
      <c r="B42">
        <v>75705723</v>
      </c>
      <c r="C42">
        <v>75705566</v>
      </c>
      <c r="D42">
        <v>75397884</v>
      </c>
      <c r="E42">
        <v>1</v>
      </c>
      <c r="F42">
        <v>1</v>
      </c>
      <c r="G42">
        <v>39</v>
      </c>
      <c r="H42">
        <v>3</v>
      </c>
      <c r="I42" t="s">
        <v>228</v>
      </c>
      <c r="J42" t="s">
        <v>229</v>
      </c>
      <c r="K42" t="s">
        <v>230</v>
      </c>
      <c r="L42">
        <v>1355</v>
      </c>
      <c r="N42">
        <v>1010</v>
      </c>
      <c r="O42" t="s">
        <v>231</v>
      </c>
      <c r="P42" t="s">
        <v>231</v>
      </c>
      <c r="Q42">
        <v>100</v>
      </c>
      <c r="X42">
        <v>1</v>
      </c>
      <c r="Y42">
        <v>403.69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</v>
      </c>
      <c r="AH42">
        <v>2</v>
      </c>
      <c r="AI42">
        <v>75705573</v>
      </c>
      <c r="AJ42">
        <v>45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ROW(Source!A78)</f>
        <v>78</v>
      </c>
      <c r="B43">
        <v>75705724</v>
      </c>
      <c r="C43">
        <v>75705566</v>
      </c>
      <c r="D43">
        <v>75397606</v>
      </c>
      <c r="E43">
        <v>1</v>
      </c>
      <c r="F43">
        <v>1</v>
      </c>
      <c r="G43">
        <v>39</v>
      </c>
      <c r="H43">
        <v>3</v>
      </c>
      <c r="I43" t="s">
        <v>132</v>
      </c>
      <c r="J43" t="s">
        <v>134</v>
      </c>
      <c r="K43" t="s">
        <v>133</v>
      </c>
      <c r="L43">
        <v>1354</v>
      </c>
      <c r="N43">
        <v>1010</v>
      </c>
      <c r="O43" t="s">
        <v>116</v>
      </c>
      <c r="P43" t="s">
        <v>116</v>
      </c>
      <c r="Q43">
        <v>1</v>
      </c>
      <c r="X43">
        <v>5</v>
      </c>
      <c r="Y43">
        <v>63.77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5</v>
      </c>
      <c r="AH43">
        <v>2</v>
      </c>
      <c r="AI43">
        <v>75705585</v>
      </c>
      <c r="AJ43">
        <v>46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ROW(Source!A78)</f>
        <v>78</v>
      </c>
      <c r="B44">
        <v>75705725</v>
      </c>
      <c r="C44">
        <v>75705566</v>
      </c>
      <c r="D44">
        <v>75392921</v>
      </c>
      <c r="E44">
        <v>1</v>
      </c>
      <c r="F44">
        <v>1</v>
      </c>
      <c r="G44">
        <v>39</v>
      </c>
      <c r="H44">
        <v>3</v>
      </c>
      <c r="I44" t="s">
        <v>232</v>
      </c>
      <c r="J44" t="s">
        <v>233</v>
      </c>
      <c r="K44" t="s">
        <v>234</v>
      </c>
      <c r="L44">
        <v>1354</v>
      </c>
      <c r="N44">
        <v>1010</v>
      </c>
      <c r="O44" t="s">
        <v>116</v>
      </c>
      <c r="P44" t="s">
        <v>116</v>
      </c>
      <c r="Q44">
        <v>1</v>
      </c>
      <c r="X44">
        <v>1.5</v>
      </c>
      <c r="Y44">
        <v>335.08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1.5</v>
      </c>
      <c r="AH44">
        <v>2</v>
      </c>
      <c r="AI44">
        <v>75705574</v>
      </c>
      <c r="AJ44">
        <v>48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ROW(Source!A81)</f>
        <v>81</v>
      </c>
      <c r="B45">
        <v>75705726</v>
      </c>
      <c r="C45">
        <v>75705588</v>
      </c>
      <c r="D45">
        <v>75386788</v>
      </c>
      <c r="E45">
        <v>39</v>
      </c>
      <c r="F45">
        <v>1</v>
      </c>
      <c r="G45">
        <v>39</v>
      </c>
      <c r="H45">
        <v>1</v>
      </c>
      <c r="I45" t="s">
        <v>174</v>
      </c>
      <c r="J45" t="s">
        <v>3</v>
      </c>
      <c r="K45" t="s">
        <v>175</v>
      </c>
      <c r="L45">
        <v>1191</v>
      </c>
      <c r="N45">
        <v>1013</v>
      </c>
      <c r="O45" t="s">
        <v>176</v>
      </c>
      <c r="P45" t="s">
        <v>176</v>
      </c>
      <c r="Q45">
        <v>1</v>
      </c>
      <c r="X45">
        <v>8.2899999999999991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</v>
      </c>
      <c r="AG45">
        <v>8.2899999999999991</v>
      </c>
      <c r="AH45">
        <v>2</v>
      </c>
      <c r="AI45">
        <v>75705589</v>
      </c>
      <c r="AJ45">
        <v>49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ROW(Source!A83)</f>
        <v>83</v>
      </c>
      <c r="B46">
        <v>75705727</v>
      </c>
      <c r="C46">
        <v>75705593</v>
      </c>
      <c r="D46">
        <v>75386788</v>
      </c>
      <c r="E46">
        <v>39</v>
      </c>
      <c r="F46">
        <v>1</v>
      </c>
      <c r="G46">
        <v>39</v>
      </c>
      <c r="H46">
        <v>1</v>
      </c>
      <c r="I46" t="s">
        <v>174</v>
      </c>
      <c r="J46" t="s">
        <v>3</v>
      </c>
      <c r="K46" t="s">
        <v>175</v>
      </c>
      <c r="L46">
        <v>1191</v>
      </c>
      <c r="N46">
        <v>1013</v>
      </c>
      <c r="O46" t="s">
        <v>176</v>
      </c>
      <c r="P46" t="s">
        <v>176</v>
      </c>
      <c r="Q46">
        <v>1</v>
      </c>
      <c r="X46">
        <v>5.92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1</v>
      </c>
      <c r="AF46" t="s">
        <v>3</v>
      </c>
      <c r="AG46">
        <v>5.92</v>
      </c>
      <c r="AH46">
        <v>2</v>
      </c>
      <c r="AI46">
        <v>75705594</v>
      </c>
      <c r="AJ46">
        <v>51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ROW(Source!A85)</f>
        <v>85</v>
      </c>
      <c r="B47">
        <v>75705728</v>
      </c>
      <c r="C47">
        <v>75705598</v>
      </c>
      <c r="D47">
        <v>75386788</v>
      </c>
      <c r="E47">
        <v>39</v>
      </c>
      <c r="F47">
        <v>1</v>
      </c>
      <c r="G47">
        <v>39</v>
      </c>
      <c r="H47">
        <v>1</v>
      </c>
      <c r="I47" t="s">
        <v>174</v>
      </c>
      <c r="J47" t="s">
        <v>3</v>
      </c>
      <c r="K47" t="s">
        <v>175</v>
      </c>
      <c r="L47">
        <v>1191</v>
      </c>
      <c r="N47">
        <v>1013</v>
      </c>
      <c r="O47" t="s">
        <v>176</v>
      </c>
      <c r="P47" t="s">
        <v>176</v>
      </c>
      <c r="Q47">
        <v>1</v>
      </c>
      <c r="X47">
        <v>3.01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</v>
      </c>
      <c r="AG47">
        <v>3.01</v>
      </c>
      <c r="AH47">
        <v>2</v>
      </c>
      <c r="AI47">
        <v>75705599</v>
      </c>
      <c r="AJ47">
        <v>53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ROW(Source!A85)</f>
        <v>85</v>
      </c>
      <c r="B48">
        <v>75705729</v>
      </c>
      <c r="C48">
        <v>75705598</v>
      </c>
      <c r="D48">
        <v>75390706</v>
      </c>
      <c r="E48">
        <v>1</v>
      </c>
      <c r="F48">
        <v>1</v>
      </c>
      <c r="G48">
        <v>39</v>
      </c>
      <c r="H48">
        <v>3</v>
      </c>
      <c r="I48" t="s">
        <v>201</v>
      </c>
      <c r="J48" t="s">
        <v>202</v>
      </c>
      <c r="K48" t="s">
        <v>203</v>
      </c>
      <c r="L48">
        <v>1301</v>
      </c>
      <c r="N48">
        <v>1003</v>
      </c>
      <c r="O48" t="s">
        <v>204</v>
      </c>
      <c r="P48" t="s">
        <v>204</v>
      </c>
      <c r="Q48">
        <v>1</v>
      </c>
      <c r="X48">
        <v>105</v>
      </c>
      <c r="Y48">
        <v>2.2400000000000002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105</v>
      </c>
      <c r="AH48">
        <v>2</v>
      </c>
      <c r="AI48">
        <v>75705600</v>
      </c>
      <c r="AJ48">
        <v>54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ROW(Source!A85)</f>
        <v>85</v>
      </c>
      <c r="B49">
        <v>75705730</v>
      </c>
      <c r="C49">
        <v>75705598</v>
      </c>
      <c r="D49">
        <v>75390808</v>
      </c>
      <c r="E49">
        <v>1</v>
      </c>
      <c r="F49">
        <v>1</v>
      </c>
      <c r="G49">
        <v>39</v>
      </c>
      <c r="H49">
        <v>3</v>
      </c>
      <c r="I49" t="s">
        <v>205</v>
      </c>
      <c r="J49" t="s">
        <v>206</v>
      </c>
      <c r="K49" t="s">
        <v>207</v>
      </c>
      <c r="L49">
        <v>1327</v>
      </c>
      <c r="N49">
        <v>1005</v>
      </c>
      <c r="O49" t="s">
        <v>191</v>
      </c>
      <c r="P49" t="s">
        <v>191</v>
      </c>
      <c r="Q49">
        <v>1</v>
      </c>
      <c r="X49">
        <v>112.2</v>
      </c>
      <c r="Y49">
        <v>10.62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112.2</v>
      </c>
      <c r="AH49">
        <v>2</v>
      </c>
      <c r="AI49">
        <v>75705601</v>
      </c>
      <c r="AJ49">
        <v>55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ROW(Source!A86)</f>
        <v>86</v>
      </c>
      <c r="B50">
        <v>75705731</v>
      </c>
      <c r="C50">
        <v>75705605</v>
      </c>
      <c r="D50">
        <v>75386788</v>
      </c>
      <c r="E50">
        <v>39</v>
      </c>
      <c r="F50">
        <v>1</v>
      </c>
      <c r="G50">
        <v>39</v>
      </c>
      <c r="H50">
        <v>1</v>
      </c>
      <c r="I50" t="s">
        <v>174</v>
      </c>
      <c r="J50" t="s">
        <v>3</v>
      </c>
      <c r="K50" t="s">
        <v>175</v>
      </c>
      <c r="L50">
        <v>1191</v>
      </c>
      <c r="N50">
        <v>1013</v>
      </c>
      <c r="O50" t="s">
        <v>176</v>
      </c>
      <c r="P50" t="s">
        <v>176</v>
      </c>
      <c r="Q50">
        <v>1</v>
      </c>
      <c r="X50">
        <v>2.5299999999999998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3</v>
      </c>
      <c r="AG50">
        <v>2.5299999999999998</v>
      </c>
      <c r="AH50">
        <v>2</v>
      </c>
      <c r="AI50">
        <v>75705606</v>
      </c>
      <c r="AJ50">
        <v>56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ROW(Source!A86)</f>
        <v>86</v>
      </c>
      <c r="B51">
        <v>75705732</v>
      </c>
      <c r="C51">
        <v>75705605</v>
      </c>
      <c r="D51">
        <v>75386789</v>
      </c>
      <c r="E51">
        <v>39</v>
      </c>
      <c r="F51">
        <v>1</v>
      </c>
      <c r="G51">
        <v>39</v>
      </c>
      <c r="H51">
        <v>3</v>
      </c>
      <c r="I51" t="s">
        <v>208</v>
      </c>
      <c r="J51" t="s">
        <v>3</v>
      </c>
      <c r="K51" t="s">
        <v>209</v>
      </c>
      <c r="L51">
        <v>1348</v>
      </c>
      <c r="N51">
        <v>1009</v>
      </c>
      <c r="O51" t="s">
        <v>35</v>
      </c>
      <c r="P51" t="s">
        <v>35</v>
      </c>
      <c r="Q51">
        <v>1000</v>
      </c>
      <c r="X51">
        <v>1.4999999999999999E-2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1.4999999999999999E-2</v>
      </c>
      <c r="AH51">
        <v>2</v>
      </c>
      <c r="AI51">
        <v>75705607</v>
      </c>
      <c r="AJ51">
        <v>57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ROW(Source!A122)</f>
        <v>122</v>
      </c>
      <c r="B52">
        <v>75705947</v>
      </c>
      <c r="C52">
        <v>75705666</v>
      </c>
      <c r="D52">
        <v>75387788</v>
      </c>
      <c r="E52">
        <v>1</v>
      </c>
      <c r="F52">
        <v>1</v>
      </c>
      <c r="G52">
        <v>39</v>
      </c>
      <c r="H52">
        <v>2</v>
      </c>
      <c r="I52" t="s">
        <v>235</v>
      </c>
      <c r="J52" t="s">
        <v>236</v>
      </c>
      <c r="K52" t="s">
        <v>237</v>
      </c>
      <c r="L52">
        <v>1368</v>
      </c>
      <c r="N52">
        <v>1011</v>
      </c>
      <c r="O52" t="s">
        <v>26</v>
      </c>
      <c r="P52" t="s">
        <v>26</v>
      </c>
      <c r="Q52">
        <v>1</v>
      </c>
      <c r="X52">
        <v>5.3699999999999998E-2</v>
      </c>
      <c r="Y52">
        <v>0</v>
      </c>
      <c r="Z52">
        <v>2195.02</v>
      </c>
      <c r="AA52">
        <v>940.44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5.3699999999999998E-2</v>
      </c>
      <c r="AH52">
        <v>2</v>
      </c>
      <c r="AI52">
        <v>75705947</v>
      </c>
      <c r="AJ52">
        <v>58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ROW(Source!A123)</f>
        <v>123</v>
      </c>
      <c r="B53">
        <v>75705734</v>
      </c>
      <c r="C53">
        <v>75705669</v>
      </c>
      <c r="D53">
        <v>75388479</v>
      </c>
      <c r="E53">
        <v>1</v>
      </c>
      <c r="F53">
        <v>1</v>
      </c>
      <c r="G53">
        <v>39</v>
      </c>
      <c r="H53">
        <v>2</v>
      </c>
      <c r="I53" t="s">
        <v>238</v>
      </c>
      <c r="J53" t="s">
        <v>239</v>
      </c>
      <c r="K53" t="s">
        <v>240</v>
      </c>
      <c r="L53">
        <v>1368</v>
      </c>
      <c r="N53">
        <v>1011</v>
      </c>
      <c r="O53" t="s">
        <v>26</v>
      </c>
      <c r="P53" t="s">
        <v>26</v>
      </c>
      <c r="Q53">
        <v>1</v>
      </c>
      <c r="X53">
        <v>0.02</v>
      </c>
      <c r="Y53">
        <v>0</v>
      </c>
      <c r="Z53">
        <v>1552.57</v>
      </c>
      <c r="AA53">
        <v>619.16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0.02</v>
      </c>
      <c r="AH53">
        <v>2</v>
      </c>
      <c r="AI53">
        <v>75705670</v>
      </c>
      <c r="AJ53">
        <v>59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ROW(Source!A123)</f>
        <v>123</v>
      </c>
      <c r="B54">
        <v>75705735</v>
      </c>
      <c r="C54">
        <v>75705669</v>
      </c>
      <c r="D54">
        <v>75388480</v>
      </c>
      <c r="E54">
        <v>1</v>
      </c>
      <c r="F54">
        <v>1</v>
      </c>
      <c r="G54">
        <v>39</v>
      </c>
      <c r="H54">
        <v>2</v>
      </c>
      <c r="I54" t="s">
        <v>241</v>
      </c>
      <c r="J54" t="s">
        <v>242</v>
      </c>
      <c r="K54" t="s">
        <v>243</v>
      </c>
      <c r="L54">
        <v>1368</v>
      </c>
      <c r="N54">
        <v>1011</v>
      </c>
      <c r="O54" t="s">
        <v>26</v>
      </c>
      <c r="P54" t="s">
        <v>26</v>
      </c>
      <c r="Q54">
        <v>1</v>
      </c>
      <c r="X54">
        <v>1.7999999999999999E-2</v>
      </c>
      <c r="Y54">
        <v>0</v>
      </c>
      <c r="Z54">
        <v>1566.41</v>
      </c>
      <c r="AA54">
        <v>619.79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1.7999999999999999E-2</v>
      </c>
      <c r="AH54">
        <v>2</v>
      </c>
      <c r="AI54">
        <v>75705671</v>
      </c>
      <c r="AJ54">
        <v>60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ROW(Source!A124)</f>
        <v>124</v>
      </c>
      <c r="B55">
        <v>75705736</v>
      </c>
      <c r="C55">
        <v>75705674</v>
      </c>
      <c r="D55">
        <v>75388479</v>
      </c>
      <c r="E55">
        <v>1</v>
      </c>
      <c r="F55">
        <v>1</v>
      </c>
      <c r="G55">
        <v>39</v>
      </c>
      <c r="H55">
        <v>2</v>
      </c>
      <c r="I55" t="s">
        <v>238</v>
      </c>
      <c r="J55" t="s">
        <v>239</v>
      </c>
      <c r="K55" t="s">
        <v>240</v>
      </c>
      <c r="L55">
        <v>1368</v>
      </c>
      <c r="N55">
        <v>1011</v>
      </c>
      <c r="O55" t="s">
        <v>26</v>
      </c>
      <c r="P55" t="s">
        <v>26</v>
      </c>
      <c r="Q55">
        <v>1</v>
      </c>
      <c r="X55">
        <v>0.01</v>
      </c>
      <c r="Y55">
        <v>0</v>
      </c>
      <c r="Z55">
        <v>1552.57</v>
      </c>
      <c r="AA55">
        <v>619.16</v>
      </c>
      <c r="AB55">
        <v>0</v>
      </c>
      <c r="AC55">
        <v>0</v>
      </c>
      <c r="AD55">
        <v>1</v>
      </c>
      <c r="AE55">
        <v>0</v>
      </c>
      <c r="AF55" t="s">
        <v>166</v>
      </c>
      <c r="AG55">
        <v>0.48</v>
      </c>
      <c r="AH55">
        <v>2</v>
      </c>
      <c r="AI55">
        <v>75705675</v>
      </c>
      <c r="AJ55">
        <v>61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ROW(Source!A124)</f>
        <v>124</v>
      </c>
      <c r="B56">
        <v>75705737</v>
      </c>
      <c r="C56">
        <v>75705674</v>
      </c>
      <c r="D56">
        <v>75388480</v>
      </c>
      <c r="E56">
        <v>1</v>
      </c>
      <c r="F56">
        <v>1</v>
      </c>
      <c r="G56">
        <v>39</v>
      </c>
      <c r="H56">
        <v>2</v>
      </c>
      <c r="I56" t="s">
        <v>241</v>
      </c>
      <c r="J56" t="s">
        <v>242</v>
      </c>
      <c r="K56" t="s">
        <v>243</v>
      </c>
      <c r="L56">
        <v>1368</v>
      </c>
      <c r="N56">
        <v>1011</v>
      </c>
      <c r="O56" t="s">
        <v>26</v>
      </c>
      <c r="P56" t="s">
        <v>26</v>
      </c>
      <c r="Q56">
        <v>1</v>
      </c>
      <c r="X56">
        <v>8.0000000000000002E-3</v>
      </c>
      <c r="Y56">
        <v>0</v>
      </c>
      <c r="Z56">
        <v>1566.41</v>
      </c>
      <c r="AA56">
        <v>619.79</v>
      </c>
      <c r="AB56">
        <v>0</v>
      </c>
      <c r="AC56">
        <v>0</v>
      </c>
      <c r="AD56">
        <v>1</v>
      </c>
      <c r="AE56">
        <v>0</v>
      </c>
      <c r="AF56" t="s">
        <v>166</v>
      </c>
      <c r="AG56">
        <v>0.38400000000000001</v>
      </c>
      <c r="AH56">
        <v>2</v>
      </c>
      <c r="AI56">
        <v>75705676</v>
      </c>
      <c r="AJ56">
        <v>62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Смета СН-2012 по гл. 1-5</vt:lpstr>
      <vt:lpstr>Дефектная ведомость</vt:lpstr>
      <vt:lpstr>RV_DATA</vt:lpstr>
      <vt:lpstr>Расчет стоимости ресурсов</vt:lpstr>
      <vt:lpstr>Source</vt:lpstr>
      <vt:lpstr>SourceObSm</vt:lpstr>
      <vt:lpstr>SmtRes</vt:lpstr>
      <vt:lpstr>EtalonRes</vt:lpstr>
      <vt:lpstr>SrcPoprs</vt:lpstr>
      <vt:lpstr>SrcKA</vt:lpstr>
      <vt:lpstr>'Дефектная ведомость'!Заголовки_для_печати</vt:lpstr>
      <vt:lpstr>'Расчет стоимости ресурсов'!Заголовки_для_печати</vt:lpstr>
      <vt:lpstr>'Смета СН-2012 по гл. 1-5'!Заголовки_для_печати</vt:lpstr>
      <vt:lpstr>'Дефектная ведомость'!Область_печати</vt:lpstr>
      <vt:lpstr>'Расчет стоимости ресурсов'!Область_печати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2025-04-09T09:39:47Z</cp:lastPrinted>
  <dcterms:created xsi:type="dcterms:W3CDTF">2025-04-08T10:14:58Z</dcterms:created>
  <dcterms:modified xsi:type="dcterms:W3CDTF">2025-04-09T09:40:17Z</dcterms:modified>
</cp:coreProperties>
</file>