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ute\свалко\3. 1440\5. Закупки 2025\1. ЛОТЫ 2025\РЕМОНТ\Локальные сметы\"/>
    </mc:Choice>
  </mc:AlternateContent>
  <bookViews>
    <workbookView xWindow="0" yWindow="0" windowWidth="24870" windowHeight="10695"/>
  </bookViews>
  <sheets>
    <sheet name="Смета СН-2012 по гл. 1-5" sheetId="7" r:id="rId1"/>
    <sheet name="Дефектная ведомость" sheetId="8" r:id="rId2"/>
    <sheet name="RV_DATA" sheetId="10" state="hidden" r:id="rId3"/>
    <sheet name="Расчет стоимости ресурсов" sheetId="9" r:id="rId4"/>
    <sheet name="Source" sheetId="1" r:id="rId5"/>
    <sheet name="SourceObSm" sheetId="2" r:id="rId6"/>
    <sheet name="SmtRes" sheetId="3" r:id="rId7"/>
    <sheet name="EtalonRes" sheetId="4" r:id="rId8"/>
    <sheet name="SrcPoprs" sheetId="5" r:id="rId9"/>
    <sheet name="SrcKA" sheetId="6" r:id="rId10"/>
  </sheets>
  <definedNames>
    <definedName name="_xlnm.Print_Titles" localSheetId="1">'Дефектная ведомость'!$18:$18</definedName>
    <definedName name="_xlnm.Print_Titles" localSheetId="3">'Расчет стоимости ресурсов'!$4:$7</definedName>
    <definedName name="_xlnm.Print_Titles" localSheetId="0">'Смета СН-2012 по гл. 1-5'!$30:$30</definedName>
    <definedName name="_xlnm.Print_Area" localSheetId="1">'Дефектная ведомость'!$A$1:$E$79</definedName>
    <definedName name="_xlnm.Print_Area" localSheetId="3">'Расчет стоимости ресурсов'!$A$1:$F$100</definedName>
    <definedName name="_xlnm.Print_Area" localSheetId="0">'Смета СН-2012 по гл. 1-5'!$A$1:$K$323</definedName>
  </definedNames>
  <calcPr calcId="152511"/>
</workbook>
</file>

<file path=xl/calcChain.xml><?xml version="1.0" encoding="utf-8"?>
<calcChain xmlns="http://schemas.openxmlformats.org/spreadsheetml/2006/main">
  <c r="E98" i="9" l="1"/>
  <c r="A94" i="9"/>
  <c r="A89" i="9"/>
  <c r="E86" i="9"/>
  <c r="D86" i="9"/>
  <c r="F87" i="9"/>
  <c r="A84" i="9"/>
  <c r="E74" i="9"/>
  <c r="D74" i="9"/>
  <c r="E81" i="9"/>
  <c r="D81" i="9"/>
  <c r="F68" i="9"/>
  <c r="E68" i="9"/>
  <c r="E72" i="9"/>
  <c r="D72" i="9"/>
  <c r="E77" i="9"/>
  <c r="D77" i="9"/>
  <c r="D69" i="9"/>
  <c r="E64" i="9"/>
  <c r="D64" i="9"/>
  <c r="A62" i="9"/>
  <c r="E59" i="9"/>
  <c r="A56" i="9"/>
  <c r="E49" i="9"/>
  <c r="D49" i="9"/>
  <c r="F52" i="9"/>
  <c r="E52" i="9"/>
  <c r="D54" i="9"/>
  <c r="A47" i="9"/>
  <c r="E39" i="9"/>
  <c r="D39" i="9"/>
  <c r="F40" i="9"/>
  <c r="F42" i="9"/>
  <c r="E42" i="9"/>
  <c r="D42" i="9"/>
  <c r="D45" i="9"/>
  <c r="A37" i="9"/>
  <c r="D28" i="9"/>
  <c r="E35" i="9"/>
  <c r="E29" i="9"/>
  <c r="D29" i="9"/>
  <c r="F25" i="9"/>
  <c r="E30" i="9"/>
  <c r="D30" i="9"/>
  <c r="F33" i="9"/>
  <c r="E33" i="9"/>
  <c r="D13" i="9"/>
  <c r="E16" i="9"/>
  <c r="E15" i="9"/>
  <c r="E17" i="9"/>
  <c r="D17" i="9"/>
  <c r="A10" i="9"/>
  <c r="A9" i="9"/>
  <c r="A8" i="9"/>
  <c r="A3" i="9"/>
  <c r="Z94" i="10"/>
  <c r="Q94" i="10"/>
  <c r="T94" i="10" s="1"/>
  <c r="S94" i="10"/>
  <c r="P94" i="10"/>
  <c r="L94" i="10"/>
  <c r="N94" i="10"/>
  <c r="K94" i="10"/>
  <c r="J94" i="10"/>
  <c r="I94" i="10"/>
  <c r="H94" i="10"/>
  <c r="G94" i="10"/>
  <c r="F94" i="10"/>
  <c r="E94" i="10"/>
  <c r="Z93" i="10"/>
  <c r="Q93" i="10"/>
  <c r="T93" i="10" s="1"/>
  <c r="S93" i="10"/>
  <c r="P93" i="10"/>
  <c r="O93" i="10"/>
  <c r="M93" i="10"/>
  <c r="L93" i="10"/>
  <c r="N93" i="10"/>
  <c r="K93" i="10"/>
  <c r="J93" i="10"/>
  <c r="I93" i="10"/>
  <c r="H93" i="10"/>
  <c r="G93" i="10"/>
  <c r="F93" i="10"/>
  <c r="E93" i="10"/>
  <c r="Z92" i="10"/>
  <c r="R92" i="10"/>
  <c r="Q92" i="10"/>
  <c r="T92" i="10" s="1"/>
  <c r="S92" i="10"/>
  <c r="P92" i="10"/>
  <c r="O92" i="10"/>
  <c r="M92" i="10"/>
  <c r="L92" i="10"/>
  <c r="N92" i="10"/>
  <c r="K92" i="10"/>
  <c r="E97" i="9" s="1"/>
  <c r="J92" i="10"/>
  <c r="I92" i="10"/>
  <c r="D97" i="9" s="1"/>
  <c r="H92" i="10"/>
  <c r="G92" i="10"/>
  <c r="F92" i="10"/>
  <c r="E92" i="10"/>
  <c r="Z91" i="10"/>
  <c r="Q91" i="10"/>
  <c r="T91" i="10" s="1"/>
  <c r="S91" i="10"/>
  <c r="P91" i="10"/>
  <c r="O91" i="10"/>
  <c r="L91" i="10"/>
  <c r="M91" i="10" s="1"/>
  <c r="N91" i="10"/>
  <c r="K91" i="10"/>
  <c r="J91" i="10"/>
  <c r="I91" i="10"/>
  <c r="D98" i="9" s="1"/>
  <c r="H91" i="10"/>
  <c r="G91" i="10"/>
  <c r="F91" i="10"/>
  <c r="E91" i="10"/>
  <c r="Z90" i="10"/>
  <c r="Q90" i="10"/>
  <c r="R90" i="10" s="1"/>
  <c r="S90" i="10"/>
  <c r="P90" i="10"/>
  <c r="L90" i="10"/>
  <c r="O90" i="10" s="1"/>
  <c r="N90" i="10"/>
  <c r="K90" i="10"/>
  <c r="E96" i="9" s="1"/>
  <c r="J90" i="10"/>
  <c r="I90" i="10"/>
  <c r="D96" i="9" s="1"/>
  <c r="H90" i="10"/>
  <c r="G90" i="10"/>
  <c r="F90" i="10"/>
  <c r="E90" i="10"/>
  <c r="G89" i="10"/>
  <c r="A89" i="10"/>
  <c r="Z88" i="10"/>
  <c r="T88" i="10"/>
  <c r="S88" i="10"/>
  <c r="P88" i="10"/>
  <c r="N88" i="10"/>
  <c r="K88" i="10"/>
  <c r="M88" i="10" s="1"/>
  <c r="F92" i="9" s="1"/>
  <c r="I88" i="10"/>
  <c r="H88" i="10"/>
  <c r="G88" i="10"/>
  <c r="F88" i="10"/>
  <c r="E88" i="10"/>
  <c r="D88" i="10"/>
  <c r="A88" i="10"/>
  <c r="Z87" i="10"/>
  <c r="T87" i="10"/>
  <c r="R87" i="10"/>
  <c r="Q87" i="10"/>
  <c r="S87" i="10"/>
  <c r="P87" i="10"/>
  <c r="L87" i="10"/>
  <c r="O87" i="10" s="1"/>
  <c r="N87" i="10"/>
  <c r="K87" i="10"/>
  <c r="E91" i="9" s="1"/>
  <c r="J87" i="10"/>
  <c r="I87" i="10"/>
  <c r="D91" i="9" s="1"/>
  <c r="H87" i="10"/>
  <c r="G87" i="10"/>
  <c r="F87" i="10"/>
  <c r="E87" i="10"/>
  <c r="G86" i="10"/>
  <c r="A86" i="10"/>
  <c r="Z85" i="10"/>
  <c r="S85" i="10"/>
  <c r="T85" i="10" s="1"/>
  <c r="P85" i="10"/>
  <c r="R85" i="10" s="1"/>
  <c r="N85" i="10"/>
  <c r="O85" i="10" s="1"/>
  <c r="M85" i="10"/>
  <c r="F86" i="9" s="1"/>
  <c r="E88" i="9" s="1"/>
  <c r="K85" i="10"/>
  <c r="I85" i="10"/>
  <c r="H85" i="10"/>
  <c r="G85" i="10"/>
  <c r="F85" i="10"/>
  <c r="E85" i="10"/>
  <c r="D85" i="10"/>
  <c r="A85" i="10"/>
  <c r="Z84" i="10"/>
  <c r="S84" i="10"/>
  <c r="T84" i="10" s="1"/>
  <c r="P84" i="10"/>
  <c r="R84" i="10" s="1"/>
  <c r="N84" i="10"/>
  <c r="O84" i="10" s="1"/>
  <c r="M84" i="10"/>
  <c r="K84" i="10"/>
  <c r="E87" i="9" s="1"/>
  <c r="I84" i="10"/>
  <c r="D87" i="9" s="1"/>
  <c r="H84" i="10"/>
  <c r="G84" i="10"/>
  <c r="F84" i="10"/>
  <c r="E84" i="10"/>
  <c r="D84" i="10"/>
  <c r="A84" i="10"/>
  <c r="G83" i="10"/>
  <c r="A83" i="10"/>
  <c r="Z82" i="10"/>
  <c r="S82" i="10"/>
  <c r="T82" i="10" s="1"/>
  <c r="P82" i="10"/>
  <c r="R82" i="10" s="1"/>
  <c r="N82" i="10"/>
  <c r="K82" i="10"/>
  <c r="M82" i="10" s="1"/>
  <c r="F74" i="9" s="1"/>
  <c r="I82" i="10"/>
  <c r="O82" i="10" s="1"/>
  <c r="H82" i="10"/>
  <c r="G82" i="10"/>
  <c r="F82" i="10"/>
  <c r="E82" i="10"/>
  <c r="D82" i="10"/>
  <c r="A82" i="10"/>
  <c r="Z81" i="10"/>
  <c r="Q81" i="10"/>
  <c r="R81" i="10" s="1"/>
  <c r="S81" i="10"/>
  <c r="P81" i="10"/>
  <c r="L81" i="10"/>
  <c r="O81" i="10" s="1"/>
  <c r="N81" i="10"/>
  <c r="K81" i="10"/>
  <c r="J81" i="10"/>
  <c r="I81" i="10"/>
  <c r="H81" i="10"/>
  <c r="G81" i="10"/>
  <c r="F81" i="10"/>
  <c r="E81" i="10"/>
  <c r="Z80" i="10"/>
  <c r="Q80" i="10"/>
  <c r="S80" i="10"/>
  <c r="P80" i="10"/>
  <c r="M80" i="10"/>
  <c r="L80" i="10"/>
  <c r="O80" i="10" s="1"/>
  <c r="N80" i="10"/>
  <c r="K80" i="10"/>
  <c r="J80" i="10"/>
  <c r="I80" i="10"/>
  <c r="H80" i="10"/>
  <c r="G80" i="10"/>
  <c r="F80" i="10"/>
  <c r="E80" i="10"/>
  <c r="Z79" i="10"/>
  <c r="T79" i="10"/>
  <c r="R79" i="10"/>
  <c r="Q79" i="10"/>
  <c r="S79" i="10"/>
  <c r="P79" i="10"/>
  <c r="L79" i="10"/>
  <c r="O79" i="10" s="1"/>
  <c r="N79" i="10"/>
  <c r="K79" i="10"/>
  <c r="J79" i="10"/>
  <c r="I79" i="10"/>
  <c r="H79" i="10"/>
  <c r="G79" i="10"/>
  <c r="F79" i="10"/>
  <c r="E79" i="10"/>
  <c r="Z78" i="10"/>
  <c r="T78" i="10"/>
  <c r="R78" i="10"/>
  <c r="Q78" i="10"/>
  <c r="S78" i="10"/>
  <c r="P78" i="10"/>
  <c r="L78" i="10"/>
  <c r="O78" i="10" s="1"/>
  <c r="N78" i="10"/>
  <c r="K78" i="10"/>
  <c r="E73" i="9" s="1"/>
  <c r="J78" i="10"/>
  <c r="I78" i="10"/>
  <c r="D73" i="9" s="1"/>
  <c r="H78" i="10"/>
  <c r="G78" i="10"/>
  <c r="F78" i="10"/>
  <c r="E78" i="10"/>
  <c r="Z77" i="10"/>
  <c r="S77" i="10"/>
  <c r="P77" i="10"/>
  <c r="R77" i="10" s="1"/>
  <c r="N77" i="10"/>
  <c r="O77" i="10" s="1"/>
  <c r="K77" i="10"/>
  <c r="I77" i="10"/>
  <c r="T77" i="10" s="1"/>
  <c r="H77" i="10"/>
  <c r="G77" i="10"/>
  <c r="F77" i="10"/>
  <c r="E77" i="10"/>
  <c r="D77" i="10"/>
  <c r="A77" i="10"/>
  <c r="Z76" i="10"/>
  <c r="T76" i="10"/>
  <c r="Q76" i="10"/>
  <c r="R76" i="10" s="1"/>
  <c r="S76" i="10"/>
  <c r="P76" i="10"/>
  <c r="L76" i="10"/>
  <c r="N76" i="10"/>
  <c r="K76" i="10"/>
  <c r="J76" i="10"/>
  <c r="I76" i="10"/>
  <c r="H76" i="10"/>
  <c r="G76" i="10"/>
  <c r="F76" i="10"/>
  <c r="E76" i="10"/>
  <c r="Z75" i="10"/>
  <c r="Q75" i="10"/>
  <c r="T75" i="10" s="1"/>
  <c r="S75" i="10"/>
  <c r="P75" i="10"/>
  <c r="O75" i="10"/>
  <c r="M75" i="10"/>
  <c r="L75" i="10"/>
  <c r="N75" i="10"/>
  <c r="K75" i="10"/>
  <c r="J75" i="10"/>
  <c r="I75" i="10"/>
  <c r="H75" i="10"/>
  <c r="G75" i="10"/>
  <c r="F75" i="10"/>
  <c r="E75" i="10"/>
  <c r="Z74" i="10"/>
  <c r="R74" i="10"/>
  <c r="Q74" i="10"/>
  <c r="T74" i="10" s="1"/>
  <c r="S74" i="10"/>
  <c r="P74" i="10"/>
  <c r="O74" i="10"/>
  <c r="M74" i="10"/>
  <c r="L74" i="10"/>
  <c r="N74" i="10"/>
  <c r="K74" i="10"/>
  <c r="J74" i="10"/>
  <c r="I74" i="10"/>
  <c r="H74" i="10"/>
  <c r="G74" i="10"/>
  <c r="F74" i="10"/>
  <c r="E74" i="10"/>
  <c r="Z73" i="10"/>
  <c r="S73" i="10"/>
  <c r="P73" i="10"/>
  <c r="R73" i="10" s="1"/>
  <c r="O73" i="10"/>
  <c r="N73" i="10"/>
  <c r="K73" i="10"/>
  <c r="M73" i="10" s="1"/>
  <c r="F81" i="9" s="1"/>
  <c r="I73" i="10"/>
  <c r="T73" i="10" s="1"/>
  <c r="H73" i="10"/>
  <c r="G73" i="10"/>
  <c r="F73" i="10"/>
  <c r="E73" i="10"/>
  <c r="D73" i="10"/>
  <c r="A73" i="10"/>
  <c r="Z72" i="10"/>
  <c r="S72" i="10"/>
  <c r="P72" i="10"/>
  <c r="R72" i="10" s="1"/>
  <c r="O72" i="10"/>
  <c r="N72" i="10"/>
  <c r="K72" i="10"/>
  <c r="E79" i="9" s="1"/>
  <c r="I72" i="10"/>
  <c r="D79" i="9" s="1"/>
  <c r="H72" i="10"/>
  <c r="G72" i="10"/>
  <c r="F72" i="10"/>
  <c r="E72" i="10"/>
  <c r="D72" i="10"/>
  <c r="A72" i="10"/>
  <c r="Z71" i="10"/>
  <c r="Q71" i="10"/>
  <c r="T71" i="10" s="1"/>
  <c r="S71" i="10"/>
  <c r="P71" i="10"/>
  <c r="O71" i="10"/>
  <c r="L71" i="10"/>
  <c r="M71" i="10" s="1"/>
  <c r="F64" i="9" s="1"/>
  <c r="E65" i="9" s="1"/>
  <c r="N71" i="10"/>
  <c r="K71" i="10"/>
  <c r="J71" i="10"/>
  <c r="I71" i="10"/>
  <c r="H71" i="10"/>
  <c r="G71" i="10"/>
  <c r="F71" i="10"/>
  <c r="E71" i="10"/>
  <c r="Z70" i="10"/>
  <c r="Q70" i="10"/>
  <c r="T70" i="10" s="1"/>
  <c r="S70" i="10"/>
  <c r="P70" i="10"/>
  <c r="L70" i="10"/>
  <c r="O70" i="10" s="1"/>
  <c r="N70" i="10"/>
  <c r="K70" i="10"/>
  <c r="E67" i="9" s="1"/>
  <c r="J70" i="10"/>
  <c r="I70" i="10"/>
  <c r="D67" i="9" s="1"/>
  <c r="H70" i="10"/>
  <c r="G70" i="10"/>
  <c r="F70" i="10"/>
  <c r="E70" i="10"/>
  <c r="Z69" i="10"/>
  <c r="Q69" i="10"/>
  <c r="S69" i="10"/>
  <c r="P69" i="10"/>
  <c r="M69" i="10"/>
  <c r="L69" i="10"/>
  <c r="O69" i="10" s="1"/>
  <c r="N69" i="10"/>
  <c r="K69" i="10"/>
  <c r="J69" i="10"/>
  <c r="I69" i="10"/>
  <c r="D68" i="9" s="1"/>
  <c r="H69" i="10"/>
  <c r="G69" i="10"/>
  <c r="F69" i="10"/>
  <c r="E69" i="10"/>
  <c r="Z68" i="10"/>
  <c r="T68" i="10"/>
  <c r="R68" i="10"/>
  <c r="Q68" i="10"/>
  <c r="S68" i="10"/>
  <c r="P68" i="10"/>
  <c r="L68" i="10"/>
  <c r="O68" i="10" s="1"/>
  <c r="N68" i="10"/>
  <c r="K68" i="10"/>
  <c r="J68" i="10"/>
  <c r="I68" i="10"/>
  <c r="H68" i="10"/>
  <c r="G68" i="10"/>
  <c r="F68" i="10"/>
  <c r="E68" i="10"/>
  <c r="Z67" i="10"/>
  <c r="T67" i="10"/>
  <c r="R67" i="10"/>
  <c r="Q67" i="10"/>
  <c r="S67" i="10"/>
  <c r="P67" i="10"/>
  <c r="L67" i="10"/>
  <c r="M67" i="10" s="1"/>
  <c r="N67" i="10"/>
  <c r="K67" i="10"/>
  <c r="E71" i="9" s="1"/>
  <c r="J67" i="10"/>
  <c r="I67" i="10"/>
  <c r="D71" i="9" s="1"/>
  <c r="H67" i="10"/>
  <c r="G67" i="10"/>
  <c r="F67" i="10"/>
  <c r="E67" i="10"/>
  <c r="Z66" i="10"/>
  <c r="T66" i="10"/>
  <c r="Q66" i="10"/>
  <c r="R66" i="10" s="1"/>
  <c r="S66" i="10"/>
  <c r="P66" i="10"/>
  <c r="L66" i="10"/>
  <c r="N66" i="10"/>
  <c r="K66" i="10"/>
  <c r="J66" i="10"/>
  <c r="I66" i="10"/>
  <c r="H66" i="10"/>
  <c r="G66" i="10"/>
  <c r="F66" i="10"/>
  <c r="E66" i="10"/>
  <c r="Z65" i="10"/>
  <c r="Q65" i="10"/>
  <c r="T65" i="10" s="1"/>
  <c r="S65" i="10"/>
  <c r="P65" i="10"/>
  <c r="O65" i="10"/>
  <c r="M65" i="10"/>
  <c r="F75" i="9" s="1"/>
  <c r="L65" i="10"/>
  <c r="N65" i="10"/>
  <c r="K65" i="10"/>
  <c r="E75" i="9" s="1"/>
  <c r="J65" i="10"/>
  <c r="I65" i="10"/>
  <c r="D75" i="9" s="1"/>
  <c r="H65" i="10"/>
  <c r="G65" i="10"/>
  <c r="F65" i="10"/>
  <c r="E65" i="10"/>
  <c r="Z64" i="10"/>
  <c r="R64" i="10"/>
  <c r="Q64" i="10"/>
  <c r="T64" i="10" s="1"/>
  <c r="S64" i="10"/>
  <c r="P64" i="10"/>
  <c r="O64" i="10"/>
  <c r="M64" i="10"/>
  <c r="L64" i="10"/>
  <c r="N64" i="10"/>
  <c r="K64" i="10"/>
  <c r="E76" i="9" s="1"/>
  <c r="J64" i="10"/>
  <c r="I64" i="10"/>
  <c r="D76" i="9" s="1"/>
  <c r="H64" i="10"/>
  <c r="G64" i="10"/>
  <c r="F64" i="10"/>
  <c r="E64" i="10"/>
  <c r="Z63" i="10"/>
  <c r="Q63" i="10"/>
  <c r="T63" i="10" s="1"/>
  <c r="S63" i="10"/>
  <c r="P63" i="10"/>
  <c r="O63" i="10"/>
  <c r="L63" i="10"/>
  <c r="M63" i="10" s="1"/>
  <c r="F77" i="9" s="1"/>
  <c r="N63" i="10"/>
  <c r="K63" i="10"/>
  <c r="J63" i="10"/>
  <c r="I63" i="10"/>
  <c r="H63" i="10"/>
  <c r="G63" i="10"/>
  <c r="F63" i="10"/>
  <c r="E63" i="10"/>
  <c r="Z62" i="10"/>
  <c r="Q62" i="10"/>
  <c r="T62" i="10" s="1"/>
  <c r="S62" i="10"/>
  <c r="P62" i="10"/>
  <c r="L62" i="10"/>
  <c r="O62" i="10" s="1"/>
  <c r="N62" i="10"/>
  <c r="K62" i="10"/>
  <c r="E78" i="9" s="1"/>
  <c r="J62" i="10"/>
  <c r="I62" i="10"/>
  <c r="D78" i="9" s="1"/>
  <c r="H62" i="10"/>
  <c r="G62" i="10"/>
  <c r="F62" i="10"/>
  <c r="E62" i="10"/>
  <c r="Z61" i="10"/>
  <c r="Q61" i="10"/>
  <c r="S61" i="10"/>
  <c r="P61" i="10"/>
  <c r="M61" i="10"/>
  <c r="L61" i="10"/>
  <c r="O61" i="10" s="1"/>
  <c r="N61" i="10"/>
  <c r="K61" i="10"/>
  <c r="E69" i="9" s="1"/>
  <c r="J61" i="10"/>
  <c r="I61" i="10"/>
  <c r="H61" i="10"/>
  <c r="G61" i="10"/>
  <c r="F61" i="10"/>
  <c r="E61" i="10"/>
  <c r="Z60" i="10"/>
  <c r="T60" i="10"/>
  <c r="R60" i="10"/>
  <c r="Q60" i="10"/>
  <c r="S60" i="10"/>
  <c r="P60" i="10"/>
  <c r="L60" i="10"/>
  <c r="O60" i="10" s="1"/>
  <c r="N60" i="10"/>
  <c r="K60" i="10"/>
  <c r="E70" i="9" s="1"/>
  <c r="J60" i="10"/>
  <c r="I60" i="10"/>
  <c r="D70" i="9" s="1"/>
  <c r="H60" i="10"/>
  <c r="G60" i="10"/>
  <c r="F60" i="10"/>
  <c r="E60" i="10"/>
  <c r="Z59" i="10"/>
  <c r="T59" i="10"/>
  <c r="R59" i="10"/>
  <c r="Q59" i="10"/>
  <c r="S59" i="10"/>
  <c r="P59" i="10"/>
  <c r="L59" i="10"/>
  <c r="M59" i="10" s="1"/>
  <c r="F80" i="9" s="1"/>
  <c r="N59" i="10"/>
  <c r="K59" i="10"/>
  <c r="E80" i="9" s="1"/>
  <c r="J59" i="10"/>
  <c r="I59" i="10"/>
  <c r="D80" i="9" s="1"/>
  <c r="H59" i="10"/>
  <c r="G59" i="10"/>
  <c r="F59" i="10"/>
  <c r="E59" i="10"/>
  <c r="G58" i="10"/>
  <c r="A58" i="10"/>
  <c r="Z57" i="10"/>
  <c r="S57" i="10"/>
  <c r="T57" i="10" s="1"/>
  <c r="P57" i="10"/>
  <c r="R57" i="10" s="1"/>
  <c r="N57" i="10"/>
  <c r="O57" i="10" s="1"/>
  <c r="M57" i="10"/>
  <c r="K57" i="10"/>
  <c r="I57" i="10"/>
  <c r="H57" i="10"/>
  <c r="G57" i="10"/>
  <c r="F57" i="10"/>
  <c r="E57" i="10"/>
  <c r="D57" i="10"/>
  <c r="A57" i="10"/>
  <c r="Z56" i="10"/>
  <c r="R56" i="10"/>
  <c r="Q56" i="10"/>
  <c r="T56" i="10" s="1"/>
  <c r="S56" i="10"/>
  <c r="P56" i="10"/>
  <c r="O56" i="10"/>
  <c r="M56" i="10"/>
  <c r="L56" i="10"/>
  <c r="N56" i="10"/>
  <c r="K56" i="10"/>
  <c r="J56" i="10"/>
  <c r="I56" i="10"/>
  <c r="H56" i="10"/>
  <c r="G56" i="10"/>
  <c r="F56" i="10"/>
  <c r="E56" i="10"/>
  <c r="Z55" i="10"/>
  <c r="Q55" i="10"/>
  <c r="T55" i="10" s="1"/>
  <c r="S55" i="10"/>
  <c r="P55" i="10"/>
  <c r="O55" i="10"/>
  <c r="M55" i="10"/>
  <c r="L55" i="10"/>
  <c r="N55" i="10"/>
  <c r="K55" i="10"/>
  <c r="J55" i="10"/>
  <c r="I55" i="10"/>
  <c r="H55" i="10"/>
  <c r="G55" i="10"/>
  <c r="F55" i="10"/>
  <c r="E55" i="10"/>
  <c r="Z54" i="10"/>
  <c r="S54" i="10"/>
  <c r="T54" i="10" s="1"/>
  <c r="P54" i="10"/>
  <c r="R54" i="10" s="1"/>
  <c r="N54" i="10"/>
  <c r="O54" i="10" s="1"/>
  <c r="K54" i="10"/>
  <c r="M54" i="10" s="1"/>
  <c r="F58" i="9" s="1"/>
  <c r="I54" i="10"/>
  <c r="D58" i="9" s="1"/>
  <c r="H54" i="10"/>
  <c r="G54" i="10"/>
  <c r="F54" i="10"/>
  <c r="E54" i="10"/>
  <c r="D54" i="10"/>
  <c r="A54" i="10"/>
  <c r="Z53" i="10"/>
  <c r="Q53" i="10"/>
  <c r="R53" i="10" s="1"/>
  <c r="S53" i="10"/>
  <c r="P53" i="10"/>
  <c r="L53" i="10"/>
  <c r="O53" i="10" s="1"/>
  <c r="N53" i="10"/>
  <c r="K53" i="10"/>
  <c r="J53" i="10"/>
  <c r="I53" i="10"/>
  <c r="D59" i="9" s="1"/>
  <c r="H53" i="10"/>
  <c r="G53" i="10"/>
  <c r="F53" i="10"/>
  <c r="E53" i="10"/>
  <c r="Z52" i="10"/>
  <c r="Q52" i="10"/>
  <c r="S52" i="10"/>
  <c r="P52" i="10"/>
  <c r="M52" i="10"/>
  <c r="F60" i="9" s="1"/>
  <c r="L52" i="10"/>
  <c r="O52" i="10" s="1"/>
  <c r="N52" i="10"/>
  <c r="K52" i="10"/>
  <c r="E60" i="9" s="1"/>
  <c r="J52" i="10"/>
  <c r="I52" i="10"/>
  <c r="D60" i="9" s="1"/>
  <c r="H52" i="10"/>
  <c r="G52" i="10"/>
  <c r="F52" i="10"/>
  <c r="E52" i="10"/>
  <c r="G51" i="10"/>
  <c r="A51" i="10"/>
  <c r="Z50" i="10"/>
  <c r="T50" i="10"/>
  <c r="R50" i="10"/>
  <c r="Q50" i="10"/>
  <c r="S50" i="10"/>
  <c r="P50" i="10"/>
  <c r="L50" i="10"/>
  <c r="N50" i="10"/>
  <c r="K50" i="10"/>
  <c r="J50" i="10"/>
  <c r="I50" i="10"/>
  <c r="H50" i="10"/>
  <c r="G50" i="10"/>
  <c r="F50" i="10"/>
  <c r="E50" i="10"/>
  <c r="Z49" i="10"/>
  <c r="Q49" i="10"/>
  <c r="T49" i="10" s="1"/>
  <c r="S49" i="10"/>
  <c r="P49" i="10"/>
  <c r="O49" i="10"/>
  <c r="M49" i="10"/>
  <c r="F50" i="9" s="1"/>
  <c r="L49" i="10"/>
  <c r="N49" i="10"/>
  <c r="K49" i="10"/>
  <c r="E50" i="9" s="1"/>
  <c r="J49" i="10"/>
  <c r="I49" i="10"/>
  <c r="D50" i="9" s="1"/>
  <c r="H49" i="10"/>
  <c r="G49" i="10"/>
  <c r="F49" i="10"/>
  <c r="E49" i="10"/>
  <c r="Z48" i="10"/>
  <c r="R48" i="10"/>
  <c r="Q48" i="10"/>
  <c r="T48" i="10" s="1"/>
  <c r="S48" i="10"/>
  <c r="P48" i="10"/>
  <c r="O48" i="10"/>
  <c r="L48" i="10"/>
  <c r="M48" i="10" s="1"/>
  <c r="F51" i="9" s="1"/>
  <c r="N48" i="10"/>
  <c r="K48" i="10"/>
  <c r="E51" i="9" s="1"/>
  <c r="J48" i="10"/>
  <c r="I48" i="10"/>
  <c r="D51" i="9" s="1"/>
  <c r="H48" i="10"/>
  <c r="G48" i="10"/>
  <c r="F48" i="10"/>
  <c r="E48" i="10"/>
  <c r="Z47" i="10"/>
  <c r="Q47" i="10"/>
  <c r="T47" i="10" s="1"/>
  <c r="S47" i="10"/>
  <c r="P47" i="10"/>
  <c r="O47" i="10"/>
  <c r="M47" i="10"/>
  <c r="L47" i="10"/>
  <c r="N47" i="10"/>
  <c r="K47" i="10"/>
  <c r="J47" i="10"/>
  <c r="I47" i="10"/>
  <c r="D52" i="9" s="1"/>
  <c r="H47" i="10"/>
  <c r="G47" i="10"/>
  <c r="F47" i="10"/>
  <c r="E47" i="10"/>
  <c r="Z46" i="10"/>
  <c r="Q46" i="10"/>
  <c r="R46" i="10" s="1"/>
  <c r="S46" i="10"/>
  <c r="P46" i="10"/>
  <c r="L46" i="10"/>
  <c r="O46" i="10" s="1"/>
  <c r="N46" i="10"/>
  <c r="K46" i="10"/>
  <c r="E53" i="9" s="1"/>
  <c r="J46" i="10"/>
  <c r="I46" i="10"/>
  <c r="D53" i="9" s="1"/>
  <c r="H46" i="10"/>
  <c r="G46" i="10"/>
  <c r="F46" i="10"/>
  <c r="E46" i="10"/>
  <c r="Z45" i="10"/>
  <c r="Q45" i="10"/>
  <c r="S45" i="10"/>
  <c r="P45" i="10"/>
  <c r="M45" i="10"/>
  <c r="F54" i="9" s="1"/>
  <c r="L45" i="10"/>
  <c r="O45" i="10" s="1"/>
  <c r="N45" i="10"/>
  <c r="K45" i="10"/>
  <c r="E54" i="9" s="1"/>
  <c r="J45" i="10"/>
  <c r="I45" i="10"/>
  <c r="H45" i="10"/>
  <c r="G45" i="10"/>
  <c r="F45" i="10"/>
  <c r="E45" i="10"/>
  <c r="G44" i="10"/>
  <c r="A44" i="10"/>
  <c r="Z43" i="10"/>
  <c r="S43" i="10"/>
  <c r="T43" i="10" s="1"/>
  <c r="P43" i="10"/>
  <c r="R43" i="10" s="1"/>
  <c r="N43" i="10"/>
  <c r="O43" i="10" s="1"/>
  <c r="K43" i="10"/>
  <c r="I43" i="10"/>
  <c r="D43" i="9" s="1"/>
  <c r="H43" i="10"/>
  <c r="G43" i="10"/>
  <c r="F43" i="10"/>
  <c r="E43" i="10"/>
  <c r="D43" i="10"/>
  <c r="A43" i="10"/>
  <c r="Z42" i="10"/>
  <c r="T42" i="10"/>
  <c r="R42" i="10"/>
  <c r="Q42" i="10"/>
  <c r="S42" i="10"/>
  <c r="P42" i="10"/>
  <c r="L42" i="10"/>
  <c r="N42" i="10"/>
  <c r="K42" i="10"/>
  <c r="J42" i="10"/>
  <c r="I42" i="10"/>
  <c r="H42" i="10"/>
  <c r="G42" i="10"/>
  <c r="F42" i="10"/>
  <c r="E42" i="10"/>
  <c r="Z41" i="10"/>
  <c r="Q41" i="10"/>
  <c r="T41" i="10" s="1"/>
  <c r="S41" i="10"/>
  <c r="P41" i="10"/>
  <c r="O41" i="10"/>
  <c r="M41" i="10"/>
  <c r="L41" i="10"/>
  <c r="N41" i="10"/>
  <c r="K41" i="10"/>
  <c r="E40" i="9" s="1"/>
  <c r="J41" i="10"/>
  <c r="I41" i="10"/>
  <c r="D40" i="9" s="1"/>
  <c r="H41" i="10"/>
  <c r="G41" i="10"/>
  <c r="F41" i="10"/>
  <c r="E41" i="10"/>
  <c r="Z40" i="10"/>
  <c r="R40" i="10"/>
  <c r="Q40" i="10"/>
  <c r="T40" i="10" s="1"/>
  <c r="S40" i="10"/>
  <c r="P40" i="10"/>
  <c r="O40" i="10"/>
  <c r="L40" i="10"/>
  <c r="M40" i="10" s="1"/>
  <c r="F41" i="9" s="1"/>
  <c r="N40" i="10"/>
  <c r="K40" i="10"/>
  <c r="E41" i="9" s="1"/>
  <c r="J40" i="10"/>
  <c r="I40" i="10"/>
  <c r="D41" i="9" s="1"/>
  <c r="H40" i="10"/>
  <c r="G40" i="10"/>
  <c r="F40" i="10"/>
  <c r="E40" i="10"/>
  <c r="Z39" i="10"/>
  <c r="Q39" i="10"/>
  <c r="T39" i="10" s="1"/>
  <c r="S39" i="10"/>
  <c r="P39" i="10"/>
  <c r="O39" i="10"/>
  <c r="M39" i="10"/>
  <c r="L39" i="10"/>
  <c r="N39" i="10"/>
  <c r="K39" i="10"/>
  <c r="J39" i="10"/>
  <c r="I39" i="10"/>
  <c r="H39" i="10"/>
  <c r="G39" i="10"/>
  <c r="F39" i="10"/>
  <c r="E39" i="10"/>
  <c r="Z38" i="10"/>
  <c r="Q38" i="10"/>
  <c r="T38" i="10" s="1"/>
  <c r="S38" i="10"/>
  <c r="P38" i="10"/>
  <c r="L38" i="10"/>
  <c r="O38" i="10" s="1"/>
  <c r="N38" i="10"/>
  <c r="K38" i="10"/>
  <c r="E44" i="9" s="1"/>
  <c r="J38" i="10"/>
  <c r="I38" i="10"/>
  <c r="D44" i="9" s="1"/>
  <c r="H38" i="10"/>
  <c r="G38" i="10"/>
  <c r="F38" i="10"/>
  <c r="E38" i="10"/>
  <c r="Z37" i="10"/>
  <c r="Q37" i="10"/>
  <c r="S37" i="10"/>
  <c r="P37" i="10"/>
  <c r="M37" i="10"/>
  <c r="F45" i="9" s="1"/>
  <c r="L37" i="10"/>
  <c r="O37" i="10" s="1"/>
  <c r="N37" i="10"/>
  <c r="K37" i="10"/>
  <c r="E45" i="9" s="1"/>
  <c r="J37" i="10"/>
  <c r="I37" i="10"/>
  <c r="H37" i="10"/>
  <c r="G37" i="10"/>
  <c r="F37" i="10"/>
  <c r="E37" i="10"/>
  <c r="G36" i="10"/>
  <c r="A36" i="10"/>
  <c r="Z35" i="10"/>
  <c r="T35" i="10"/>
  <c r="R35" i="10"/>
  <c r="Q35" i="10"/>
  <c r="S35" i="10"/>
  <c r="P35" i="10"/>
  <c r="L35" i="10"/>
  <c r="N35" i="10"/>
  <c r="K35" i="10"/>
  <c r="J35" i="10"/>
  <c r="I35" i="10"/>
  <c r="H35" i="10"/>
  <c r="G35" i="10"/>
  <c r="F35" i="10"/>
  <c r="E35" i="10"/>
  <c r="Z34" i="10"/>
  <c r="Q34" i="10"/>
  <c r="T34" i="10" s="1"/>
  <c r="S34" i="10"/>
  <c r="P34" i="10"/>
  <c r="O34" i="10"/>
  <c r="M34" i="10"/>
  <c r="F13" i="9" s="1"/>
  <c r="L34" i="10"/>
  <c r="N34" i="10"/>
  <c r="K34" i="10"/>
  <c r="E13" i="9" s="1"/>
  <c r="J34" i="10"/>
  <c r="I34" i="10"/>
  <c r="H34" i="10"/>
  <c r="G34" i="10"/>
  <c r="F34" i="10"/>
  <c r="E34" i="10"/>
  <c r="Z33" i="10"/>
  <c r="R33" i="10"/>
  <c r="Q33" i="10"/>
  <c r="T33" i="10" s="1"/>
  <c r="S33" i="10"/>
  <c r="P33" i="10"/>
  <c r="O33" i="10"/>
  <c r="L33" i="10"/>
  <c r="M33" i="10" s="1"/>
  <c r="F16" i="9" s="1"/>
  <c r="N33" i="10"/>
  <c r="K33" i="10"/>
  <c r="J33" i="10"/>
  <c r="I33" i="10"/>
  <c r="D16" i="9" s="1"/>
  <c r="H33" i="10"/>
  <c r="G33" i="10"/>
  <c r="F33" i="10"/>
  <c r="E33" i="10"/>
  <c r="Z32" i="10"/>
  <c r="Q32" i="10"/>
  <c r="T32" i="10" s="1"/>
  <c r="S32" i="10"/>
  <c r="P32" i="10"/>
  <c r="O32" i="10"/>
  <c r="M32" i="10"/>
  <c r="L32" i="10"/>
  <c r="N32" i="10"/>
  <c r="K32" i="10"/>
  <c r="J32" i="10"/>
  <c r="I32" i="10"/>
  <c r="H32" i="10"/>
  <c r="G32" i="10"/>
  <c r="F32" i="10"/>
  <c r="E32" i="10"/>
  <c r="Z31" i="10"/>
  <c r="Q31" i="10"/>
  <c r="R31" i="10" s="1"/>
  <c r="S31" i="10"/>
  <c r="P31" i="10"/>
  <c r="L31" i="10"/>
  <c r="O31" i="10" s="1"/>
  <c r="N31" i="10"/>
  <c r="K31" i="10"/>
  <c r="E27" i="9" s="1"/>
  <c r="J31" i="10"/>
  <c r="I31" i="10"/>
  <c r="D27" i="9" s="1"/>
  <c r="H31" i="10"/>
  <c r="G31" i="10"/>
  <c r="F31" i="10"/>
  <c r="E31" i="10"/>
  <c r="Z30" i="10"/>
  <c r="Q30" i="10"/>
  <c r="S30" i="10"/>
  <c r="P30" i="10"/>
  <c r="M30" i="10"/>
  <c r="F28" i="9" s="1"/>
  <c r="L30" i="10"/>
  <c r="O30" i="10" s="1"/>
  <c r="N30" i="10"/>
  <c r="K30" i="10"/>
  <c r="E28" i="9" s="1"/>
  <c r="J30" i="10"/>
  <c r="I30" i="10"/>
  <c r="H30" i="10"/>
  <c r="G30" i="10"/>
  <c r="F30" i="10"/>
  <c r="E30" i="10"/>
  <c r="Z29" i="10"/>
  <c r="T29" i="10"/>
  <c r="R29" i="10"/>
  <c r="Q29" i="10"/>
  <c r="S29" i="10"/>
  <c r="P29" i="10"/>
  <c r="L29" i="10"/>
  <c r="O29" i="10" s="1"/>
  <c r="N29" i="10"/>
  <c r="K29" i="10"/>
  <c r="J29" i="10"/>
  <c r="I29" i="10"/>
  <c r="H29" i="10"/>
  <c r="G29" i="10"/>
  <c r="F29" i="10"/>
  <c r="E29" i="10"/>
  <c r="Z28" i="10"/>
  <c r="T28" i="10"/>
  <c r="S28" i="10"/>
  <c r="P28" i="10"/>
  <c r="N28" i="10"/>
  <c r="K28" i="10"/>
  <c r="I28" i="10"/>
  <c r="H28" i="10"/>
  <c r="G28" i="10"/>
  <c r="F28" i="10"/>
  <c r="E28" i="10"/>
  <c r="D28" i="10"/>
  <c r="A28" i="10"/>
  <c r="Z27" i="10"/>
  <c r="T27" i="10"/>
  <c r="Q27" i="10"/>
  <c r="R27" i="10" s="1"/>
  <c r="S27" i="10"/>
  <c r="P27" i="10"/>
  <c r="L27" i="10"/>
  <c r="M27" i="10" s="1"/>
  <c r="N27" i="10"/>
  <c r="K27" i="10"/>
  <c r="J27" i="10"/>
  <c r="I27" i="10"/>
  <c r="H27" i="10"/>
  <c r="G27" i="10"/>
  <c r="F27" i="10"/>
  <c r="E27" i="10"/>
  <c r="Z26" i="10"/>
  <c r="T26" i="10"/>
  <c r="R26" i="10"/>
  <c r="Q26" i="10"/>
  <c r="S26" i="10"/>
  <c r="P26" i="10"/>
  <c r="L26" i="10"/>
  <c r="N26" i="10"/>
  <c r="K26" i="10"/>
  <c r="E24" i="9" s="1"/>
  <c r="J26" i="10"/>
  <c r="I26" i="10"/>
  <c r="D24" i="9" s="1"/>
  <c r="H26" i="10"/>
  <c r="G26" i="10"/>
  <c r="F26" i="10"/>
  <c r="E26" i="10"/>
  <c r="Z25" i="10"/>
  <c r="Q25" i="10"/>
  <c r="T25" i="10" s="1"/>
  <c r="S25" i="10"/>
  <c r="P25" i="10"/>
  <c r="O25" i="10"/>
  <c r="M25" i="10"/>
  <c r="L25" i="10"/>
  <c r="N25" i="10"/>
  <c r="K25" i="10"/>
  <c r="J25" i="10"/>
  <c r="I25" i="10"/>
  <c r="H25" i="10"/>
  <c r="G25" i="10"/>
  <c r="F25" i="10"/>
  <c r="E25" i="10"/>
  <c r="Z24" i="10"/>
  <c r="R24" i="10"/>
  <c r="Q24" i="10"/>
  <c r="T24" i="10" s="1"/>
  <c r="S24" i="10"/>
  <c r="P24" i="10"/>
  <c r="O24" i="10"/>
  <c r="L24" i="10"/>
  <c r="M24" i="10" s="1"/>
  <c r="N24" i="10"/>
  <c r="K24" i="10"/>
  <c r="E12" i="9" s="1"/>
  <c r="J24" i="10"/>
  <c r="I24" i="10"/>
  <c r="D12" i="9" s="1"/>
  <c r="H24" i="10"/>
  <c r="G24" i="10"/>
  <c r="F24" i="10"/>
  <c r="E24" i="10"/>
  <c r="Z23" i="10"/>
  <c r="Q23" i="10"/>
  <c r="T23" i="10" s="1"/>
  <c r="S23" i="10"/>
  <c r="P23" i="10"/>
  <c r="O23" i="10"/>
  <c r="M23" i="10"/>
  <c r="F15" i="9" s="1"/>
  <c r="L23" i="10"/>
  <c r="N23" i="10"/>
  <c r="K23" i="10"/>
  <c r="J23" i="10"/>
  <c r="I23" i="10"/>
  <c r="D15" i="9" s="1"/>
  <c r="H23" i="10"/>
  <c r="G23" i="10"/>
  <c r="F23" i="10"/>
  <c r="E23" i="10"/>
  <c r="Z22" i="10"/>
  <c r="Q22" i="10"/>
  <c r="T22" i="10" s="1"/>
  <c r="S22" i="10"/>
  <c r="P22" i="10"/>
  <c r="L22" i="10"/>
  <c r="O22" i="10" s="1"/>
  <c r="N22" i="10"/>
  <c r="K22" i="10"/>
  <c r="E19" i="9" s="1"/>
  <c r="J22" i="10"/>
  <c r="I22" i="10"/>
  <c r="D19" i="9" s="1"/>
  <c r="H22" i="10"/>
  <c r="G22" i="10"/>
  <c r="F22" i="10"/>
  <c r="E22" i="10"/>
  <c r="Z21" i="10"/>
  <c r="Q21" i="10"/>
  <c r="S21" i="10"/>
  <c r="P21" i="10"/>
  <c r="M21" i="10"/>
  <c r="L21" i="10"/>
  <c r="O21" i="10" s="1"/>
  <c r="N21" i="10"/>
  <c r="K21" i="10"/>
  <c r="E25" i="9" s="1"/>
  <c r="J21" i="10"/>
  <c r="I21" i="10"/>
  <c r="D25" i="9" s="1"/>
  <c r="H21" i="10"/>
  <c r="G21" i="10"/>
  <c r="F21" i="10"/>
  <c r="E21" i="10"/>
  <c r="Z20" i="10"/>
  <c r="T20" i="10"/>
  <c r="R20" i="10"/>
  <c r="Q20" i="10"/>
  <c r="S20" i="10"/>
  <c r="P20" i="10"/>
  <c r="L20" i="10"/>
  <c r="O20" i="10" s="1"/>
  <c r="N20" i="10"/>
  <c r="K20" i="10"/>
  <c r="E26" i="9" s="1"/>
  <c r="J20" i="10"/>
  <c r="I20" i="10"/>
  <c r="D26" i="9" s="1"/>
  <c r="H20" i="10"/>
  <c r="G20" i="10"/>
  <c r="F20" i="10"/>
  <c r="E20" i="10"/>
  <c r="Z19" i="10"/>
  <c r="T19" i="10"/>
  <c r="Q19" i="10"/>
  <c r="R19" i="10" s="1"/>
  <c r="S19" i="10"/>
  <c r="P19" i="10"/>
  <c r="L19" i="10"/>
  <c r="O19" i="10" s="1"/>
  <c r="N19" i="10"/>
  <c r="K19" i="10"/>
  <c r="J19" i="10"/>
  <c r="I19" i="10"/>
  <c r="H19" i="10"/>
  <c r="G19" i="10"/>
  <c r="F19" i="10"/>
  <c r="E19" i="10"/>
  <c r="Z18" i="10"/>
  <c r="T18" i="10"/>
  <c r="R18" i="10"/>
  <c r="Q18" i="10"/>
  <c r="S18" i="10"/>
  <c r="P18" i="10"/>
  <c r="L18" i="10"/>
  <c r="N18" i="10"/>
  <c r="K18" i="10"/>
  <c r="E32" i="9" s="1"/>
  <c r="J18" i="10"/>
  <c r="I18" i="10"/>
  <c r="D32" i="9" s="1"/>
  <c r="H18" i="10"/>
  <c r="G18" i="10"/>
  <c r="F18" i="10"/>
  <c r="E18" i="10"/>
  <c r="Z17" i="10"/>
  <c r="Q17" i="10"/>
  <c r="T17" i="10" s="1"/>
  <c r="S17" i="10"/>
  <c r="P17" i="10"/>
  <c r="O17" i="10"/>
  <c r="M17" i="10"/>
  <c r="F14" i="9" s="1"/>
  <c r="L17" i="10"/>
  <c r="N17" i="10"/>
  <c r="K17" i="10"/>
  <c r="E14" i="9" s="1"/>
  <c r="J17" i="10"/>
  <c r="I17" i="10"/>
  <c r="D14" i="9" s="1"/>
  <c r="H17" i="10"/>
  <c r="G17" i="10"/>
  <c r="F17" i="10"/>
  <c r="E17" i="10"/>
  <c r="Z16" i="10"/>
  <c r="R16" i="10"/>
  <c r="Q16" i="10"/>
  <c r="T16" i="10" s="1"/>
  <c r="S16" i="10"/>
  <c r="P16" i="10"/>
  <c r="O16" i="10"/>
  <c r="L16" i="10"/>
  <c r="M16" i="10" s="1"/>
  <c r="F17" i="9" s="1"/>
  <c r="N16" i="10"/>
  <c r="K16" i="10"/>
  <c r="J16" i="10"/>
  <c r="I16" i="10"/>
  <c r="H16" i="10"/>
  <c r="G16" i="10"/>
  <c r="F16" i="10"/>
  <c r="E16" i="10"/>
  <c r="Z15" i="10"/>
  <c r="Q15" i="10"/>
  <c r="T15" i="10" s="1"/>
  <c r="S15" i="10"/>
  <c r="P15" i="10"/>
  <c r="O15" i="10"/>
  <c r="M15" i="10"/>
  <c r="L15" i="10"/>
  <c r="N15" i="10"/>
  <c r="K15" i="10"/>
  <c r="J15" i="10"/>
  <c r="I15" i="10"/>
  <c r="H15" i="10"/>
  <c r="G15" i="10"/>
  <c r="F15" i="10"/>
  <c r="E15" i="10"/>
  <c r="Z14" i="10"/>
  <c r="Q14" i="10"/>
  <c r="T14" i="10" s="1"/>
  <c r="S14" i="10"/>
  <c r="P14" i="10"/>
  <c r="L14" i="10"/>
  <c r="O14" i="10" s="1"/>
  <c r="N14" i="10"/>
  <c r="K14" i="10"/>
  <c r="E22" i="9" s="1"/>
  <c r="J14" i="10"/>
  <c r="I14" i="10"/>
  <c r="D22" i="9" s="1"/>
  <c r="H14" i="10"/>
  <c r="G14" i="10"/>
  <c r="F14" i="10"/>
  <c r="E14" i="10"/>
  <c r="Z13" i="10"/>
  <c r="Q13" i="10"/>
  <c r="S13" i="10"/>
  <c r="P13" i="10"/>
  <c r="M13" i="10"/>
  <c r="L13" i="10"/>
  <c r="O13" i="10" s="1"/>
  <c r="N13" i="10"/>
  <c r="K13" i="10"/>
  <c r="J13" i="10"/>
  <c r="I13" i="10"/>
  <c r="D33" i="9" s="1"/>
  <c r="H13" i="10"/>
  <c r="G13" i="10"/>
  <c r="F13" i="10"/>
  <c r="E13" i="10"/>
  <c r="Z12" i="10"/>
  <c r="S12" i="10"/>
  <c r="T12" i="10" s="1"/>
  <c r="P12" i="10"/>
  <c r="R12" i="10" s="1"/>
  <c r="N12" i="10"/>
  <c r="O12" i="10" s="1"/>
  <c r="K12" i="10"/>
  <c r="E31" i="9" s="1"/>
  <c r="I12" i="10"/>
  <c r="D31" i="9" s="1"/>
  <c r="H12" i="10"/>
  <c r="G12" i="10"/>
  <c r="F12" i="10"/>
  <c r="E12" i="10"/>
  <c r="D12" i="10"/>
  <c r="A12" i="10"/>
  <c r="Z11" i="10"/>
  <c r="S11" i="10"/>
  <c r="T11" i="10" s="1"/>
  <c r="P11" i="10"/>
  <c r="R11" i="10" s="1"/>
  <c r="N11" i="10"/>
  <c r="O11" i="10" s="1"/>
  <c r="K11" i="10"/>
  <c r="M11" i="10" s="1"/>
  <c r="F34" i="9" s="1"/>
  <c r="I11" i="10"/>
  <c r="D34" i="9" s="1"/>
  <c r="H11" i="10"/>
  <c r="G11" i="10"/>
  <c r="F11" i="10"/>
  <c r="E11" i="10"/>
  <c r="D11" i="10"/>
  <c r="A11" i="10"/>
  <c r="Z10" i="10"/>
  <c r="T10" i="10"/>
  <c r="R10" i="10"/>
  <c r="Q10" i="10"/>
  <c r="S10" i="10"/>
  <c r="P10" i="10"/>
  <c r="L10" i="10"/>
  <c r="O10" i="10" s="1"/>
  <c r="N10" i="10"/>
  <c r="K10" i="10"/>
  <c r="E23" i="9" s="1"/>
  <c r="J10" i="10"/>
  <c r="I10" i="10"/>
  <c r="D23" i="9" s="1"/>
  <c r="H10" i="10"/>
  <c r="G10" i="10"/>
  <c r="F10" i="10"/>
  <c r="E10" i="10"/>
  <c r="Z9" i="10"/>
  <c r="T9" i="10"/>
  <c r="Q9" i="10"/>
  <c r="R9" i="10" s="1"/>
  <c r="S9" i="10"/>
  <c r="P9" i="10"/>
  <c r="L9" i="10"/>
  <c r="M9" i="10" s="1"/>
  <c r="F18" i="9" s="1"/>
  <c r="N9" i="10"/>
  <c r="K9" i="10"/>
  <c r="E18" i="9" s="1"/>
  <c r="J9" i="10"/>
  <c r="I9" i="10"/>
  <c r="D18" i="9" s="1"/>
  <c r="H9" i="10"/>
  <c r="G9" i="10"/>
  <c r="F9" i="10"/>
  <c r="E9" i="10"/>
  <c r="G8" i="10"/>
  <c r="A8" i="10"/>
  <c r="G7" i="10"/>
  <c r="A7" i="10"/>
  <c r="G6" i="10"/>
  <c r="A6" i="10"/>
  <c r="D74" i="8"/>
  <c r="C74" i="8"/>
  <c r="B74" i="8"/>
  <c r="D73" i="8"/>
  <c r="C73" i="8"/>
  <c r="B73" i="8"/>
  <c r="D72" i="8"/>
  <c r="C72" i="8"/>
  <c r="B72" i="8"/>
  <c r="A71" i="8"/>
  <c r="D70" i="8"/>
  <c r="C70" i="8"/>
  <c r="B70" i="8"/>
  <c r="D69" i="8"/>
  <c r="C69" i="8"/>
  <c r="B69" i="8"/>
  <c r="D68" i="8"/>
  <c r="C68" i="8"/>
  <c r="B68" i="8"/>
  <c r="A67" i="8"/>
  <c r="D66" i="8"/>
  <c r="C66" i="8"/>
  <c r="B66" i="8"/>
  <c r="D65" i="8"/>
  <c r="C65" i="8"/>
  <c r="B65" i="8"/>
  <c r="D64" i="8"/>
  <c r="C64" i="8"/>
  <c r="B64" i="8"/>
  <c r="A63" i="8"/>
  <c r="D62" i="8"/>
  <c r="C62" i="8"/>
  <c r="B62" i="8"/>
  <c r="D61" i="8"/>
  <c r="C61" i="8"/>
  <c r="B61" i="8"/>
  <c r="D60" i="8"/>
  <c r="C60" i="8"/>
  <c r="B60" i="8"/>
  <c r="D59" i="8"/>
  <c r="C59" i="8"/>
  <c r="B59" i="8"/>
  <c r="D58" i="8"/>
  <c r="C58" i="8"/>
  <c r="B58" i="8"/>
  <c r="D57" i="8"/>
  <c r="C57" i="8"/>
  <c r="B57" i="8"/>
  <c r="D56" i="8"/>
  <c r="C56" i="8"/>
  <c r="B56" i="8"/>
  <c r="D55" i="8"/>
  <c r="C55" i="8"/>
  <c r="B55" i="8"/>
  <c r="D54" i="8"/>
  <c r="C54" i="8"/>
  <c r="B54" i="8"/>
  <c r="D53" i="8"/>
  <c r="C53" i="8"/>
  <c r="B53" i="8"/>
  <c r="D52" i="8"/>
  <c r="C52" i="8"/>
  <c r="B52" i="8"/>
  <c r="D51" i="8"/>
  <c r="C51" i="8"/>
  <c r="B51" i="8"/>
  <c r="D50" i="8"/>
  <c r="C50" i="8"/>
  <c r="B50" i="8"/>
  <c r="A49" i="8"/>
  <c r="D48" i="8"/>
  <c r="C48" i="8"/>
  <c r="B48" i="8"/>
  <c r="D47" i="8"/>
  <c r="C47" i="8"/>
  <c r="B47" i="8"/>
  <c r="D46" i="8"/>
  <c r="C46" i="8"/>
  <c r="B46" i="8"/>
  <c r="D45" i="8"/>
  <c r="C45" i="8"/>
  <c r="B45" i="8"/>
  <c r="D44" i="8"/>
  <c r="C44" i="8"/>
  <c r="B44" i="8"/>
  <c r="D43" i="8"/>
  <c r="C43" i="8"/>
  <c r="B43" i="8"/>
  <c r="A42" i="8"/>
  <c r="D41" i="8"/>
  <c r="C41" i="8"/>
  <c r="B41" i="8"/>
  <c r="A40" i="8"/>
  <c r="D39" i="8"/>
  <c r="C39" i="8"/>
  <c r="B39" i="8"/>
  <c r="D38" i="8"/>
  <c r="C38" i="8"/>
  <c r="B38" i="8"/>
  <c r="A37" i="8"/>
  <c r="D36" i="8"/>
  <c r="C36" i="8"/>
  <c r="B36" i="8"/>
  <c r="D35" i="8"/>
  <c r="C35" i="8"/>
  <c r="B35" i="8"/>
  <c r="D34" i="8"/>
  <c r="C34" i="8"/>
  <c r="B34" i="8"/>
  <c r="D33" i="8"/>
  <c r="C33" i="8"/>
  <c r="B33" i="8"/>
  <c r="D32" i="8"/>
  <c r="C32" i="8"/>
  <c r="B32" i="8"/>
  <c r="D31" i="8"/>
  <c r="C31" i="8"/>
  <c r="B31" i="8"/>
  <c r="D30" i="8"/>
  <c r="C30" i="8"/>
  <c r="B30" i="8"/>
  <c r="D29" i="8"/>
  <c r="C29" i="8"/>
  <c r="B29" i="8"/>
  <c r="D28" i="8"/>
  <c r="C28" i="8"/>
  <c r="B28" i="8"/>
  <c r="D27" i="8"/>
  <c r="C27" i="8"/>
  <c r="B27" i="8"/>
  <c r="D26" i="8"/>
  <c r="C26" i="8"/>
  <c r="B26" i="8"/>
  <c r="D25" i="8"/>
  <c r="C25" i="8"/>
  <c r="B25" i="8"/>
  <c r="D24" i="8"/>
  <c r="C24" i="8"/>
  <c r="B24" i="8"/>
  <c r="D23" i="8"/>
  <c r="C23" i="8"/>
  <c r="B23" i="8"/>
  <c r="D22" i="8"/>
  <c r="C22" i="8"/>
  <c r="B22" i="8"/>
  <c r="A21" i="8"/>
  <c r="A20" i="8"/>
  <c r="A19" i="8"/>
  <c r="AD12" i="8"/>
  <c r="A12" i="8"/>
  <c r="A11" i="8"/>
  <c r="A1" i="8"/>
  <c r="H321" i="7"/>
  <c r="H318" i="7"/>
  <c r="C321" i="7"/>
  <c r="C318" i="7"/>
  <c r="I315" i="7"/>
  <c r="C315" i="7"/>
  <c r="I314" i="7"/>
  <c r="C314" i="7"/>
  <c r="I313" i="7"/>
  <c r="C313" i="7"/>
  <c r="I25" i="7"/>
  <c r="I24" i="7"/>
  <c r="I23" i="7"/>
  <c r="I22" i="7"/>
  <c r="I21" i="7"/>
  <c r="I20" i="7"/>
  <c r="AF312" i="7"/>
  <c r="A312" i="7"/>
  <c r="A309" i="7"/>
  <c r="A306" i="7"/>
  <c r="J303" i="7"/>
  <c r="I303" i="7"/>
  <c r="H303" i="7"/>
  <c r="G303" i="7"/>
  <c r="F303" i="7"/>
  <c r="J302" i="7"/>
  <c r="I304" i="7" s="1"/>
  <c r="I302" i="7"/>
  <c r="H302" i="7"/>
  <c r="G302" i="7"/>
  <c r="F302" i="7"/>
  <c r="V301" i="7"/>
  <c r="T301" i="7"/>
  <c r="R301" i="7"/>
  <c r="U301" i="7"/>
  <c r="S301" i="7"/>
  <c r="Q301" i="7"/>
  <c r="E301" i="7"/>
  <c r="D301" i="7"/>
  <c r="C301" i="7"/>
  <c r="B301" i="7"/>
  <c r="J299" i="7"/>
  <c r="I299" i="7"/>
  <c r="H299" i="7"/>
  <c r="G299" i="7"/>
  <c r="F299" i="7"/>
  <c r="J298" i="7"/>
  <c r="I300" i="7" s="1"/>
  <c r="I298" i="7"/>
  <c r="H298" i="7"/>
  <c r="G298" i="7"/>
  <c r="F298" i="7"/>
  <c r="V297" i="7"/>
  <c r="T297" i="7"/>
  <c r="R297" i="7"/>
  <c r="U297" i="7"/>
  <c r="S297" i="7"/>
  <c r="Q297" i="7"/>
  <c r="E297" i="7"/>
  <c r="D297" i="7"/>
  <c r="C297" i="7"/>
  <c r="B297" i="7"/>
  <c r="E295" i="7"/>
  <c r="J294" i="7"/>
  <c r="I294" i="7"/>
  <c r="H294" i="7"/>
  <c r="G294" i="7"/>
  <c r="F294" i="7"/>
  <c r="J293" i="7"/>
  <c r="I293" i="7"/>
  <c r="H293" i="7"/>
  <c r="G293" i="7"/>
  <c r="F293" i="7"/>
  <c r="V292" i="7"/>
  <c r="J295" i="7" s="1"/>
  <c r="T292" i="7"/>
  <c r="R292" i="7"/>
  <c r="U292" i="7"/>
  <c r="S292" i="7"/>
  <c r="Q292" i="7"/>
  <c r="E292" i="7"/>
  <c r="D292" i="7"/>
  <c r="C292" i="7"/>
  <c r="B292" i="7"/>
  <c r="A291" i="7"/>
  <c r="A288" i="7"/>
  <c r="A285" i="7"/>
  <c r="K282" i="7"/>
  <c r="H282" i="7"/>
  <c r="G282" i="7"/>
  <c r="E282" i="7"/>
  <c r="E281" i="7"/>
  <c r="E280" i="7"/>
  <c r="J279" i="7"/>
  <c r="I279" i="7"/>
  <c r="H279" i="7"/>
  <c r="F279" i="7"/>
  <c r="V279" i="7"/>
  <c r="T279" i="7"/>
  <c r="R279" i="7"/>
  <c r="J280" i="7" s="1"/>
  <c r="U279" i="7"/>
  <c r="S279" i="7"/>
  <c r="Q279" i="7"/>
  <c r="E279" i="7"/>
  <c r="D279" i="7"/>
  <c r="B279" i="7"/>
  <c r="J278" i="7"/>
  <c r="I278" i="7"/>
  <c r="H278" i="7"/>
  <c r="F278" i="7"/>
  <c r="V278" i="7"/>
  <c r="T278" i="7"/>
  <c r="R278" i="7"/>
  <c r="U278" i="7"/>
  <c r="S278" i="7"/>
  <c r="Q278" i="7"/>
  <c r="E278" i="7"/>
  <c r="D278" i="7"/>
  <c r="C278" i="7"/>
  <c r="B278" i="7"/>
  <c r="J277" i="7"/>
  <c r="I277" i="7"/>
  <c r="H277" i="7"/>
  <c r="G277" i="7"/>
  <c r="F277" i="7"/>
  <c r="J276" i="7"/>
  <c r="I276" i="7"/>
  <c r="H276" i="7"/>
  <c r="G276" i="7"/>
  <c r="F276" i="7"/>
  <c r="C275" i="7"/>
  <c r="V274" i="7"/>
  <c r="T274" i="7"/>
  <c r="J281" i="7" s="1"/>
  <c r="R274" i="7"/>
  <c r="U274" i="7"/>
  <c r="S274" i="7"/>
  <c r="Q274" i="7"/>
  <c r="E274" i="7"/>
  <c r="D274" i="7"/>
  <c r="C274" i="7"/>
  <c r="B274" i="7"/>
  <c r="A273" i="7"/>
  <c r="A270" i="7"/>
  <c r="K267" i="7"/>
  <c r="H267" i="7"/>
  <c r="G267" i="7"/>
  <c r="E267" i="7"/>
  <c r="E266" i="7"/>
  <c r="E265" i="7"/>
  <c r="J264" i="7"/>
  <c r="I264" i="7"/>
  <c r="H264" i="7"/>
  <c r="F264" i="7"/>
  <c r="V264" i="7"/>
  <c r="T264" i="7"/>
  <c r="R264" i="7"/>
  <c r="U264" i="7"/>
  <c r="S264" i="7"/>
  <c r="Q264" i="7"/>
  <c r="E264" i="7"/>
  <c r="D264" i="7"/>
  <c r="C264" i="7"/>
  <c r="B264" i="7"/>
  <c r="J263" i="7"/>
  <c r="I263" i="7"/>
  <c r="H263" i="7"/>
  <c r="F263" i="7"/>
  <c r="V263" i="7"/>
  <c r="T263" i="7"/>
  <c r="R263" i="7"/>
  <c r="U263" i="7"/>
  <c r="S263" i="7"/>
  <c r="Q263" i="7"/>
  <c r="E263" i="7"/>
  <c r="D263" i="7"/>
  <c r="B263" i="7"/>
  <c r="J262" i="7"/>
  <c r="I262" i="7"/>
  <c r="H262" i="7"/>
  <c r="G262" i="7"/>
  <c r="F262" i="7"/>
  <c r="C261" i="7"/>
  <c r="V260" i="7"/>
  <c r="T260" i="7"/>
  <c r="J266" i="7" s="1"/>
  <c r="R260" i="7"/>
  <c r="J265" i="7" s="1"/>
  <c r="U260" i="7"/>
  <c r="S260" i="7"/>
  <c r="Q260" i="7"/>
  <c r="E260" i="7"/>
  <c r="D260" i="7"/>
  <c r="C260" i="7"/>
  <c r="B260" i="7"/>
  <c r="A259" i="7"/>
  <c r="A256" i="7"/>
  <c r="K253" i="7"/>
  <c r="H253" i="7"/>
  <c r="G253" i="7"/>
  <c r="E253" i="7"/>
  <c r="E252" i="7"/>
  <c r="E251" i="7"/>
  <c r="J250" i="7"/>
  <c r="I250" i="7"/>
  <c r="H250" i="7"/>
  <c r="F250" i="7"/>
  <c r="V250" i="7"/>
  <c r="T250" i="7"/>
  <c r="R250" i="7"/>
  <c r="U250" i="7"/>
  <c r="S250" i="7"/>
  <c r="Q250" i="7"/>
  <c r="E250" i="7"/>
  <c r="D250" i="7"/>
  <c r="C250" i="7"/>
  <c r="B250" i="7"/>
  <c r="J249" i="7"/>
  <c r="I249" i="7"/>
  <c r="H249" i="7"/>
  <c r="G249" i="7"/>
  <c r="F249" i="7"/>
  <c r="J248" i="7"/>
  <c r="I248" i="7"/>
  <c r="H248" i="7"/>
  <c r="G248" i="7"/>
  <c r="F248" i="7"/>
  <c r="C247" i="7"/>
  <c r="V246" i="7"/>
  <c r="T246" i="7"/>
  <c r="J252" i="7" s="1"/>
  <c r="R246" i="7"/>
  <c r="J251" i="7" s="1"/>
  <c r="I254" i="7" s="1"/>
  <c r="U246" i="7"/>
  <c r="S246" i="7"/>
  <c r="Q246" i="7"/>
  <c r="E246" i="7"/>
  <c r="D246" i="7"/>
  <c r="C246" i="7"/>
  <c r="B246" i="7"/>
  <c r="K244" i="7"/>
  <c r="H244" i="7"/>
  <c r="G244" i="7"/>
  <c r="E244" i="7"/>
  <c r="J243" i="7"/>
  <c r="E243" i="7"/>
  <c r="J242" i="7"/>
  <c r="I245" i="7" s="1"/>
  <c r="E242" i="7"/>
  <c r="J241" i="7"/>
  <c r="I241" i="7"/>
  <c r="H241" i="7"/>
  <c r="G241" i="7"/>
  <c r="F241" i="7"/>
  <c r="C240" i="7"/>
  <c r="V239" i="7"/>
  <c r="T239" i="7"/>
  <c r="R239" i="7"/>
  <c r="U239" i="7"/>
  <c r="S239" i="7"/>
  <c r="Q239" i="7"/>
  <c r="E239" i="7"/>
  <c r="D239" i="7"/>
  <c r="C239" i="7"/>
  <c r="B239" i="7"/>
  <c r="K237" i="7"/>
  <c r="H237" i="7"/>
  <c r="G237" i="7"/>
  <c r="E237" i="7"/>
  <c r="E236" i="7"/>
  <c r="J235" i="7"/>
  <c r="E235" i="7"/>
  <c r="J234" i="7"/>
  <c r="I234" i="7"/>
  <c r="H234" i="7"/>
  <c r="G234" i="7"/>
  <c r="F234" i="7"/>
  <c r="J233" i="7"/>
  <c r="I233" i="7"/>
  <c r="H233" i="7"/>
  <c r="G233" i="7"/>
  <c r="F233" i="7"/>
  <c r="C232" i="7"/>
  <c r="V231" i="7"/>
  <c r="T231" i="7"/>
  <c r="J236" i="7" s="1"/>
  <c r="R231" i="7"/>
  <c r="U231" i="7"/>
  <c r="S231" i="7"/>
  <c r="Q231" i="7"/>
  <c r="E231" i="7"/>
  <c r="D231" i="7"/>
  <c r="C231" i="7"/>
  <c r="B231" i="7"/>
  <c r="K229" i="7"/>
  <c r="H229" i="7"/>
  <c r="G229" i="7"/>
  <c r="E229" i="7"/>
  <c r="E228" i="7"/>
  <c r="E227" i="7"/>
  <c r="J226" i="7"/>
  <c r="I226" i="7"/>
  <c r="H226" i="7"/>
  <c r="F226" i="7"/>
  <c r="V226" i="7"/>
  <c r="T226" i="7"/>
  <c r="R226" i="7"/>
  <c r="J227" i="7" s="1"/>
  <c r="I230" i="7" s="1"/>
  <c r="U226" i="7"/>
  <c r="S226" i="7"/>
  <c r="Q226" i="7"/>
  <c r="E226" i="7"/>
  <c r="D226" i="7"/>
  <c r="B226" i="7"/>
  <c r="J225" i="7"/>
  <c r="I225" i="7"/>
  <c r="H225" i="7"/>
  <c r="G225" i="7"/>
  <c r="F225" i="7"/>
  <c r="J224" i="7"/>
  <c r="I224" i="7"/>
  <c r="H224" i="7"/>
  <c r="G224" i="7"/>
  <c r="F224" i="7"/>
  <c r="C223" i="7"/>
  <c r="V222" i="7"/>
  <c r="T222" i="7"/>
  <c r="J228" i="7" s="1"/>
  <c r="R222" i="7"/>
  <c r="U222" i="7"/>
  <c r="S222" i="7"/>
  <c r="Q222" i="7"/>
  <c r="E222" i="7"/>
  <c r="D222" i="7"/>
  <c r="C222" i="7"/>
  <c r="B222" i="7"/>
  <c r="K220" i="7"/>
  <c r="H220" i="7"/>
  <c r="G220" i="7"/>
  <c r="E220" i="7"/>
  <c r="J219" i="7"/>
  <c r="E219" i="7"/>
  <c r="E218" i="7"/>
  <c r="E217" i="7"/>
  <c r="J216" i="7"/>
  <c r="I216" i="7"/>
  <c r="H216" i="7"/>
  <c r="F216" i="7"/>
  <c r="V216" i="7"/>
  <c r="T216" i="7"/>
  <c r="R216" i="7"/>
  <c r="U216" i="7"/>
  <c r="S216" i="7"/>
  <c r="Q216" i="7"/>
  <c r="E216" i="7"/>
  <c r="D216" i="7"/>
  <c r="B216" i="7"/>
  <c r="J215" i="7"/>
  <c r="I215" i="7"/>
  <c r="H215" i="7"/>
  <c r="F215" i="7"/>
  <c r="V215" i="7"/>
  <c r="T215" i="7"/>
  <c r="R215" i="7"/>
  <c r="U215" i="7"/>
  <c r="S215" i="7"/>
  <c r="Q215" i="7"/>
  <c r="E215" i="7"/>
  <c r="D215" i="7"/>
  <c r="B215" i="7"/>
  <c r="J214" i="7"/>
  <c r="I214" i="7"/>
  <c r="H214" i="7"/>
  <c r="F214" i="7"/>
  <c r="V214" i="7"/>
  <c r="T214" i="7"/>
  <c r="R214" i="7"/>
  <c r="U214" i="7"/>
  <c r="S214" i="7"/>
  <c r="Q214" i="7"/>
  <c r="E214" i="7"/>
  <c r="D214" i="7"/>
  <c r="B214" i="7"/>
  <c r="J213" i="7"/>
  <c r="I213" i="7"/>
  <c r="H213" i="7"/>
  <c r="F213" i="7"/>
  <c r="V213" i="7"/>
  <c r="T213" i="7"/>
  <c r="R213" i="7"/>
  <c r="U213" i="7"/>
  <c r="S213" i="7"/>
  <c r="Q213" i="7"/>
  <c r="E213" i="7"/>
  <c r="D213" i="7"/>
  <c r="C213" i="7"/>
  <c r="B213" i="7"/>
  <c r="J212" i="7"/>
  <c r="I212" i="7"/>
  <c r="H212" i="7"/>
  <c r="G212" i="7"/>
  <c r="F212" i="7"/>
  <c r="J211" i="7"/>
  <c r="I211" i="7"/>
  <c r="H211" i="7"/>
  <c r="G211" i="7"/>
  <c r="F211" i="7"/>
  <c r="J210" i="7"/>
  <c r="I210" i="7"/>
  <c r="H210" i="7"/>
  <c r="G210" i="7"/>
  <c r="F210" i="7"/>
  <c r="J209" i="7"/>
  <c r="I221" i="7" s="1"/>
  <c r="I209" i="7"/>
  <c r="H209" i="7"/>
  <c r="G209" i="7"/>
  <c r="F209" i="7"/>
  <c r="V208" i="7"/>
  <c r="T208" i="7"/>
  <c r="J218" i="7" s="1"/>
  <c r="R208" i="7"/>
  <c r="J217" i="7" s="1"/>
  <c r="U208" i="7"/>
  <c r="S208" i="7"/>
  <c r="Q208" i="7"/>
  <c r="E208" i="7"/>
  <c r="D208" i="7"/>
  <c r="C208" i="7"/>
  <c r="B208" i="7"/>
  <c r="K206" i="7"/>
  <c r="H206" i="7"/>
  <c r="G206" i="7"/>
  <c r="E206" i="7"/>
  <c r="J205" i="7"/>
  <c r="E205" i="7"/>
  <c r="J204" i="7"/>
  <c r="E204" i="7"/>
  <c r="J203" i="7"/>
  <c r="I207" i="7" s="1"/>
  <c r="I203" i="7"/>
  <c r="H203" i="7"/>
  <c r="G203" i="7"/>
  <c r="F203" i="7"/>
  <c r="C202" i="7"/>
  <c r="V201" i="7"/>
  <c r="T201" i="7"/>
  <c r="R201" i="7"/>
  <c r="U201" i="7"/>
  <c r="S201" i="7"/>
  <c r="Q201" i="7"/>
  <c r="E201" i="7"/>
  <c r="D201" i="7"/>
  <c r="K199" i="7"/>
  <c r="H199" i="7"/>
  <c r="G199" i="7"/>
  <c r="E199" i="7"/>
  <c r="J198" i="7"/>
  <c r="E198" i="7"/>
  <c r="E197" i="7"/>
  <c r="J196" i="7"/>
  <c r="I196" i="7"/>
  <c r="H196" i="7"/>
  <c r="G196" i="7"/>
  <c r="F196" i="7"/>
  <c r="C195" i="7"/>
  <c r="V194" i="7"/>
  <c r="T194" i="7"/>
  <c r="R194" i="7"/>
  <c r="J197" i="7" s="1"/>
  <c r="U194" i="7"/>
  <c r="S194" i="7"/>
  <c r="Q194" i="7"/>
  <c r="E194" i="7"/>
  <c r="D194" i="7"/>
  <c r="C194" i="7"/>
  <c r="B194" i="7"/>
  <c r="A193" i="7"/>
  <c r="A190" i="7"/>
  <c r="K187" i="7"/>
  <c r="H187" i="7"/>
  <c r="G187" i="7"/>
  <c r="E187" i="7"/>
  <c r="E186" i="7"/>
  <c r="E185" i="7"/>
  <c r="J184" i="7"/>
  <c r="I184" i="7"/>
  <c r="H184" i="7"/>
  <c r="F184" i="7"/>
  <c r="V184" i="7"/>
  <c r="T184" i="7"/>
  <c r="R184" i="7"/>
  <c r="U184" i="7"/>
  <c r="S184" i="7"/>
  <c r="Q184" i="7"/>
  <c r="E184" i="7"/>
  <c r="D184" i="7"/>
  <c r="C184" i="7"/>
  <c r="B184" i="7"/>
  <c r="J183" i="7"/>
  <c r="I183" i="7"/>
  <c r="H183" i="7"/>
  <c r="G183" i="7"/>
  <c r="F183" i="7"/>
  <c r="J182" i="7"/>
  <c r="I182" i="7"/>
  <c r="H182" i="7"/>
  <c r="G182" i="7"/>
  <c r="F182" i="7"/>
  <c r="C181" i="7"/>
  <c r="V180" i="7"/>
  <c r="T180" i="7"/>
  <c r="J186" i="7" s="1"/>
  <c r="R180" i="7"/>
  <c r="J185" i="7" s="1"/>
  <c r="U180" i="7"/>
  <c r="S180" i="7"/>
  <c r="Q180" i="7"/>
  <c r="E180" i="7"/>
  <c r="D180" i="7"/>
  <c r="C180" i="7"/>
  <c r="B180" i="7"/>
  <c r="K178" i="7"/>
  <c r="H178" i="7"/>
  <c r="G178" i="7"/>
  <c r="E178" i="7"/>
  <c r="E177" i="7"/>
  <c r="E176" i="7"/>
  <c r="J175" i="7"/>
  <c r="I175" i="7"/>
  <c r="H175" i="7"/>
  <c r="F175" i="7"/>
  <c r="V175" i="7"/>
  <c r="T175" i="7"/>
  <c r="J177" i="7" s="1"/>
  <c r="R175" i="7"/>
  <c r="J176" i="7" s="1"/>
  <c r="I179" i="7" s="1"/>
  <c r="U175" i="7"/>
  <c r="S175" i="7"/>
  <c r="Q175" i="7"/>
  <c r="E175" i="7"/>
  <c r="D175" i="7"/>
  <c r="C175" i="7"/>
  <c r="B175" i="7"/>
  <c r="J174" i="7"/>
  <c r="I174" i="7"/>
  <c r="H174" i="7"/>
  <c r="G174" i="7"/>
  <c r="F174" i="7"/>
  <c r="J173" i="7"/>
  <c r="I173" i="7"/>
  <c r="H173" i="7"/>
  <c r="G173" i="7"/>
  <c r="F173" i="7"/>
  <c r="C172" i="7"/>
  <c r="V171" i="7"/>
  <c r="T171" i="7"/>
  <c r="R171" i="7"/>
  <c r="U171" i="7"/>
  <c r="S171" i="7"/>
  <c r="Q171" i="7"/>
  <c r="E171" i="7"/>
  <c r="D171" i="7"/>
  <c r="C171" i="7"/>
  <c r="B171" i="7"/>
  <c r="K169" i="7"/>
  <c r="H169" i="7"/>
  <c r="G169" i="7"/>
  <c r="E169" i="7"/>
  <c r="E168" i="7"/>
  <c r="J167" i="7"/>
  <c r="E167" i="7"/>
  <c r="J166" i="7"/>
  <c r="I166" i="7"/>
  <c r="H166" i="7"/>
  <c r="G166" i="7"/>
  <c r="F166" i="7"/>
  <c r="C165" i="7"/>
  <c r="V164" i="7"/>
  <c r="T164" i="7"/>
  <c r="J168" i="7" s="1"/>
  <c r="I170" i="7" s="1"/>
  <c r="R164" i="7"/>
  <c r="U164" i="7"/>
  <c r="S164" i="7"/>
  <c r="Q164" i="7"/>
  <c r="E164" i="7"/>
  <c r="D164" i="7"/>
  <c r="K162" i="7"/>
  <c r="H162" i="7"/>
  <c r="G162" i="7"/>
  <c r="E162" i="7"/>
  <c r="E161" i="7"/>
  <c r="E160" i="7"/>
  <c r="J159" i="7"/>
  <c r="I159" i="7"/>
  <c r="H159" i="7"/>
  <c r="G159" i="7"/>
  <c r="F159" i="7"/>
  <c r="C158" i="7"/>
  <c r="V157" i="7"/>
  <c r="T157" i="7"/>
  <c r="J161" i="7" s="1"/>
  <c r="R157" i="7"/>
  <c r="J160" i="7" s="1"/>
  <c r="U157" i="7"/>
  <c r="S157" i="7"/>
  <c r="Q157" i="7"/>
  <c r="E157" i="7"/>
  <c r="D157" i="7"/>
  <c r="A156" i="7"/>
  <c r="A153" i="7"/>
  <c r="K150" i="7"/>
  <c r="H150" i="7"/>
  <c r="G150" i="7"/>
  <c r="E150" i="7"/>
  <c r="E149" i="7"/>
  <c r="J148" i="7"/>
  <c r="E148" i="7"/>
  <c r="J147" i="7"/>
  <c r="I147" i="7"/>
  <c r="H147" i="7"/>
  <c r="G147" i="7"/>
  <c r="F147" i="7"/>
  <c r="J146" i="7"/>
  <c r="I146" i="7"/>
  <c r="H146" i="7"/>
  <c r="G146" i="7"/>
  <c r="F146" i="7"/>
  <c r="C145" i="7"/>
  <c r="V144" i="7"/>
  <c r="T144" i="7"/>
  <c r="J149" i="7" s="1"/>
  <c r="R144" i="7"/>
  <c r="U144" i="7"/>
  <c r="S144" i="7"/>
  <c r="Q144" i="7"/>
  <c r="E144" i="7"/>
  <c r="D144" i="7"/>
  <c r="C144" i="7"/>
  <c r="B144" i="7"/>
  <c r="A143" i="7"/>
  <c r="A140" i="7"/>
  <c r="K137" i="7"/>
  <c r="H137" i="7"/>
  <c r="G137" i="7"/>
  <c r="E137" i="7"/>
  <c r="E136" i="7"/>
  <c r="E135" i="7"/>
  <c r="J134" i="7"/>
  <c r="I134" i="7"/>
  <c r="H134" i="7"/>
  <c r="F134" i="7"/>
  <c r="V134" i="7"/>
  <c r="T134" i="7"/>
  <c r="R134" i="7"/>
  <c r="J135" i="7" s="1"/>
  <c r="U134" i="7"/>
  <c r="S134" i="7"/>
  <c r="Q134" i="7"/>
  <c r="E134" i="7"/>
  <c r="D134" i="7"/>
  <c r="C134" i="7"/>
  <c r="B134" i="7"/>
  <c r="J133" i="7"/>
  <c r="I133" i="7"/>
  <c r="H133" i="7"/>
  <c r="G133" i="7"/>
  <c r="F133" i="7"/>
  <c r="J132" i="7"/>
  <c r="I132" i="7"/>
  <c r="H132" i="7"/>
  <c r="G132" i="7"/>
  <c r="F132" i="7"/>
  <c r="C131" i="7"/>
  <c r="V130" i="7"/>
  <c r="T130" i="7"/>
  <c r="J136" i="7" s="1"/>
  <c r="R130" i="7"/>
  <c r="U130" i="7"/>
  <c r="S130" i="7"/>
  <c r="Q130" i="7"/>
  <c r="E130" i="7"/>
  <c r="D130" i="7"/>
  <c r="C130" i="7"/>
  <c r="B130" i="7"/>
  <c r="A129" i="7"/>
  <c r="A126" i="7"/>
  <c r="K123" i="7"/>
  <c r="H123" i="7"/>
  <c r="G123" i="7"/>
  <c r="E123" i="7"/>
  <c r="E122" i="7"/>
  <c r="E121" i="7"/>
  <c r="J120" i="7"/>
  <c r="E120" i="7"/>
  <c r="J119" i="7"/>
  <c r="I119" i="7"/>
  <c r="H119" i="7"/>
  <c r="G119" i="7"/>
  <c r="F119" i="7"/>
  <c r="J118" i="7"/>
  <c r="I118" i="7"/>
  <c r="H118" i="7"/>
  <c r="G118" i="7"/>
  <c r="F118" i="7"/>
  <c r="J117" i="7"/>
  <c r="I117" i="7"/>
  <c r="H117" i="7"/>
  <c r="G117" i="7"/>
  <c r="F117" i="7"/>
  <c r="J116" i="7"/>
  <c r="I116" i="7"/>
  <c r="H116" i="7"/>
  <c r="G116" i="7"/>
  <c r="F116" i="7"/>
  <c r="C115" i="7"/>
  <c r="V114" i="7"/>
  <c r="J122" i="7" s="1"/>
  <c r="T114" i="7"/>
  <c r="J121" i="7" s="1"/>
  <c r="R114" i="7"/>
  <c r="U114" i="7"/>
  <c r="S114" i="7"/>
  <c r="Q114" i="7"/>
  <c r="E114" i="7"/>
  <c r="D114" i="7"/>
  <c r="C114" i="7"/>
  <c r="B114" i="7"/>
  <c r="K112" i="7"/>
  <c r="H112" i="7"/>
  <c r="G112" i="7"/>
  <c r="E112" i="7"/>
  <c r="J111" i="7"/>
  <c r="E111" i="7"/>
  <c r="E110" i="7"/>
  <c r="E109" i="7"/>
  <c r="J108" i="7"/>
  <c r="I108" i="7"/>
  <c r="H108" i="7"/>
  <c r="F108" i="7"/>
  <c r="V108" i="7"/>
  <c r="T108" i="7"/>
  <c r="R108" i="7"/>
  <c r="U108" i="7"/>
  <c r="S108" i="7"/>
  <c r="Q108" i="7"/>
  <c r="E108" i="7"/>
  <c r="D108" i="7"/>
  <c r="B108" i="7"/>
  <c r="J107" i="7"/>
  <c r="I107" i="7"/>
  <c r="H107" i="7"/>
  <c r="F107" i="7"/>
  <c r="V107" i="7"/>
  <c r="T107" i="7"/>
  <c r="R107" i="7"/>
  <c r="U107" i="7"/>
  <c r="S107" i="7"/>
  <c r="Q107" i="7"/>
  <c r="E107" i="7"/>
  <c r="D107" i="7"/>
  <c r="B107" i="7"/>
  <c r="J106" i="7"/>
  <c r="I106" i="7"/>
  <c r="H106" i="7"/>
  <c r="G106" i="7"/>
  <c r="F106" i="7"/>
  <c r="J105" i="7"/>
  <c r="I105" i="7"/>
  <c r="H105" i="7"/>
  <c r="G105" i="7"/>
  <c r="F105" i="7"/>
  <c r="J104" i="7"/>
  <c r="I104" i="7"/>
  <c r="H104" i="7"/>
  <c r="G104" i="7"/>
  <c r="F104" i="7"/>
  <c r="J103" i="7"/>
  <c r="I103" i="7"/>
  <c r="H103" i="7"/>
  <c r="G103" i="7"/>
  <c r="F103" i="7"/>
  <c r="C102" i="7"/>
  <c r="V101" i="7"/>
  <c r="T101" i="7"/>
  <c r="J110" i="7" s="1"/>
  <c r="R101" i="7"/>
  <c r="J109" i="7" s="1"/>
  <c r="U101" i="7"/>
  <c r="S101" i="7"/>
  <c r="Q101" i="7"/>
  <c r="E101" i="7"/>
  <c r="D101" i="7"/>
  <c r="C101" i="7"/>
  <c r="B101" i="7"/>
  <c r="K99" i="7"/>
  <c r="H99" i="7"/>
  <c r="G99" i="7"/>
  <c r="E99" i="7"/>
  <c r="J98" i="7"/>
  <c r="E98" i="7"/>
  <c r="J97" i="7"/>
  <c r="E97" i="7"/>
  <c r="J96" i="7"/>
  <c r="E96" i="7"/>
  <c r="J95" i="7"/>
  <c r="I95" i="7"/>
  <c r="H95" i="7"/>
  <c r="G95" i="7"/>
  <c r="F95" i="7"/>
  <c r="J94" i="7"/>
  <c r="I94" i="7"/>
  <c r="H94" i="7"/>
  <c r="G94" i="7"/>
  <c r="F94" i="7"/>
  <c r="J93" i="7"/>
  <c r="I93" i="7"/>
  <c r="H93" i="7"/>
  <c r="G93" i="7"/>
  <c r="F93" i="7"/>
  <c r="J92" i="7"/>
  <c r="I100" i="7" s="1"/>
  <c r="I92" i="7"/>
  <c r="H92" i="7"/>
  <c r="G92" i="7"/>
  <c r="F92" i="7"/>
  <c r="C91" i="7"/>
  <c r="V90" i="7"/>
  <c r="T90" i="7"/>
  <c r="R90" i="7"/>
  <c r="U90" i="7"/>
  <c r="S90" i="7"/>
  <c r="Q90" i="7"/>
  <c r="E90" i="7"/>
  <c r="D90" i="7"/>
  <c r="C90" i="7"/>
  <c r="B90" i="7"/>
  <c r="K88" i="7"/>
  <c r="H88" i="7"/>
  <c r="G88" i="7"/>
  <c r="E88" i="7"/>
  <c r="E87" i="7"/>
  <c r="E86" i="7"/>
  <c r="J85" i="7"/>
  <c r="I85" i="7"/>
  <c r="H85" i="7"/>
  <c r="G85" i="7"/>
  <c r="F85" i="7"/>
  <c r="C84" i="7"/>
  <c r="V83" i="7"/>
  <c r="T83" i="7"/>
  <c r="J87" i="7" s="1"/>
  <c r="R83" i="7"/>
  <c r="J86" i="7" s="1"/>
  <c r="U83" i="7"/>
  <c r="S83" i="7"/>
  <c r="Q83" i="7"/>
  <c r="E83" i="7"/>
  <c r="D83" i="7"/>
  <c r="C83" i="7"/>
  <c r="B83" i="7"/>
  <c r="K81" i="7"/>
  <c r="H81" i="7"/>
  <c r="G81" i="7"/>
  <c r="E81" i="7"/>
  <c r="E80" i="7"/>
  <c r="J79" i="7"/>
  <c r="E79" i="7"/>
  <c r="E78" i="7"/>
  <c r="J77" i="7"/>
  <c r="I77" i="7"/>
  <c r="H77" i="7"/>
  <c r="G77" i="7"/>
  <c r="F77" i="7"/>
  <c r="J76" i="7"/>
  <c r="I76" i="7"/>
  <c r="H76" i="7"/>
  <c r="G76" i="7"/>
  <c r="F76" i="7"/>
  <c r="J75" i="7"/>
  <c r="I75" i="7"/>
  <c r="H75" i="7"/>
  <c r="G75" i="7"/>
  <c r="F75" i="7"/>
  <c r="J74" i="7"/>
  <c r="I74" i="7"/>
  <c r="H74" i="7"/>
  <c r="G74" i="7"/>
  <c r="F74" i="7"/>
  <c r="C73" i="7"/>
  <c r="V72" i="7"/>
  <c r="J80" i="7" s="1"/>
  <c r="T72" i="7"/>
  <c r="R72" i="7"/>
  <c r="J78" i="7" s="1"/>
  <c r="U72" i="7"/>
  <c r="S72" i="7"/>
  <c r="Q72" i="7"/>
  <c r="E72" i="7"/>
  <c r="D72" i="7"/>
  <c r="C72" i="7"/>
  <c r="B72" i="7"/>
  <c r="K70" i="7"/>
  <c r="H70" i="7"/>
  <c r="G70" i="7"/>
  <c r="E70" i="7"/>
  <c r="E69" i="7"/>
  <c r="E68" i="7"/>
  <c r="J67" i="7"/>
  <c r="I67" i="7"/>
  <c r="H67" i="7"/>
  <c r="F67" i="7"/>
  <c r="V67" i="7"/>
  <c r="T67" i="7"/>
  <c r="R67" i="7"/>
  <c r="U67" i="7"/>
  <c r="S67" i="7"/>
  <c r="Q67" i="7"/>
  <c r="E67" i="7"/>
  <c r="D67" i="7"/>
  <c r="B67" i="7"/>
  <c r="J66" i="7"/>
  <c r="I66" i="7"/>
  <c r="H66" i="7"/>
  <c r="F66" i="7"/>
  <c r="V66" i="7"/>
  <c r="T66" i="7"/>
  <c r="R66" i="7"/>
  <c r="U66" i="7"/>
  <c r="S66" i="7"/>
  <c r="Q66" i="7"/>
  <c r="E66" i="7"/>
  <c r="D66" i="7"/>
  <c r="C66" i="7"/>
  <c r="B66" i="7"/>
  <c r="J65" i="7"/>
  <c r="I65" i="7"/>
  <c r="H65" i="7"/>
  <c r="G65" i="7"/>
  <c r="F65" i="7"/>
  <c r="J64" i="7"/>
  <c r="I71" i="7" s="1"/>
  <c r="I64" i="7"/>
  <c r="H64" i="7"/>
  <c r="G64" i="7"/>
  <c r="F64" i="7"/>
  <c r="C63" i="7"/>
  <c r="V62" i="7"/>
  <c r="T62" i="7"/>
  <c r="J69" i="7" s="1"/>
  <c r="R62" i="7"/>
  <c r="J68" i="7" s="1"/>
  <c r="U62" i="7"/>
  <c r="S62" i="7"/>
  <c r="Q62" i="7"/>
  <c r="E62" i="7"/>
  <c r="D62" i="7"/>
  <c r="C62" i="7"/>
  <c r="B62" i="7"/>
  <c r="K60" i="7"/>
  <c r="H60" i="7"/>
  <c r="G60" i="7"/>
  <c r="E60" i="7"/>
  <c r="E59" i="7"/>
  <c r="E58" i="7"/>
  <c r="J57" i="7"/>
  <c r="I57" i="7"/>
  <c r="H57" i="7"/>
  <c r="F57" i="7"/>
  <c r="V57" i="7"/>
  <c r="T57" i="7"/>
  <c r="R57" i="7"/>
  <c r="J58" i="7" s="1"/>
  <c r="U57" i="7"/>
  <c r="S57" i="7"/>
  <c r="Q57" i="7"/>
  <c r="E57" i="7"/>
  <c r="D57" i="7"/>
  <c r="B57" i="7"/>
  <c r="J56" i="7"/>
  <c r="I56" i="7"/>
  <c r="H56" i="7"/>
  <c r="F56" i="7"/>
  <c r="V56" i="7"/>
  <c r="T56" i="7"/>
  <c r="R56" i="7"/>
  <c r="U56" i="7"/>
  <c r="S56" i="7"/>
  <c r="Q56" i="7"/>
  <c r="E56" i="7"/>
  <c r="D56" i="7"/>
  <c r="B56" i="7"/>
  <c r="J55" i="7"/>
  <c r="I55" i="7"/>
  <c r="H55" i="7"/>
  <c r="G55" i="7"/>
  <c r="F55" i="7"/>
  <c r="J54" i="7"/>
  <c r="I61" i="7" s="1"/>
  <c r="I54" i="7"/>
  <c r="H54" i="7"/>
  <c r="G54" i="7"/>
  <c r="F54" i="7"/>
  <c r="C53" i="7"/>
  <c r="V52" i="7"/>
  <c r="T52" i="7"/>
  <c r="J59" i="7" s="1"/>
  <c r="R52" i="7"/>
  <c r="U52" i="7"/>
  <c r="S52" i="7"/>
  <c r="Q52" i="7"/>
  <c r="E52" i="7"/>
  <c r="D52" i="7"/>
  <c r="C52" i="7"/>
  <c r="B52" i="7"/>
  <c r="K50" i="7"/>
  <c r="H50" i="7"/>
  <c r="G50" i="7"/>
  <c r="E50" i="7"/>
  <c r="J49" i="7"/>
  <c r="E49" i="7"/>
  <c r="J48" i="7"/>
  <c r="E48" i="7"/>
  <c r="J47" i="7"/>
  <c r="I51" i="7" s="1"/>
  <c r="I47" i="7"/>
  <c r="H47" i="7"/>
  <c r="G47" i="7"/>
  <c r="F47" i="7"/>
  <c r="C46" i="7"/>
  <c r="V45" i="7"/>
  <c r="T45" i="7"/>
  <c r="R45" i="7"/>
  <c r="U45" i="7"/>
  <c r="S45" i="7"/>
  <c r="Q45" i="7"/>
  <c r="E45" i="7"/>
  <c r="D45" i="7"/>
  <c r="C45" i="7"/>
  <c r="B45" i="7"/>
  <c r="K43" i="7"/>
  <c r="H43" i="7"/>
  <c r="G43" i="7"/>
  <c r="E43" i="7"/>
  <c r="E42" i="7"/>
  <c r="E41" i="7"/>
  <c r="J40" i="7"/>
  <c r="I40" i="7"/>
  <c r="H40" i="7"/>
  <c r="G40" i="7"/>
  <c r="F40" i="7"/>
  <c r="J39" i="7"/>
  <c r="I39" i="7"/>
  <c r="H39" i="7"/>
  <c r="G39" i="7"/>
  <c r="F39" i="7"/>
  <c r="C38" i="7"/>
  <c r="V37" i="7"/>
  <c r="T37" i="7"/>
  <c r="J42" i="7" s="1"/>
  <c r="R37" i="7"/>
  <c r="J41" i="7" s="1"/>
  <c r="U37" i="7"/>
  <c r="S37" i="7"/>
  <c r="Q37" i="7"/>
  <c r="E37" i="7"/>
  <c r="D37" i="7"/>
  <c r="C37" i="7"/>
  <c r="B37" i="7"/>
  <c r="A36" i="7"/>
  <c r="A34" i="7"/>
  <c r="A32" i="7"/>
  <c r="A18" i="7"/>
  <c r="A15" i="7"/>
  <c r="A10" i="7"/>
  <c r="B6" i="7"/>
  <c r="A1" i="7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" i="3"/>
  <c r="Y1" i="3"/>
  <c r="CY1" i="3"/>
  <c r="CZ1" i="3"/>
  <c r="DA1" i="3"/>
  <c r="DB1" i="3"/>
  <c r="DC1" i="3"/>
  <c r="A2" i="3"/>
  <c r="Y2" i="3"/>
  <c r="CY2" i="3"/>
  <c r="CZ2" i="3"/>
  <c r="DA2" i="3"/>
  <c r="DB2" i="3"/>
  <c r="DC2" i="3"/>
  <c r="A3" i="3"/>
  <c r="Y3" i="3"/>
  <c r="CY3" i="3"/>
  <c r="CZ3" i="3"/>
  <c r="DB3" i="3" s="1"/>
  <c r="DA3" i="3"/>
  <c r="DC3" i="3"/>
  <c r="A4" i="3"/>
  <c r="Y4" i="3"/>
  <c r="CY4" i="3"/>
  <c r="CZ4" i="3"/>
  <c r="DA4" i="3"/>
  <c r="DB4" i="3"/>
  <c r="DC4" i="3"/>
  <c r="A5" i="3"/>
  <c r="Y5" i="3"/>
  <c r="CY5" i="3"/>
  <c r="CZ5" i="3"/>
  <c r="DA5" i="3"/>
  <c r="DB5" i="3"/>
  <c r="DC5" i="3"/>
  <c r="A6" i="3"/>
  <c r="Y6" i="3"/>
  <c r="CY6" i="3"/>
  <c r="CZ6" i="3"/>
  <c r="DA6" i="3"/>
  <c r="DB6" i="3"/>
  <c r="DC6" i="3"/>
  <c r="A7" i="3"/>
  <c r="Y7" i="3"/>
  <c r="CY7" i="3"/>
  <c r="CZ7" i="3"/>
  <c r="DA7" i="3"/>
  <c r="DB7" i="3"/>
  <c r="DC7" i="3"/>
  <c r="A8" i="3"/>
  <c r="Y8" i="3"/>
  <c r="CY8" i="3"/>
  <c r="CZ8" i="3"/>
  <c r="DA8" i="3"/>
  <c r="DB8" i="3"/>
  <c r="DC8" i="3"/>
  <c r="A9" i="3"/>
  <c r="Y9" i="3"/>
  <c r="CY9" i="3"/>
  <c r="CZ9" i="3"/>
  <c r="DB9" i="3" s="1"/>
  <c r="DA9" i="3"/>
  <c r="DC9" i="3"/>
  <c r="A10" i="3"/>
  <c r="Y10" i="3"/>
  <c r="CY10" i="3"/>
  <c r="CZ10" i="3"/>
  <c r="DB10" i="3" s="1"/>
  <c r="DA10" i="3"/>
  <c r="DC10" i="3"/>
  <c r="A11" i="3"/>
  <c r="Y11" i="3"/>
  <c r="CY11" i="3"/>
  <c r="CZ11" i="3"/>
  <c r="DA11" i="3"/>
  <c r="DB11" i="3"/>
  <c r="DC11" i="3"/>
  <c r="A12" i="3"/>
  <c r="Y12" i="3"/>
  <c r="CY12" i="3"/>
  <c r="CZ12" i="3"/>
  <c r="DA12" i="3"/>
  <c r="DB12" i="3"/>
  <c r="DC12" i="3"/>
  <c r="A13" i="3"/>
  <c r="Y13" i="3"/>
  <c r="CY13" i="3"/>
  <c r="CZ13" i="3"/>
  <c r="DA13" i="3"/>
  <c r="DB13" i="3"/>
  <c r="DC13" i="3"/>
  <c r="A14" i="3"/>
  <c r="Y14" i="3"/>
  <c r="CY14" i="3"/>
  <c r="CZ14" i="3"/>
  <c r="DB14" i="3" s="1"/>
  <c r="DA14" i="3"/>
  <c r="DC14" i="3"/>
  <c r="A15" i="3"/>
  <c r="Y15" i="3"/>
  <c r="CY15" i="3"/>
  <c r="CZ15" i="3"/>
  <c r="DA15" i="3"/>
  <c r="DB15" i="3"/>
  <c r="DC15" i="3"/>
  <c r="A16" i="3"/>
  <c r="Y16" i="3"/>
  <c r="CY16" i="3"/>
  <c r="CZ16" i="3"/>
  <c r="DB16" i="3" s="1"/>
  <c r="DA16" i="3"/>
  <c r="DC16" i="3"/>
  <c r="A17" i="3"/>
  <c r="Y17" i="3"/>
  <c r="CY17" i="3"/>
  <c r="CZ17" i="3"/>
  <c r="DB17" i="3" s="1"/>
  <c r="DA17" i="3"/>
  <c r="DC17" i="3"/>
  <c r="A18" i="3"/>
  <c r="Y18" i="3"/>
  <c r="CY18" i="3"/>
  <c r="CZ18" i="3"/>
  <c r="DA18" i="3"/>
  <c r="DB18" i="3"/>
  <c r="DC18" i="3"/>
  <c r="A19" i="3"/>
  <c r="Y19" i="3"/>
  <c r="CY19" i="3"/>
  <c r="CZ19" i="3"/>
  <c r="DA19" i="3"/>
  <c r="DB19" i="3"/>
  <c r="DC19" i="3"/>
  <c r="A20" i="3"/>
  <c r="Y20" i="3"/>
  <c r="CY20" i="3"/>
  <c r="CZ20" i="3"/>
  <c r="DB20" i="3" s="1"/>
  <c r="DA20" i="3"/>
  <c r="DC20" i="3"/>
  <c r="A21" i="3"/>
  <c r="Y21" i="3"/>
  <c r="CY21" i="3"/>
  <c r="CZ21" i="3"/>
  <c r="DA21" i="3"/>
  <c r="DB21" i="3"/>
  <c r="DC21" i="3"/>
  <c r="A22" i="3"/>
  <c r="Y22" i="3"/>
  <c r="CY22" i="3"/>
  <c r="CZ22" i="3"/>
  <c r="DA22" i="3"/>
  <c r="DB22" i="3"/>
  <c r="DC22" i="3"/>
  <c r="A23" i="3"/>
  <c r="Y23" i="3"/>
  <c r="CY23" i="3"/>
  <c r="CZ23" i="3"/>
  <c r="DB23" i="3" s="1"/>
  <c r="DA23" i="3"/>
  <c r="DC23" i="3"/>
  <c r="A24" i="3"/>
  <c r="Y24" i="3"/>
  <c r="CY24" i="3"/>
  <c r="CZ24" i="3"/>
  <c r="DA24" i="3"/>
  <c r="DB24" i="3"/>
  <c r="DC24" i="3"/>
  <c r="A25" i="3"/>
  <c r="Y25" i="3"/>
  <c r="CY25" i="3"/>
  <c r="CZ25" i="3"/>
  <c r="DA25" i="3"/>
  <c r="DB25" i="3"/>
  <c r="DC25" i="3"/>
  <c r="A26" i="3"/>
  <c r="Y26" i="3"/>
  <c r="CY26" i="3"/>
  <c r="CZ26" i="3"/>
  <c r="DA26" i="3"/>
  <c r="DB26" i="3"/>
  <c r="DC26" i="3"/>
  <c r="A27" i="3"/>
  <c r="Y27" i="3"/>
  <c r="CY27" i="3"/>
  <c r="CZ27" i="3"/>
  <c r="DA27" i="3"/>
  <c r="DB27" i="3"/>
  <c r="DC27" i="3"/>
  <c r="A28" i="3"/>
  <c r="Y28" i="3"/>
  <c r="CY28" i="3"/>
  <c r="CZ28" i="3"/>
  <c r="DB28" i="3" s="1"/>
  <c r="DA28" i="3"/>
  <c r="DC28" i="3"/>
  <c r="A29" i="3"/>
  <c r="Y29" i="3"/>
  <c r="CY29" i="3"/>
  <c r="CZ29" i="3"/>
  <c r="DA29" i="3"/>
  <c r="DB29" i="3"/>
  <c r="DC29" i="3"/>
  <c r="A30" i="3"/>
  <c r="Y30" i="3"/>
  <c r="CY30" i="3"/>
  <c r="CZ30" i="3"/>
  <c r="DB30" i="3" s="1"/>
  <c r="DA30" i="3"/>
  <c r="DC30" i="3"/>
  <c r="A31" i="3"/>
  <c r="Y31" i="3"/>
  <c r="CY31" i="3"/>
  <c r="CZ31" i="3"/>
  <c r="DB31" i="3" s="1"/>
  <c r="DA31" i="3"/>
  <c r="DC31" i="3"/>
  <c r="A32" i="3"/>
  <c r="Y32" i="3"/>
  <c r="CY32" i="3"/>
  <c r="CZ32" i="3"/>
  <c r="DB32" i="3" s="1"/>
  <c r="DA32" i="3"/>
  <c r="DC32" i="3"/>
  <c r="A33" i="3"/>
  <c r="Y33" i="3"/>
  <c r="CY33" i="3"/>
  <c r="CZ33" i="3"/>
  <c r="DA33" i="3"/>
  <c r="DB33" i="3"/>
  <c r="DC33" i="3"/>
  <c r="A34" i="3"/>
  <c r="Y34" i="3"/>
  <c r="CY34" i="3"/>
  <c r="CZ34" i="3"/>
  <c r="DA34" i="3"/>
  <c r="DB34" i="3"/>
  <c r="DC34" i="3"/>
  <c r="A35" i="3"/>
  <c r="Y35" i="3"/>
  <c r="CY35" i="3"/>
  <c r="CZ35" i="3"/>
  <c r="DA35" i="3"/>
  <c r="DB35" i="3"/>
  <c r="DC35" i="3"/>
  <c r="A36" i="3"/>
  <c r="Y36" i="3"/>
  <c r="CY36" i="3"/>
  <c r="CZ36" i="3"/>
  <c r="DB36" i="3" s="1"/>
  <c r="DA36" i="3"/>
  <c r="DC36" i="3"/>
  <c r="A37" i="3"/>
  <c r="Y37" i="3"/>
  <c r="CY37" i="3"/>
  <c r="CZ37" i="3"/>
  <c r="DA37" i="3"/>
  <c r="DB37" i="3"/>
  <c r="DC37" i="3"/>
  <c r="A38" i="3"/>
  <c r="Y38" i="3"/>
  <c r="CY38" i="3"/>
  <c r="CZ38" i="3"/>
  <c r="DB38" i="3" s="1"/>
  <c r="DA38" i="3"/>
  <c r="DC38" i="3"/>
  <c r="A39" i="3"/>
  <c r="Y39" i="3"/>
  <c r="CY39" i="3"/>
  <c r="CZ39" i="3"/>
  <c r="DB39" i="3" s="1"/>
  <c r="DA39" i="3"/>
  <c r="DC39" i="3"/>
  <c r="A40" i="3"/>
  <c r="Y40" i="3"/>
  <c r="CY40" i="3"/>
  <c r="CZ40" i="3"/>
  <c r="DA40" i="3"/>
  <c r="DB40" i="3"/>
  <c r="DC40" i="3"/>
  <c r="A41" i="3"/>
  <c r="Y41" i="3"/>
  <c r="CY41" i="3"/>
  <c r="CZ41" i="3"/>
  <c r="DA41" i="3"/>
  <c r="DB41" i="3"/>
  <c r="DC41" i="3"/>
  <c r="A42" i="3"/>
  <c r="Y42" i="3"/>
  <c r="CY42" i="3"/>
  <c r="CZ42" i="3"/>
  <c r="DA42" i="3"/>
  <c r="DB42" i="3"/>
  <c r="DC42" i="3"/>
  <c r="A43" i="3"/>
  <c r="Y43" i="3"/>
  <c r="CY43" i="3"/>
  <c r="CZ43" i="3"/>
  <c r="DB43" i="3" s="1"/>
  <c r="DA43" i="3"/>
  <c r="DC43" i="3"/>
  <c r="A44" i="3"/>
  <c r="Y44" i="3"/>
  <c r="CY44" i="3"/>
  <c r="CZ44" i="3"/>
  <c r="DB44" i="3" s="1"/>
  <c r="DA44" i="3"/>
  <c r="DC44" i="3"/>
  <c r="A45" i="3"/>
  <c r="Y45" i="3"/>
  <c r="CY45" i="3"/>
  <c r="CZ45" i="3"/>
  <c r="DB45" i="3" s="1"/>
  <c r="DA45" i="3"/>
  <c r="DC45" i="3"/>
  <c r="A46" i="3"/>
  <c r="Y46" i="3"/>
  <c r="CY46" i="3"/>
  <c r="CZ46" i="3"/>
  <c r="DA46" i="3"/>
  <c r="DB46" i="3"/>
  <c r="DC46" i="3"/>
  <c r="A47" i="3"/>
  <c r="Y47" i="3"/>
  <c r="CY47" i="3"/>
  <c r="CZ47" i="3"/>
  <c r="DA47" i="3"/>
  <c r="DB47" i="3"/>
  <c r="DC47" i="3"/>
  <c r="A48" i="3"/>
  <c r="Y48" i="3"/>
  <c r="CY48" i="3"/>
  <c r="CZ48" i="3"/>
  <c r="DA48" i="3"/>
  <c r="DB48" i="3"/>
  <c r="DC48" i="3"/>
  <c r="A49" i="3"/>
  <c r="Y49" i="3"/>
  <c r="CY49" i="3"/>
  <c r="CZ49" i="3"/>
  <c r="DB49" i="3" s="1"/>
  <c r="DA49" i="3"/>
  <c r="DC49" i="3"/>
  <c r="A50" i="3"/>
  <c r="Y50" i="3"/>
  <c r="CY50" i="3"/>
  <c r="CZ50" i="3"/>
  <c r="DB50" i="3" s="1"/>
  <c r="DA50" i="3"/>
  <c r="DC50" i="3"/>
  <c r="A51" i="3"/>
  <c r="Y51" i="3"/>
  <c r="CY51" i="3"/>
  <c r="CZ51" i="3"/>
  <c r="DB51" i="3" s="1"/>
  <c r="DA51" i="3"/>
  <c r="DC51" i="3"/>
  <c r="A52" i="3"/>
  <c r="Y52" i="3"/>
  <c r="CY52" i="3"/>
  <c r="CZ52" i="3"/>
  <c r="DA52" i="3"/>
  <c r="DB52" i="3"/>
  <c r="DC52" i="3"/>
  <c r="A53" i="3"/>
  <c r="Y53" i="3"/>
  <c r="CY53" i="3"/>
  <c r="CZ53" i="3"/>
  <c r="DA53" i="3"/>
  <c r="DB53" i="3"/>
  <c r="DC53" i="3"/>
  <c r="A54" i="3"/>
  <c r="Y54" i="3"/>
  <c r="CY54" i="3"/>
  <c r="CZ54" i="3"/>
  <c r="DA54" i="3"/>
  <c r="DB54" i="3"/>
  <c r="DC54" i="3"/>
  <c r="A55" i="3"/>
  <c r="Y55" i="3"/>
  <c r="CY55" i="3"/>
  <c r="CZ55" i="3"/>
  <c r="DA55" i="3"/>
  <c r="DB55" i="3"/>
  <c r="DC55" i="3"/>
  <c r="A56" i="3"/>
  <c r="Y56" i="3"/>
  <c r="CY56" i="3"/>
  <c r="CZ56" i="3"/>
  <c r="DA56" i="3"/>
  <c r="DB56" i="3"/>
  <c r="DC56" i="3"/>
  <c r="A57" i="3"/>
  <c r="Y57" i="3"/>
  <c r="CY57" i="3"/>
  <c r="CZ57" i="3"/>
  <c r="DB57" i="3" s="1"/>
  <c r="DA57" i="3"/>
  <c r="DC57" i="3"/>
  <c r="A58" i="3"/>
  <c r="Y58" i="3"/>
  <c r="CY58" i="3"/>
  <c r="CZ58" i="3"/>
  <c r="DA58" i="3"/>
  <c r="DB58" i="3"/>
  <c r="DC58" i="3"/>
  <c r="A59" i="3"/>
  <c r="Y59" i="3"/>
  <c r="CY59" i="3"/>
  <c r="CZ59" i="3"/>
  <c r="DB59" i="3" s="1"/>
  <c r="DA59" i="3"/>
  <c r="DC59" i="3"/>
  <c r="A60" i="3"/>
  <c r="Y60" i="3"/>
  <c r="CY60" i="3"/>
  <c r="CZ60" i="3"/>
  <c r="DA60" i="3"/>
  <c r="DB60" i="3"/>
  <c r="DC60" i="3"/>
  <c r="A61" i="3"/>
  <c r="Y61" i="3"/>
  <c r="CY61" i="3"/>
  <c r="CZ61" i="3"/>
  <c r="DB61" i="3" s="1"/>
  <c r="DA61" i="3"/>
  <c r="DC61" i="3"/>
  <c r="A62" i="3"/>
  <c r="Y62" i="3"/>
  <c r="CY62" i="3"/>
  <c r="CZ62" i="3"/>
  <c r="DB62" i="3" s="1"/>
  <c r="DA62" i="3"/>
  <c r="DC62" i="3"/>
  <c r="A63" i="3"/>
  <c r="Y63" i="3"/>
  <c r="CY63" i="3"/>
  <c r="CZ63" i="3"/>
  <c r="DB63" i="3" s="1"/>
  <c r="DA63" i="3"/>
  <c r="DC63" i="3"/>
  <c r="A64" i="3"/>
  <c r="Y64" i="3"/>
  <c r="CY64" i="3"/>
  <c r="CZ64" i="3"/>
  <c r="DA64" i="3"/>
  <c r="DB64" i="3"/>
  <c r="DC64" i="3"/>
  <c r="A65" i="3"/>
  <c r="Y65" i="3"/>
  <c r="CY65" i="3"/>
  <c r="CZ65" i="3"/>
  <c r="DB65" i="3" s="1"/>
  <c r="DA65" i="3"/>
  <c r="DC65" i="3"/>
  <c r="A66" i="3"/>
  <c r="Y66" i="3"/>
  <c r="CY66" i="3"/>
  <c r="CZ66" i="3"/>
  <c r="DA66" i="3"/>
  <c r="DB66" i="3"/>
  <c r="DC66" i="3"/>
  <c r="A67" i="3"/>
  <c r="Y67" i="3"/>
  <c r="CY67" i="3"/>
  <c r="CZ67" i="3"/>
  <c r="DB67" i="3" s="1"/>
  <c r="DA67" i="3"/>
  <c r="DC67" i="3"/>
  <c r="A68" i="3"/>
  <c r="Y68" i="3"/>
  <c r="CY68" i="3"/>
  <c r="CZ68" i="3"/>
  <c r="DA68" i="3"/>
  <c r="DB68" i="3"/>
  <c r="DC68" i="3"/>
  <c r="A69" i="3"/>
  <c r="Y69" i="3"/>
  <c r="CY69" i="3"/>
  <c r="CZ69" i="3"/>
  <c r="DA69" i="3"/>
  <c r="DB69" i="3"/>
  <c r="DC69" i="3"/>
  <c r="A70" i="3"/>
  <c r="Y70" i="3"/>
  <c r="CY70" i="3"/>
  <c r="CZ70" i="3"/>
  <c r="DA70" i="3"/>
  <c r="DB70" i="3"/>
  <c r="DC70" i="3"/>
  <c r="A71" i="3"/>
  <c r="Y71" i="3"/>
  <c r="CY71" i="3"/>
  <c r="CZ71" i="3"/>
  <c r="DA71" i="3"/>
  <c r="DB71" i="3"/>
  <c r="DC71" i="3"/>
  <c r="A72" i="3"/>
  <c r="Y72" i="3"/>
  <c r="CY72" i="3"/>
  <c r="CZ72" i="3"/>
  <c r="DB72" i="3" s="1"/>
  <c r="DA72" i="3"/>
  <c r="DC72" i="3"/>
  <c r="A73" i="3"/>
  <c r="Y73" i="3"/>
  <c r="CY73" i="3"/>
  <c r="CZ73" i="3"/>
  <c r="DA73" i="3"/>
  <c r="DB73" i="3"/>
  <c r="DC73" i="3"/>
  <c r="A74" i="3"/>
  <c r="Y74" i="3"/>
  <c r="CY74" i="3"/>
  <c r="CZ74" i="3"/>
  <c r="DA74" i="3"/>
  <c r="DB74" i="3"/>
  <c r="DC74" i="3"/>
  <c r="A75" i="3"/>
  <c r="Y75" i="3"/>
  <c r="CY75" i="3"/>
  <c r="CZ75" i="3"/>
  <c r="DB75" i="3" s="1"/>
  <c r="DA75" i="3"/>
  <c r="DC75" i="3"/>
  <c r="A76" i="3"/>
  <c r="Y76" i="3"/>
  <c r="CY76" i="3"/>
  <c r="CZ76" i="3"/>
  <c r="DB76" i="3" s="1"/>
  <c r="DA76" i="3"/>
  <c r="DC76" i="3"/>
  <c r="A77" i="3"/>
  <c r="Y77" i="3"/>
  <c r="CV77" i="3" s="1"/>
  <c r="CU77" i="3"/>
  <c r="CY77" i="3"/>
  <c r="CZ77" i="3"/>
  <c r="DB77" i="3" s="1"/>
  <c r="DA77" i="3"/>
  <c r="DC77" i="3"/>
  <c r="A78" i="3"/>
  <c r="Y78" i="3"/>
  <c r="CX78" i="3" s="1"/>
  <c r="CW78" i="3"/>
  <c r="CY78" i="3"/>
  <c r="CZ78" i="3"/>
  <c r="DB78" i="3" s="1"/>
  <c r="DA78" i="3"/>
  <c r="DC78" i="3"/>
  <c r="A79" i="3"/>
  <c r="Y79" i="3"/>
  <c r="CX79" i="3"/>
  <c r="DF79" i="3" s="1"/>
  <c r="CY79" i="3"/>
  <c r="CZ79" i="3"/>
  <c r="DB79" i="3" s="1"/>
  <c r="DA79" i="3"/>
  <c r="DC79" i="3"/>
  <c r="DG79" i="3"/>
  <c r="DH79" i="3"/>
  <c r="DJ79" i="3"/>
  <c r="A80" i="3"/>
  <c r="Y80" i="3"/>
  <c r="CX80" i="3"/>
  <c r="DF80" i="3" s="1"/>
  <c r="DJ80" i="3" s="1"/>
  <c r="CY80" i="3"/>
  <c r="CZ80" i="3"/>
  <c r="DB80" i="3" s="1"/>
  <c r="DA80" i="3"/>
  <c r="DC80" i="3"/>
  <c r="A81" i="3"/>
  <c r="Y81" i="3"/>
  <c r="CX81" i="3"/>
  <c r="CY81" i="3"/>
  <c r="CZ81" i="3"/>
  <c r="DA81" i="3"/>
  <c r="DB81" i="3"/>
  <c r="DC81" i="3"/>
  <c r="DH81" i="3"/>
  <c r="A82" i="3"/>
  <c r="Y82" i="3"/>
  <c r="CX82" i="3"/>
  <c r="DG82" i="3" s="1"/>
  <c r="CY82" i="3"/>
  <c r="CZ82" i="3"/>
  <c r="DA82" i="3"/>
  <c r="DB82" i="3"/>
  <c r="DC82" i="3"/>
  <c r="DF82" i="3"/>
  <c r="DJ82" i="3" s="1"/>
  <c r="DH82" i="3"/>
  <c r="DI82" i="3"/>
  <c r="A83" i="3"/>
  <c r="Y83" i="3"/>
  <c r="CX83" i="3" s="1"/>
  <c r="CY83" i="3"/>
  <c r="CZ83" i="3"/>
  <c r="DA83" i="3"/>
  <c r="DB83" i="3"/>
  <c r="DC83" i="3"/>
  <c r="A84" i="3"/>
  <c r="Y84" i="3"/>
  <c r="CX84" i="3"/>
  <c r="DG84" i="3" s="1"/>
  <c r="CY84" i="3"/>
  <c r="CZ84" i="3"/>
  <c r="DB84" i="3" s="1"/>
  <c r="DA84" i="3"/>
  <c r="DC84" i="3"/>
  <c r="DI84" i="3"/>
  <c r="A85" i="3"/>
  <c r="Y85" i="3"/>
  <c r="CX85" i="3" s="1"/>
  <c r="CY85" i="3"/>
  <c r="CZ85" i="3"/>
  <c r="DB85" i="3" s="1"/>
  <c r="DA85" i="3"/>
  <c r="DC85" i="3"/>
  <c r="DG85" i="3"/>
  <c r="DI85" i="3"/>
  <c r="A86" i="3"/>
  <c r="Y86" i="3"/>
  <c r="CX86" i="3" s="1"/>
  <c r="CY86" i="3"/>
  <c r="CZ86" i="3"/>
  <c r="DB86" i="3" s="1"/>
  <c r="DA86" i="3"/>
  <c r="DC86" i="3"/>
  <c r="A87" i="3"/>
  <c r="Y87" i="3"/>
  <c r="CX87" i="3"/>
  <c r="DF87" i="3" s="1"/>
  <c r="CY87" i="3"/>
  <c r="CZ87" i="3"/>
  <c r="DB87" i="3" s="1"/>
  <c r="DA87" i="3"/>
  <c r="DC87" i="3"/>
  <c r="DG87" i="3"/>
  <c r="DH87" i="3"/>
  <c r="DJ87" i="3"/>
  <c r="A88" i="3"/>
  <c r="Y88" i="3"/>
  <c r="CX88" i="3"/>
  <c r="CY88" i="3"/>
  <c r="CZ88" i="3"/>
  <c r="DB88" i="3" s="1"/>
  <c r="DA88" i="3"/>
  <c r="DC88" i="3"/>
  <c r="DI88" i="3"/>
  <c r="A89" i="3"/>
  <c r="Y89" i="3"/>
  <c r="CX89" i="3" s="1"/>
  <c r="CY89" i="3"/>
  <c r="CZ89" i="3"/>
  <c r="DA89" i="3"/>
  <c r="DB89" i="3"/>
  <c r="DC89" i="3"/>
  <c r="DF89" i="3"/>
  <c r="DJ89" i="3" s="1"/>
  <c r="A90" i="3"/>
  <c r="Y90" i="3"/>
  <c r="CX90" i="3" s="1"/>
  <c r="DH90" i="3" s="1"/>
  <c r="CY90" i="3"/>
  <c r="CZ90" i="3"/>
  <c r="DB90" i="3" s="1"/>
  <c r="DA90" i="3"/>
  <c r="DC90" i="3"/>
  <c r="A91" i="3"/>
  <c r="Y91" i="3"/>
  <c r="CX91" i="3" s="1"/>
  <c r="CY91" i="3"/>
  <c r="CZ91" i="3"/>
  <c r="DB91" i="3" s="1"/>
  <c r="DA91" i="3"/>
  <c r="DC91" i="3"/>
  <c r="DI91" i="3"/>
  <c r="A92" i="3"/>
  <c r="Y92" i="3"/>
  <c r="CY92" i="3"/>
  <c r="CZ92" i="3"/>
  <c r="DB92" i="3" s="1"/>
  <c r="DA92" i="3"/>
  <c r="DC92" i="3"/>
  <c r="A93" i="3"/>
  <c r="Y93" i="3"/>
  <c r="CY93" i="3"/>
  <c r="CZ93" i="3"/>
  <c r="DB93" i="3" s="1"/>
  <c r="DA93" i="3"/>
  <c r="DC93" i="3"/>
  <c r="A94" i="3"/>
  <c r="Y94" i="3"/>
  <c r="CY94" i="3"/>
  <c r="CZ94" i="3"/>
  <c r="DA94" i="3"/>
  <c r="DB94" i="3"/>
  <c r="DC94" i="3"/>
  <c r="A95" i="3"/>
  <c r="Y95" i="3"/>
  <c r="CY95" i="3"/>
  <c r="CZ95" i="3"/>
  <c r="DA95" i="3"/>
  <c r="DB95" i="3"/>
  <c r="DC95" i="3"/>
  <c r="A96" i="3"/>
  <c r="Y96" i="3"/>
  <c r="CY96" i="3"/>
  <c r="CZ96" i="3"/>
  <c r="DB96" i="3" s="1"/>
  <c r="DA96" i="3"/>
  <c r="DC96" i="3"/>
  <c r="A97" i="3"/>
  <c r="Y97" i="3"/>
  <c r="CY97" i="3"/>
  <c r="CZ97" i="3"/>
  <c r="DB97" i="3" s="1"/>
  <c r="DA97" i="3"/>
  <c r="DC97" i="3"/>
  <c r="A98" i="3"/>
  <c r="Y98" i="3"/>
  <c r="CY98" i="3"/>
  <c r="CZ98" i="3"/>
  <c r="DB98" i="3" s="1"/>
  <c r="DA98" i="3"/>
  <c r="DC98" i="3"/>
  <c r="A99" i="3"/>
  <c r="Y99" i="3"/>
  <c r="CY99" i="3"/>
  <c r="CZ99" i="3"/>
  <c r="DA99" i="3"/>
  <c r="DB99" i="3"/>
  <c r="DC99" i="3"/>
  <c r="A100" i="3"/>
  <c r="Y100" i="3"/>
  <c r="CY100" i="3"/>
  <c r="CZ100" i="3"/>
  <c r="DA100" i="3"/>
  <c r="DB100" i="3"/>
  <c r="DC100" i="3"/>
  <c r="A101" i="3"/>
  <c r="Y101" i="3"/>
  <c r="CY101" i="3"/>
  <c r="CZ101" i="3"/>
  <c r="DB101" i="3" s="1"/>
  <c r="DA101" i="3"/>
  <c r="DC101" i="3"/>
  <c r="A102" i="3"/>
  <c r="Y102" i="3"/>
  <c r="CY102" i="3"/>
  <c r="CZ102" i="3"/>
  <c r="DB102" i="3" s="1"/>
  <c r="DA102" i="3"/>
  <c r="DC102" i="3"/>
  <c r="A103" i="3"/>
  <c r="Y103" i="3"/>
  <c r="CY103" i="3"/>
  <c r="CZ103" i="3"/>
  <c r="DB103" i="3" s="1"/>
  <c r="DA103" i="3"/>
  <c r="DC103" i="3"/>
  <c r="A104" i="3"/>
  <c r="Y104" i="3"/>
  <c r="CY104" i="3"/>
  <c r="CZ104" i="3"/>
  <c r="DA104" i="3"/>
  <c r="DB104" i="3"/>
  <c r="DC104" i="3"/>
  <c r="A105" i="3"/>
  <c r="Y105" i="3"/>
  <c r="CY105" i="3"/>
  <c r="CZ105" i="3"/>
  <c r="DB105" i="3" s="1"/>
  <c r="DA105" i="3"/>
  <c r="DC105" i="3"/>
  <c r="A106" i="3"/>
  <c r="Y106" i="3"/>
  <c r="CY106" i="3"/>
  <c r="CZ106" i="3"/>
  <c r="DA106" i="3"/>
  <c r="DB106" i="3"/>
  <c r="DC106" i="3"/>
  <c r="A107" i="3"/>
  <c r="Y107" i="3"/>
  <c r="CY107" i="3"/>
  <c r="CZ107" i="3"/>
  <c r="DB107" i="3" s="1"/>
  <c r="DA107" i="3"/>
  <c r="DC107" i="3"/>
  <c r="A108" i="3"/>
  <c r="Y108" i="3"/>
  <c r="CY108" i="3"/>
  <c r="CZ108" i="3"/>
  <c r="DA108" i="3"/>
  <c r="DB108" i="3"/>
  <c r="DC108" i="3"/>
  <c r="A109" i="3"/>
  <c r="Y109" i="3"/>
  <c r="CY109" i="3"/>
  <c r="CZ109" i="3"/>
  <c r="DA109" i="3"/>
  <c r="DB109" i="3"/>
  <c r="DC109" i="3"/>
  <c r="A110" i="3"/>
  <c r="Y110" i="3"/>
  <c r="CY110" i="3"/>
  <c r="CZ110" i="3"/>
  <c r="DB110" i="3" s="1"/>
  <c r="DA110" i="3"/>
  <c r="DC110" i="3"/>
  <c r="A111" i="3"/>
  <c r="Y111" i="3"/>
  <c r="CY111" i="3"/>
  <c r="CZ111" i="3"/>
  <c r="DA111" i="3"/>
  <c r="DB111" i="3"/>
  <c r="DC111" i="3"/>
  <c r="A112" i="3"/>
  <c r="Y112" i="3"/>
  <c r="CX112" i="3" s="1"/>
  <c r="CY112" i="3"/>
  <c r="CZ112" i="3"/>
  <c r="DA112" i="3"/>
  <c r="DB112" i="3"/>
  <c r="DC112" i="3"/>
  <c r="DG112" i="3"/>
  <c r="DJ112" i="3" s="1"/>
  <c r="A113" i="3"/>
  <c r="Y113" i="3"/>
  <c r="CY113" i="3"/>
  <c r="CZ113" i="3"/>
  <c r="DB113" i="3" s="1"/>
  <c r="DA113" i="3"/>
  <c r="DC113" i="3"/>
  <c r="A114" i="3"/>
  <c r="Y114" i="3"/>
  <c r="CY114" i="3"/>
  <c r="CZ114" i="3"/>
  <c r="DB114" i="3" s="1"/>
  <c r="DA114" i="3"/>
  <c r="DC114" i="3"/>
  <c r="A115" i="3"/>
  <c r="Y115" i="3"/>
  <c r="CY115" i="3"/>
  <c r="CZ115" i="3"/>
  <c r="DA115" i="3"/>
  <c r="DB115" i="3"/>
  <c r="DC115" i="3"/>
  <c r="A116" i="3"/>
  <c r="Y116" i="3"/>
  <c r="CY116" i="3"/>
  <c r="CZ116" i="3"/>
  <c r="DA116" i="3"/>
  <c r="DB116" i="3"/>
  <c r="DC116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D28" i="1"/>
  <c r="E30" i="1"/>
  <c r="Z30" i="1"/>
  <c r="AA30" i="1"/>
  <c r="AM30" i="1"/>
  <c r="AN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BS30" i="1"/>
  <c r="BT30" i="1"/>
  <c r="BU30" i="1"/>
  <c r="BV30" i="1"/>
  <c r="BW30" i="1"/>
  <c r="CN30" i="1"/>
  <c r="CO30" i="1"/>
  <c r="CP30" i="1"/>
  <c r="CQ30" i="1"/>
  <c r="CR30" i="1"/>
  <c r="CS30" i="1"/>
  <c r="CT30" i="1"/>
  <c r="CU30" i="1"/>
  <c r="CV30" i="1"/>
  <c r="CW30" i="1"/>
  <c r="CX30" i="1"/>
  <c r="CY30" i="1"/>
  <c r="CZ30" i="1"/>
  <c r="DA30" i="1"/>
  <c r="DB30" i="1"/>
  <c r="DC30" i="1"/>
  <c r="DD30" i="1"/>
  <c r="DE30" i="1"/>
  <c r="DF30" i="1"/>
  <c r="DG30" i="1"/>
  <c r="DH30" i="1"/>
  <c r="DI30" i="1"/>
  <c r="DJ30" i="1"/>
  <c r="DK30" i="1"/>
  <c r="DL30" i="1"/>
  <c r="DM30" i="1"/>
  <c r="DN30" i="1"/>
  <c r="DO30" i="1"/>
  <c r="DP30" i="1"/>
  <c r="DQ30" i="1"/>
  <c r="DR30" i="1"/>
  <c r="DS30" i="1"/>
  <c r="DT30" i="1"/>
  <c r="DU30" i="1"/>
  <c r="DV30" i="1"/>
  <c r="DW30" i="1"/>
  <c r="DX30" i="1"/>
  <c r="DY30" i="1"/>
  <c r="DZ30" i="1"/>
  <c r="EA30" i="1"/>
  <c r="EB30" i="1"/>
  <c r="EC30" i="1"/>
  <c r="ED30" i="1"/>
  <c r="EE30" i="1"/>
  <c r="EF30" i="1"/>
  <c r="EG30" i="1"/>
  <c r="EH30" i="1"/>
  <c r="EI30" i="1"/>
  <c r="EJ30" i="1"/>
  <c r="EK30" i="1"/>
  <c r="EL30" i="1"/>
  <c r="EM30" i="1"/>
  <c r="EN30" i="1"/>
  <c r="EO30" i="1"/>
  <c r="EP30" i="1"/>
  <c r="EQ30" i="1"/>
  <c r="ER30" i="1"/>
  <c r="ES30" i="1"/>
  <c r="ET30" i="1"/>
  <c r="EU30" i="1"/>
  <c r="EV30" i="1"/>
  <c r="EW30" i="1"/>
  <c r="EX30" i="1"/>
  <c r="EY30" i="1"/>
  <c r="EZ30" i="1"/>
  <c r="FA30" i="1"/>
  <c r="FB30" i="1"/>
  <c r="FC30" i="1"/>
  <c r="FD30" i="1"/>
  <c r="FE30" i="1"/>
  <c r="FF30" i="1"/>
  <c r="FG30" i="1"/>
  <c r="FH30" i="1"/>
  <c r="FI30" i="1"/>
  <c r="FJ30" i="1"/>
  <c r="FK30" i="1"/>
  <c r="FL30" i="1"/>
  <c r="FM30" i="1"/>
  <c r="FN30" i="1"/>
  <c r="FO30" i="1"/>
  <c r="FP30" i="1"/>
  <c r="FQ30" i="1"/>
  <c r="FR30" i="1"/>
  <c r="FS30" i="1"/>
  <c r="FT30" i="1"/>
  <c r="FU30" i="1"/>
  <c r="FV30" i="1"/>
  <c r="FW30" i="1"/>
  <c r="FX30" i="1"/>
  <c r="FY30" i="1"/>
  <c r="FZ30" i="1"/>
  <c r="GA30" i="1"/>
  <c r="GB30" i="1"/>
  <c r="GC30" i="1"/>
  <c r="GD30" i="1"/>
  <c r="GE30" i="1"/>
  <c r="GF30" i="1"/>
  <c r="GG30" i="1"/>
  <c r="GH30" i="1"/>
  <c r="GI30" i="1"/>
  <c r="GJ30" i="1"/>
  <c r="GK30" i="1"/>
  <c r="GL30" i="1"/>
  <c r="GM30" i="1"/>
  <c r="GN30" i="1"/>
  <c r="GO30" i="1"/>
  <c r="GP30" i="1"/>
  <c r="GQ30" i="1"/>
  <c r="GR30" i="1"/>
  <c r="GS30" i="1"/>
  <c r="GT30" i="1"/>
  <c r="GU30" i="1"/>
  <c r="GV30" i="1"/>
  <c r="GW30" i="1"/>
  <c r="GX30" i="1"/>
  <c r="C32" i="1"/>
  <c r="D32" i="1"/>
  <c r="I32" i="1"/>
  <c r="K32" i="1"/>
  <c r="Q32" i="1"/>
  <c r="S32" i="1"/>
  <c r="CY32" i="1" s="1"/>
  <c r="X32" i="1" s="1"/>
  <c r="AC32" i="1"/>
  <c r="CQ32" i="1" s="1"/>
  <c r="P32" i="1" s="1"/>
  <c r="AE32" i="1"/>
  <c r="AD32" i="1" s="1"/>
  <c r="AF32" i="1"/>
  <c r="AG32" i="1"/>
  <c r="AH32" i="1"/>
  <c r="AI32" i="1"/>
  <c r="CW32" i="1" s="1"/>
  <c r="V32" i="1" s="1"/>
  <c r="AJ32" i="1"/>
  <c r="CR32" i="1"/>
  <c r="CT32" i="1"/>
  <c r="CU32" i="1"/>
  <c r="T32" i="1" s="1"/>
  <c r="CV32" i="1"/>
  <c r="U32" i="1" s="1"/>
  <c r="CX32" i="1"/>
  <c r="W32" i="1" s="1"/>
  <c r="FR32" i="1"/>
  <c r="GL32" i="1"/>
  <c r="GN32" i="1"/>
  <c r="GO32" i="1"/>
  <c r="GV32" i="1"/>
  <c r="HC32" i="1"/>
  <c r="GX32" i="1" s="1"/>
  <c r="C33" i="1"/>
  <c r="D33" i="1"/>
  <c r="I33" i="1"/>
  <c r="K33" i="1"/>
  <c r="T33" i="1"/>
  <c r="V33" i="1"/>
  <c r="AC33" i="1"/>
  <c r="AB33" i="1" s="1"/>
  <c r="AD33" i="1"/>
  <c r="AE33" i="1"/>
  <c r="AF33" i="1"/>
  <c r="CT33" i="1" s="1"/>
  <c r="S33" i="1" s="1"/>
  <c r="AG33" i="1"/>
  <c r="AH33" i="1"/>
  <c r="CV33" i="1" s="1"/>
  <c r="U33" i="1" s="1"/>
  <c r="AI33" i="1"/>
  <c r="AJ33" i="1"/>
  <c r="CQ33" i="1"/>
  <c r="P33" i="1" s="1"/>
  <c r="CR33" i="1"/>
  <c r="Q33" i="1" s="1"/>
  <c r="CS33" i="1"/>
  <c r="R33" i="1" s="1"/>
  <c r="GK33" i="1" s="1"/>
  <c r="CU33" i="1"/>
  <c r="CW33" i="1"/>
  <c r="CX33" i="1"/>
  <c r="W33" i="1" s="1"/>
  <c r="FR33" i="1"/>
  <c r="GL33" i="1"/>
  <c r="GN33" i="1"/>
  <c r="GO33" i="1"/>
  <c r="GV33" i="1"/>
  <c r="HC33" i="1" s="1"/>
  <c r="GX33" i="1" s="1"/>
  <c r="C34" i="1"/>
  <c r="D34" i="1"/>
  <c r="I34" i="1"/>
  <c r="K34" i="1"/>
  <c r="Q34" i="1"/>
  <c r="W34" i="1"/>
  <c r="AC34" i="1"/>
  <c r="AE34" i="1"/>
  <c r="AD34" i="1" s="1"/>
  <c r="AF34" i="1"/>
  <c r="AG34" i="1"/>
  <c r="CU34" i="1" s="1"/>
  <c r="T34" i="1" s="1"/>
  <c r="AH34" i="1"/>
  <c r="AI34" i="1"/>
  <c r="CW34" i="1" s="1"/>
  <c r="V34" i="1" s="1"/>
  <c r="AJ34" i="1"/>
  <c r="CR34" i="1"/>
  <c r="CS34" i="1"/>
  <c r="R34" i="1" s="1"/>
  <c r="GK34" i="1" s="1"/>
  <c r="CT34" i="1"/>
  <c r="S34" i="1" s="1"/>
  <c r="CV34" i="1"/>
  <c r="U34" i="1" s="1"/>
  <c r="CX34" i="1"/>
  <c r="FR34" i="1"/>
  <c r="GL34" i="1"/>
  <c r="GN34" i="1"/>
  <c r="GO34" i="1"/>
  <c r="GV34" i="1"/>
  <c r="HC34" i="1"/>
  <c r="GX34" i="1" s="1"/>
  <c r="I35" i="1"/>
  <c r="U35" i="1"/>
  <c r="W35" i="1"/>
  <c r="AC35" i="1"/>
  <c r="AE35" i="1"/>
  <c r="AD35" i="1" s="1"/>
  <c r="AF35" i="1"/>
  <c r="AG35" i="1"/>
  <c r="CU35" i="1" s="1"/>
  <c r="T35" i="1" s="1"/>
  <c r="AH35" i="1"/>
  <c r="AI35" i="1"/>
  <c r="CW35" i="1" s="1"/>
  <c r="V35" i="1" s="1"/>
  <c r="AJ35" i="1"/>
  <c r="CQ35" i="1"/>
  <c r="P35" i="1" s="1"/>
  <c r="CP35" i="1" s="1"/>
  <c r="O35" i="1" s="1"/>
  <c r="CR35" i="1"/>
  <c r="Q35" i="1" s="1"/>
  <c r="CT35" i="1"/>
  <c r="S35" i="1" s="1"/>
  <c r="CV35" i="1"/>
  <c r="CX35" i="1"/>
  <c r="FR35" i="1"/>
  <c r="GL35" i="1"/>
  <c r="GN35" i="1"/>
  <c r="GO35" i="1"/>
  <c r="GV35" i="1"/>
  <c r="HC35" i="1"/>
  <c r="GX35" i="1" s="1"/>
  <c r="I36" i="1"/>
  <c r="S36" i="1"/>
  <c r="CY36" i="1" s="1"/>
  <c r="X36" i="1" s="1"/>
  <c r="U36" i="1"/>
  <c r="AC36" i="1"/>
  <c r="AE36" i="1"/>
  <c r="CS36" i="1" s="1"/>
  <c r="R36" i="1" s="1"/>
  <c r="GK36" i="1" s="1"/>
  <c r="AF36" i="1"/>
  <c r="AG36" i="1"/>
  <c r="CU36" i="1" s="1"/>
  <c r="T36" i="1" s="1"/>
  <c r="AH36" i="1"/>
  <c r="AI36" i="1"/>
  <c r="AJ36" i="1"/>
  <c r="CR36" i="1"/>
  <c r="Q36" i="1" s="1"/>
  <c r="CT36" i="1"/>
  <c r="CV36" i="1"/>
  <c r="CW36" i="1"/>
  <c r="V36" i="1" s="1"/>
  <c r="CX36" i="1"/>
  <c r="W36" i="1" s="1"/>
  <c r="CZ36" i="1"/>
  <c r="Y36" i="1" s="1"/>
  <c r="FR36" i="1"/>
  <c r="GL36" i="1"/>
  <c r="GN36" i="1"/>
  <c r="GO36" i="1"/>
  <c r="GV36" i="1"/>
  <c r="HC36" i="1" s="1"/>
  <c r="GX36" i="1" s="1"/>
  <c r="C37" i="1"/>
  <c r="D37" i="1"/>
  <c r="I37" i="1"/>
  <c r="K37" i="1"/>
  <c r="P37" i="1"/>
  <c r="V37" i="1"/>
  <c r="AC37" i="1"/>
  <c r="AE37" i="1"/>
  <c r="AD37" i="1" s="1"/>
  <c r="AB37" i="1" s="1"/>
  <c r="AF37" i="1"/>
  <c r="CT37" i="1" s="1"/>
  <c r="S37" i="1" s="1"/>
  <c r="AG37" i="1"/>
  <c r="AH37" i="1"/>
  <c r="CV37" i="1" s="1"/>
  <c r="U37" i="1" s="1"/>
  <c r="AI37" i="1"/>
  <c r="AJ37" i="1"/>
  <c r="CX37" i="1" s="1"/>
  <c r="W37" i="1" s="1"/>
  <c r="CQ37" i="1"/>
  <c r="CR37" i="1"/>
  <c r="Q37" i="1" s="1"/>
  <c r="CS37" i="1"/>
  <c r="R37" i="1" s="1"/>
  <c r="GK37" i="1" s="1"/>
  <c r="CU37" i="1"/>
  <c r="T37" i="1" s="1"/>
  <c r="CW37" i="1"/>
  <c r="FR37" i="1"/>
  <c r="GL37" i="1"/>
  <c r="BZ48" i="1" s="1"/>
  <c r="GN37" i="1"/>
  <c r="GO37" i="1"/>
  <c r="GV37" i="1"/>
  <c r="HC37" i="1" s="1"/>
  <c r="GX37" i="1" s="1"/>
  <c r="I38" i="1"/>
  <c r="T38" i="1" s="1"/>
  <c r="AC38" i="1"/>
  <c r="AD38" i="1"/>
  <c r="AE38" i="1"/>
  <c r="AF38" i="1"/>
  <c r="CT38" i="1" s="1"/>
  <c r="AG38" i="1"/>
  <c r="AH38" i="1"/>
  <c r="CV38" i="1" s="1"/>
  <c r="AI38" i="1"/>
  <c r="AJ38" i="1"/>
  <c r="CQ38" i="1"/>
  <c r="CR38" i="1"/>
  <c r="CS38" i="1"/>
  <c r="CU38" i="1"/>
  <c r="CW38" i="1"/>
  <c r="CX38" i="1"/>
  <c r="FR38" i="1"/>
  <c r="BY48" i="1" s="1"/>
  <c r="CI48" i="1" s="1"/>
  <c r="GL38" i="1"/>
  <c r="GN38" i="1"/>
  <c r="GO38" i="1"/>
  <c r="GV38" i="1"/>
  <c r="HC38" i="1" s="1"/>
  <c r="GX38" i="1" s="1"/>
  <c r="AC39" i="1"/>
  <c r="AD39" i="1"/>
  <c r="AB39" i="1" s="1"/>
  <c r="AE39" i="1"/>
  <c r="AF39" i="1"/>
  <c r="CT39" i="1" s="1"/>
  <c r="AG39" i="1"/>
  <c r="AH39" i="1"/>
  <c r="AI39" i="1"/>
  <c r="AJ39" i="1"/>
  <c r="CX39" i="1" s="1"/>
  <c r="CQ39" i="1"/>
  <c r="CR39" i="1"/>
  <c r="CS39" i="1"/>
  <c r="CU39" i="1"/>
  <c r="CV39" i="1"/>
  <c r="CW39" i="1"/>
  <c r="FR39" i="1"/>
  <c r="GL39" i="1"/>
  <c r="GN39" i="1"/>
  <c r="GO39" i="1"/>
  <c r="GV39" i="1"/>
  <c r="HC39" i="1" s="1"/>
  <c r="C40" i="1"/>
  <c r="D40" i="1"/>
  <c r="I40" i="1"/>
  <c r="K40" i="1"/>
  <c r="U40" i="1"/>
  <c r="W40" i="1"/>
  <c r="AC40" i="1"/>
  <c r="AE40" i="1"/>
  <c r="AD40" i="1" s="1"/>
  <c r="AF40" i="1"/>
  <c r="AG40" i="1"/>
  <c r="CU40" i="1" s="1"/>
  <c r="T40" i="1" s="1"/>
  <c r="AH40" i="1"/>
  <c r="AI40" i="1"/>
  <c r="CW40" i="1" s="1"/>
  <c r="V40" i="1" s="1"/>
  <c r="AJ40" i="1"/>
  <c r="CQ40" i="1"/>
  <c r="P40" i="1" s="1"/>
  <c r="CR40" i="1"/>
  <c r="Q40" i="1" s="1"/>
  <c r="CT40" i="1"/>
  <c r="S40" i="1" s="1"/>
  <c r="CV40" i="1"/>
  <c r="CX40" i="1"/>
  <c r="FR40" i="1"/>
  <c r="GL40" i="1"/>
  <c r="GN40" i="1"/>
  <c r="GO40" i="1"/>
  <c r="GV40" i="1"/>
  <c r="HC40" i="1"/>
  <c r="GX40" i="1" s="1"/>
  <c r="C41" i="1"/>
  <c r="D41" i="1"/>
  <c r="I41" i="1"/>
  <c r="K41" i="1"/>
  <c r="P41" i="1"/>
  <c r="CP41" i="1" s="1"/>
  <c r="O41" i="1" s="1"/>
  <c r="Q41" i="1"/>
  <c r="R41" i="1"/>
  <c r="GK41" i="1" s="1"/>
  <c r="AB41" i="1"/>
  <c r="AC41" i="1"/>
  <c r="AD41" i="1"/>
  <c r="AE41" i="1"/>
  <c r="AF41" i="1"/>
  <c r="AG41" i="1"/>
  <c r="AH41" i="1"/>
  <c r="CV41" i="1" s="1"/>
  <c r="U41" i="1" s="1"/>
  <c r="AI41" i="1"/>
  <c r="AJ41" i="1"/>
  <c r="CX41" i="1" s="1"/>
  <c r="W41" i="1" s="1"/>
  <c r="CQ41" i="1"/>
  <c r="CR41" i="1"/>
  <c r="CS41" i="1"/>
  <c r="CT41" i="1"/>
  <c r="S41" i="1" s="1"/>
  <c r="CU41" i="1"/>
  <c r="T41" i="1" s="1"/>
  <c r="CW41" i="1"/>
  <c r="V41" i="1" s="1"/>
  <c r="FR41" i="1"/>
  <c r="GL41" i="1"/>
  <c r="GN41" i="1"/>
  <c r="GO41" i="1"/>
  <c r="GV41" i="1"/>
  <c r="HC41" i="1"/>
  <c r="GX41" i="1" s="1"/>
  <c r="C42" i="1"/>
  <c r="D42" i="1"/>
  <c r="I42" i="1"/>
  <c r="U42" i="1" s="1"/>
  <c r="K42" i="1"/>
  <c r="AC42" i="1"/>
  <c r="AE42" i="1"/>
  <c r="AF42" i="1"/>
  <c r="AG42" i="1"/>
  <c r="CU42" i="1" s="1"/>
  <c r="AH42" i="1"/>
  <c r="AI42" i="1"/>
  <c r="AJ42" i="1"/>
  <c r="CT42" i="1"/>
  <c r="CV42" i="1"/>
  <c r="CW42" i="1"/>
  <c r="CX42" i="1"/>
  <c r="FR42" i="1"/>
  <c r="GL42" i="1"/>
  <c r="GN42" i="1"/>
  <c r="GO42" i="1"/>
  <c r="GV42" i="1"/>
  <c r="HC42" i="1" s="1"/>
  <c r="GX42" i="1" s="1"/>
  <c r="C43" i="1"/>
  <c r="D43" i="1"/>
  <c r="I43" i="1"/>
  <c r="K43" i="1"/>
  <c r="P43" i="1"/>
  <c r="V43" i="1"/>
  <c r="AC43" i="1"/>
  <c r="AB43" i="1" s="1"/>
  <c r="AE43" i="1"/>
  <c r="AD43" i="1" s="1"/>
  <c r="AF43" i="1"/>
  <c r="CT43" i="1" s="1"/>
  <c r="S43" i="1" s="1"/>
  <c r="AG43" i="1"/>
  <c r="AH43" i="1"/>
  <c r="CV43" i="1" s="1"/>
  <c r="U43" i="1" s="1"/>
  <c r="AI43" i="1"/>
  <c r="AJ43" i="1"/>
  <c r="CQ43" i="1"/>
  <c r="CR43" i="1"/>
  <c r="Q43" i="1" s="1"/>
  <c r="CS43" i="1"/>
  <c r="R43" i="1" s="1"/>
  <c r="GK43" i="1" s="1"/>
  <c r="CU43" i="1"/>
  <c r="T43" i="1" s="1"/>
  <c r="CW43" i="1"/>
  <c r="CX43" i="1"/>
  <c r="W43" i="1" s="1"/>
  <c r="FR43" i="1"/>
  <c r="GL43" i="1"/>
  <c r="GN43" i="1"/>
  <c r="GO43" i="1"/>
  <c r="GV43" i="1"/>
  <c r="HC43" i="1" s="1"/>
  <c r="GX43" i="1" s="1"/>
  <c r="I44" i="1"/>
  <c r="T44" i="1" s="1"/>
  <c r="AC44" i="1"/>
  <c r="AD44" i="1"/>
  <c r="AE44" i="1"/>
  <c r="AF44" i="1"/>
  <c r="CT44" i="1" s="1"/>
  <c r="S44" i="1" s="1"/>
  <c r="AG44" i="1"/>
  <c r="AH44" i="1"/>
  <c r="AI44" i="1"/>
  <c r="AJ44" i="1"/>
  <c r="CQ44" i="1"/>
  <c r="P44" i="1" s="1"/>
  <c r="CR44" i="1"/>
  <c r="CS44" i="1"/>
  <c r="CU44" i="1"/>
  <c r="CV44" i="1"/>
  <c r="U44" i="1" s="1"/>
  <c r="CW44" i="1"/>
  <c r="CX44" i="1"/>
  <c r="W44" i="1" s="1"/>
  <c r="FR44" i="1"/>
  <c r="GL44" i="1"/>
  <c r="GN44" i="1"/>
  <c r="GO44" i="1"/>
  <c r="GV44" i="1"/>
  <c r="HC44" i="1" s="1"/>
  <c r="GX44" i="1"/>
  <c r="AC45" i="1"/>
  <c r="AD45" i="1"/>
  <c r="AB45" i="1" s="1"/>
  <c r="AE45" i="1"/>
  <c r="AF45" i="1"/>
  <c r="AG45" i="1"/>
  <c r="CU45" i="1" s="1"/>
  <c r="AH45" i="1"/>
  <c r="AI45" i="1"/>
  <c r="AJ45" i="1"/>
  <c r="CX45" i="1" s="1"/>
  <c r="CQ45" i="1"/>
  <c r="CR45" i="1"/>
  <c r="CS45" i="1"/>
  <c r="CT45" i="1"/>
  <c r="CV45" i="1"/>
  <c r="CW45" i="1"/>
  <c r="FR45" i="1"/>
  <c r="GL45" i="1"/>
  <c r="GN45" i="1"/>
  <c r="GO45" i="1"/>
  <c r="GV45" i="1"/>
  <c r="HC45" i="1" s="1"/>
  <c r="C46" i="1"/>
  <c r="D46" i="1"/>
  <c r="I46" i="1"/>
  <c r="K46" i="1"/>
  <c r="U46" i="1"/>
  <c r="W46" i="1"/>
  <c r="AC46" i="1"/>
  <c r="AE46" i="1"/>
  <c r="AD46" i="1" s="1"/>
  <c r="AF46" i="1"/>
  <c r="AG46" i="1"/>
  <c r="CU46" i="1" s="1"/>
  <c r="T46" i="1" s="1"/>
  <c r="AH46" i="1"/>
  <c r="AI46" i="1"/>
  <c r="AJ46" i="1"/>
  <c r="CQ46" i="1"/>
  <c r="P46" i="1" s="1"/>
  <c r="CR46" i="1"/>
  <c r="Q46" i="1" s="1"/>
  <c r="CT46" i="1"/>
  <c r="S46" i="1" s="1"/>
  <c r="CV46" i="1"/>
  <c r="CW46" i="1"/>
  <c r="V46" i="1" s="1"/>
  <c r="CX46" i="1"/>
  <c r="FR46" i="1"/>
  <c r="GL46" i="1"/>
  <c r="GN46" i="1"/>
  <c r="GO46" i="1"/>
  <c r="GV46" i="1"/>
  <c r="HC46" i="1"/>
  <c r="GX46" i="1" s="1"/>
  <c r="B48" i="1"/>
  <c r="B30" i="1" s="1"/>
  <c r="C48" i="1"/>
  <c r="C30" i="1" s="1"/>
  <c r="D48" i="1"/>
  <c r="D30" i="1" s="1"/>
  <c r="F48" i="1"/>
  <c r="F30" i="1" s="1"/>
  <c r="G48" i="1"/>
  <c r="G30" i="1" s="1"/>
  <c r="AT48" i="1"/>
  <c r="AT30" i="1" s="1"/>
  <c r="BB48" i="1"/>
  <c r="BB30" i="1" s="1"/>
  <c r="BC48" i="1"/>
  <c r="BX48" i="1"/>
  <c r="AO48" i="1" s="1"/>
  <c r="AO30" i="1" s="1"/>
  <c r="CB48" i="1"/>
  <c r="CB30" i="1" s="1"/>
  <c r="CC48" i="1"/>
  <c r="CC30" i="1" s="1"/>
  <c r="CG48" i="1"/>
  <c r="CK48" i="1"/>
  <c r="CK30" i="1" s="1"/>
  <c r="CL48" i="1"/>
  <c r="CL30" i="1" s="1"/>
  <c r="CM48" i="1"/>
  <c r="F52" i="1"/>
  <c r="D78" i="1"/>
  <c r="E80" i="1"/>
  <c r="G80" i="1"/>
  <c r="Z80" i="1"/>
  <c r="AA80" i="1"/>
  <c r="AM80" i="1"/>
  <c r="AN80" i="1"/>
  <c r="BE80" i="1"/>
  <c r="BF80" i="1"/>
  <c r="BG80" i="1"/>
  <c r="BH80" i="1"/>
  <c r="BI80" i="1"/>
  <c r="BJ80" i="1"/>
  <c r="BK80" i="1"/>
  <c r="BL80" i="1"/>
  <c r="BM80" i="1"/>
  <c r="BN80" i="1"/>
  <c r="BO80" i="1"/>
  <c r="BP80" i="1"/>
  <c r="BQ80" i="1"/>
  <c r="BR80" i="1"/>
  <c r="BS80" i="1"/>
  <c r="BT80" i="1"/>
  <c r="BU80" i="1"/>
  <c r="BV80" i="1"/>
  <c r="BW80" i="1"/>
  <c r="CN80" i="1"/>
  <c r="CO80" i="1"/>
  <c r="CP80" i="1"/>
  <c r="CQ80" i="1"/>
  <c r="CR80" i="1"/>
  <c r="CS80" i="1"/>
  <c r="CT80" i="1"/>
  <c r="CU80" i="1"/>
  <c r="CV80" i="1"/>
  <c r="CW80" i="1"/>
  <c r="CX80" i="1"/>
  <c r="CY80" i="1"/>
  <c r="CZ80" i="1"/>
  <c r="DA80" i="1"/>
  <c r="DB80" i="1"/>
  <c r="DC80" i="1"/>
  <c r="DD80" i="1"/>
  <c r="DE80" i="1"/>
  <c r="DF80" i="1"/>
  <c r="DG80" i="1"/>
  <c r="DH80" i="1"/>
  <c r="DI80" i="1"/>
  <c r="DJ80" i="1"/>
  <c r="DK80" i="1"/>
  <c r="DL80" i="1"/>
  <c r="DM80" i="1"/>
  <c r="DN80" i="1"/>
  <c r="DO80" i="1"/>
  <c r="DP80" i="1"/>
  <c r="DQ80" i="1"/>
  <c r="DR80" i="1"/>
  <c r="DS80" i="1"/>
  <c r="DT80" i="1"/>
  <c r="DU80" i="1"/>
  <c r="DV80" i="1"/>
  <c r="DW80" i="1"/>
  <c r="DX80" i="1"/>
  <c r="DY80" i="1"/>
  <c r="DZ80" i="1"/>
  <c r="EA80" i="1"/>
  <c r="EB80" i="1"/>
  <c r="EC80" i="1"/>
  <c r="ED80" i="1"/>
  <c r="EE80" i="1"/>
  <c r="EF80" i="1"/>
  <c r="EG80" i="1"/>
  <c r="EH80" i="1"/>
  <c r="EI80" i="1"/>
  <c r="EJ80" i="1"/>
  <c r="EK80" i="1"/>
  <c r="EL80" i="1"/>
  <c r="EM80" i="1"/>
  <c r="EN80" i="1"/>
  <c r="EO80" i="1"/>
  <c r="EP80" i="1"/>
  <c r="EQ80" i="1"/>
  <c r="ER80" i="1"/>
  <c r="ES80" i="1"/>
  <c r="ET80" i="1"/>
  <c r="EU80" i="1"/>
  <c r="EV80" i="1"/>
  <c r="EW80" i="1"/>
  <c r="EX80" i="1"/>
  <c r="EY80" i="1"/>
  <c r="EZ80" i="1"/>
  <c r="FA80" i="1"/>
  <c r="FB80" i="1"/>
  <c r="FC80" i="1"/>
  <c r="FD80" i="1"/>
  <c r="FE80" i="1"/>
  <c r="FF80" i="1"/>
  <c r="FG80" i="1"/>
  <c r="FH80" i="1"/>
  <c r="FI80" i="1"/>
  <c r="FJ80" i="1"/>
  <c r="FK80" i="1"/>
  <c r="FL80" i="1"/>
  <c r="FM80" i="1"/>
  <c r="FN80" i="1"/>
  <c r="FO80" i="1"/>
  <c r="FP80" i="1"/>
  <c r="FQ80" i="1"/>
  <c r="FR80" i="1"/>
  <c r="FS80" i="1"/>
  <c r="FT80" i="1"/>
  <c r="FU80" i="1"/>
  <c r="FV80" i="1"/>
  <c r="FW80" i="1"/>
  <c r="FX80" i="1"/>
  <c r="FY80" i="1"/>
  <c r="FZ80" i="1"/>
  <c r="GA80" i="1"/>
  <c r="GB80" i="1"/>
  <c r="GC80" i="1"/>
  <c r="GD80" i="1"/>
  <c r="GE80" i="1"/>
  <c r="GF80" i="1"/>
  <c r="GG80" i="1"/>
  <c r="GH80" i="1"/>
  <c r="GI80" i="1"/>
  <c r="GJ80" i="1"/>
  <c r="GK80" i="1"/>
  <c r="GL80" i="1"/>
  <c r="GM80" i="1"/>
  <c r="GN80" i="1"/>
  <c r="GO80" i="1"/>
  <c r="GP80" i="1"/>
  <c r="GQ80" i="1"/>
  <c r="GR80" i="1"/>
  <c r="GS80" i="1"/>
  <c r="GT80" i="1"/>
  <c r="GU80" i="1"/>
  <c r="GV80" i="1"/>
  <c r="GW80" i="1"/>
  <c r="GX80" i="1"/>
  <c r="C82" i="1"/>
  <c r="D82" i="1"/>
  <c r="I82" i="1"/>
  <c r="K82" i="1"/>
  <c r="R82" i="1"/>
  <c r="S82" i="1"/>
  <c r="AC82" i="1"/>
  <c r="CQ82" i="1" s="1"/>
  <c r="P82" i="1" s="1"/>
  <c r="AC85" i="1" s="1"/>
  <c r="AD82" i="1"/>
  <c r="AE82" i="1"/>
  <c r="AF82" i="1"/>
  <c r="AG82" i="1"/>
  <c r="CU82" i="1" s="1"/>
  <c r="T82" i="1" s="1"/>
  <c r="AG85" i="1" s="1"/>
  <c r="AH82" i="1"/>
  <c r="CV82" i="1" s="1"/>
  <c r="U82" i="1" s="1"/>
  <c r="AI82" i="1"/>
  <c r="AJ82" i="1"/>
  <c r="CP82" i="1"/>
  <c r="O82" i="1" s="1"/>
  <c r="CR82" i="1"/>
  <c r="Q82" i="1" s="1"/>
  <c r="AD85" i="1" s="1"/>
  <c r="CS82" i="1"/>
  <c r="CT82" i="1"/>
  <c r="CW82" i="1"/>
  <c r="V82" i="1" s="1"/>
  <c r="AI85" i="1" s="1"/>
  <c r="CX82" i="1"/>
  <c r="W82" i="1" s="1"/>
  <c r="FR82" i="1"/>
  <c r="GL82" i="1"/>
  <c r="GN82" i="1"/>
  <c r="CB85" i="1" s="1"/>
  <c r="GO82" i="1"/>
  <c r="CC85" i="1" s="1"/>
  <c r="GV82" i="1"/>
  <c r="HC82" i="1"/>
  <c r="GX82" i="1" s="1"/>
  <c r="I83" i="1"/>
  <c r="P83" i="1"/>
  <c r="CP83" i="1" s="1"/>
  <c r="O83" i="1" s="1"/>
  <c r="Q83" i="1"/>
  <c r="AC83" i="1"/>
  <c r="AE83" i="1"/>
  <c r="AD83" i="1" s="1"/>
  <c r="AB83" i="1" s="1"/>
  <c r="AF83" i="1"/>
  <c r="CT83" i="1" s="1"/>
  <c r="S83" i="1" s="1"/>
  <c r="AG83" i="1"/>
  <c r="AH83" i="1"/>
  <c r="CV83" i="1" s="1"/>
  <c r="U83" i="1" s="1"/>
  <c r="AI83" i="1"/>
  <c r="CW83" i="1" s="1"/>
  <c r="V83" i="1" s="1"/>
  <c r="AJ83" i="1"/>
  <c r="CX83" i="1" s="1"/>
  <c r="W83" i="1" s="1"/>
  <c r="CQ83" i="1"/>
  <c r="CR83" i="1"/>
  <c r="CU83" i="1"/>
  <c r="T83" i="1" s="1"/>
  <c r="FR83" i="1"/>
  <c r="GL83" i="1"/>
  <c r="BZ85" i="1" s="1"/>
  <c r="GN83" i="1"/>
  <c r="GO83" i="1"/>
  <c r="GV83" i="1"/>
  <c r="HC83" i="1" s="1"/>
  <c r="GX83" i="1" s="1"/>
  <c r="B85" i="1"/>
  <c r="B80" i="1" s="1"/>
  <c r="C85" i="1"/>
  <c r="C80" i="1" s="1"/>
  <c r="D85" i="1"/>
  <c r="D80" i="1" s="1"/>
  <c r="F85" i="1"/>
  <c r="F80" i="1" s="1"/>
  <c r="G85" i="1"/>
  <c r="AB85" i="1"/>
  <c r="AJ85" i="1"/>
  <c r="BC85" i="1"/>
  <c r="BX85" i="1"/>
  <c r="AO85" i="1" s="1"/>
  <c r="BY85" i="1"/>
  <c r="AP85" i="1" s="1"/>
  <c r="CK85" i="1"/>
  <c r="CK80" i="1" s="1"/>
  <c r="CL85" i="1"/>
  <c r="CL80" i="1" s="1"/>
  <c r="CM85" i="1"/>
  <c r="CM80" i="1" s="1"/>
  <c r="D115" i="1"/>
  <c r="C117" i="1"/>
  <c r="D117" i="1"/>
  <c r="E117" i="1"/>
  <c r="Z117" i="1"/>
  <c r="AA117" i="1"/>
  <c r="AM117" i="1"/>
  <c r="AN117" i="1"/>
  <c r="BE117" i="1"/>
  <c r="BF117" i="1"/>
  <c r="BG117" i="1"/>
  <c r="BH117" i="1"/>
  <c r="BI117" i="1"/>
  <c r="BJ117" i="1"/>
  <c r="BK117" i="1"/>
  <c r="BL117" i="1"/>
  <c r="BM117" i="1"/>
  <c r="BN117" i="1"/>
  <c r="BO117" i="1"/>
  <c r="BP117" i="1"/>
  <c r="BQ117" i="1"/>
  <c r="BR117" i="1"/>
  <c r="BS117" i="1"/>
  <c r="BT117" i="1"/>
  <c r="BU117" i="1"/>
  <c r="BV117" i="1"/>
  <c r="BW117" i="1"/>
  <c r="CL117" i="1"/>
  <c r="CM117" i="1"/>
  <c r="CN117" i="1"/>
  <c r="CO117" i="1"/>
  <c r="CP117" i="1"/>
  <c r="CQ117" i="1"/>
  <c r="CR117" i="1"/>
  <c r="CS117" i="1"/>
  <c r="CT117" i="1"/>
  <c r="CU117" i="1"/>
  <c r="CV117" i="1"/>
  <c r="CW117" i="1"/>
  <c r="CX117" i="1"/>
  <c r="CY117" i="1"/>
  <c r="CZ117" i="1"/>
  <c r="DA117" i="1"/>
  <c r="DB117" i="1"/>
  <c r="DC117" i="1"/>
  <c r="DD117" i="1"/>
  <c r="DE117" i="1"/>
  <c r="DF117" i="1"/>
  <c r="DG117" i="1"/>
  <c r="DH117" i="1"/>
  <c r="DI117" i="1"/>
  <c r="DJ117" i="1"/>
  <c r="DK117" i="1"/>
  <c r="DL117" i="1"/>
  <c r="DM117" i="1"/>
  <c r="DN117" i="1"/>
  <c r="DO117" i="1"/>
  <c r="DP117" i="1"/>
  <c r="DQ117" i="1"/>
  <c r="DR117" i="1"/>
  <c r="DS117" i="1"/>
  <c r="DT117" i="1"/>
  <c r="DU117" i="1"/>
  <c r="DV117" i="1"/>
  <c r="DW117" i="1"/>
  <c r="DX117" i="1"/>
  <c r="DY117" i="1"/>
  <c r="DZ117" i="1"/>
  <c r="EA117" i="1"/>
  <c r="EB117" i="1"/>
  <c r="EC117" i="1"/>
  <c r="ED117" i="1"/>
  <c r="EE117" i="1"/>
  <c r="EF117" i="1"/>
  <c r="EG117" i="1"/>
  <c r="EH117" i="1"/>
  <c r="EI117" i="1"/>
  <c r="EJ117" i="1"/>
  <c r="EK117" i="1"/>
  <c r="EL117" i="1"/>
  <c r="EM117" i="1"/>
  <c r="EN117" i="1"/>
  <c r="EO117" i="1"/>
  <c r="EP117" i="1"/>
  <c r="EQ117" i="1"/>
  <c r="ER117" i="1"/>
  <c r="ES117" i="1"/>
  <c r="ET117" i="1"/>
  <c r="EU117" i="1"/>
  <c r="EV117" i="1"/>
  <c r="EW117" i="1"/>
  <c r="EX117" i="1"/>
  <c r="EY117" i="1"/>
  <c r="EZ117" i="1"/>
  <c r="FA117" i="1"/>
  <c r="FB117" i="1"/>
  <c r="FC117" i="1"/>
  <c r="FD117" i="1"/>
  <c r="FE117" i="1"/>
  <c r="FF117" i="1"/>
  <c r="FG117" i="1"/>
  <c r="FH117" i="1"/>
  <c r="FI117" i="1"/>
  <c r="FJ117" i="1"/>
  <c r="FK117" i="1"/>
  <c r="FL117" i="1"/>
  <c r="FM117" i="1"/>
  <c r="FN117" i="1"/>
  <c r="FO117" i="1"/>
  <c r="FP117" i="1"/>
  <c r="FQ117" i="1"/>
  <c r="FR117" i="1"/>
  <c r="FS117" i="1"/>
  <c r="FT117" i="1"/>
  <c r="FU117" i="1"/>
  <c r="FV117" i="1"/>
  <c r="FW117" i="1"/>
  <c r="FX117" i="1"/>
  <c r="FY117" i="1"/>
  <c r="FZ117" i="1"/>
  <c r="GA117" i="1"/>
  <c r="GB117" i="1"/>
  <c r="GC117" i="1"/>
  <c r="GD117" i="1"/>
  <c r="GE117" i="1"/>
  <c r="GF117" i="1"/>
  <c r="GG117" i="1"/>
  <c r="GH117" i="1"/>
  <c r="GI117" i="1"/>
  <c r="GJ117" i="1"/>
  <c r="GK117" i="1"/>
  <c r="GL117" i="1"/>
  <c r="GM117" i="1"/>
  <c r="GN117" i="1"/>
  <c r="GO117" i="1"/>
  <c r="GP117" i="1"/>
  <c r="GQ117" i="1"/>
  <c r="GR117" i="1"/>
  <c r="GS117" i="1"/>
  <c r="GT117" i="1"/>
  <c r="GU117" i="1"/>
  <c r="GV117" i="1"/>
  <c r="GW117" i="1"/>
  <c r="GX117" i="1"/>
  <c r="C119" i="1"/>
  <c r="D119" i="1"/>
  <c r="I119" i="1"/>
  <c r="K119" i="1"/>
  <c r="Q119" i="1"/>
  <c r="V119" i="1"/>
  <c r="W119" i="1"/>
  <c r="AJ121" i="1" s="1"/>
  <c r="AC119" i="1"/>
  <c r="AB119" i="1" s="1"/>
  <c r="AD119" i="1"/>
  <c r="AE119" i="1"/>
  <c r="AF119" i="1"/>
  <c r="CT119" i="1" s="1"/>
  <c r="S119" i="1" s="1"/>
  <c r="AG119" i="1"/>
  <c r="CU119" i="1" s="1"/>
  <c r="T119" i="1" s="1"/>
  <c r="AG121" i="1" s="1"/>
  <c r="AH119" i="1"/>
  <c r="CV119" i="1" s="1"/>
  <c r="U119" i="1" s="1"/>
  <c r="AH121" i="1" s="1"/>
  <c r="AI119" i="1"/>
  <c r="AJ119" i="1"/>
  <c r="CR119" i="1"/>
  <c r="CS119" i="1"/>
  <c r="R119" i="1" s="1"/>
  <c r="CW119" i="1"/>
  <c r="CX119" i="1"/>
  <c r="FR119" i="1"/>
  <c r="BY121" i="1" s="1"/>
  <c r="GL119" i="1"/>
  <c r="BZ121" i="1" s="1"/>
  <c r="GN119" i="1"/>
  <c r="GO119" i="1"/>
  <c r="GV119" i="1"/>
  <c r="HC119" i="1"/>
  <c r="GX119" i="1" s="1"/>
  <c r="CJ121" i="1" s="1"/>
  <c r="B121" i="1"/>
  <c r="B117" i="1" s="1"/>
  <c r="C121" i="1"/>
  <c r="D121" i="1"/>
  <c r="F121" i="1"/>
  <c r="F117" i="1" s="1"/>
  <c r="G121" i="1"/>
  <c r="G117" i="1" s="1"/>
  <c r="Q121" i="1"/>
  <c r="AD121" i="1"/>
  <c r="AD117" i="1" s="1"/>
  <c r="AI121" i="1"/>
  <c r="BX121" i="1"/>
  <c r="AO121" i="1" s="1"/>
  <c r="CB121" i="1"/>
  <c r="CB117" i="1" s="1"/>
  <c r="CC121" i="1"/>
  <c r="CC117" i="1" s="1"/>
  <c r="CI121" i="1"/>
  <c r="CK121" i="1"/>
  <c r="CK117" i="1" s="1"/>
  <c r="CL121" i="1"/>
  <c r="BC121" i="1" s="1"/>
  <c r="CM121" i="1"/>
  <c r="BD121" i="1" s="1"/>
  <c r="D151" i="1"/>
  <c r="E153" i="1"/>
  <c r="Z153" i="1"/>
  <c r="AA153" i="1"/>
  <c r="AM153" i="1"/>
  <c r="AN153" i="1"/>
  <c r="BE153" i="1"/>
  <c r="BF153" i="1"/>
  <c r="BG153" i="1"/>
  <c r="BH153" i="1"/>
  <c r="BI153" i="1"/>
  <c r="BJ153" i="1"/>
  <c r="BK153" i="1"/>
  <c r="BL153" i="1"/>
  <c r="BM153" i="1"/>
  <c r="BN153" i="1"/>
  <c r="BO153" i="1"/>
  <c r="BP153" i="1"/>
  <c r="BQ153" i="1"/>
  <c r="BR153" i="1"/>
  <c r="BS153" i="1"/>
  <c r="BT153" i="1"/>
  <c r="BU153" i="1"/>
  <c r="BV153" i="1"/>
  <c r="BW153" i="1"/>
  <c r="CN153" i="1"/>
  <c r="CO153" i="1"/>
  <c r="CP153" i="1"/>
  <c r="CQ153" i="1"/>
  <c r="CR153" i="1"/>
  <c r="CS153" i="1"/>
  <c r="CT153" i="1"/>
  <c r="CU153" i="1"/>
  <c r="CV153" i="1"/>
  <c r="CW153" i="1"/>
  <c r="CX153" i="1"/>
  <c r="CY153" i="1"/>
  <c r="CZ153" i="1"/>
  <c r="DA153" i="1"/>
  <c r="DB153" i="1"/>
  <c r="DC153" i="1"/>
  <c r="DD153" i="1"/>
  <c r="DE153" i="1"/>
  <c r="DF153" i="1"/>
  <c r="DG153" i="1"/>
  <c r="DH153" i="1"/>
  <c r="DI153" i="1"/>
  <c r="DJ153" i="1"/>
  <c r="DK153" i="1"/>
  <c r="DL153" i="1"/>
  <c r="DM153" i="1"/>
  <c r="DN153" i="1"/>
  <c r="DO153" i="1"/>
  <c r="DP153" i="1"/>
  <c r="DQ153" i="1"/>
  <c r="DR153" i="1"/>
  <c r="DS153" i="1"/>
  <c r="DT153" i="1"/>
  <c r="DU153" i="1"/>
  <c r="DV153" i="1"/>
  <c r="DW153" i="1"/>
  <c r="DX153" i="1"/>
  <c r="DY153" i="1"/>
  <c r="DZ153" i="1"/>
  <c r="EA153" i="1"/>
  <c r="EB153" i="1"/>
  <c r="EC153" i="1"/>
  <c r="ED153" i="1"/>
  <c r="EE153" i="1"/>
  <c r="EF153" i="1"/>
  <c r="EG153" i="1"/>
  <c r="EH153" i="1"/>
  <c r="EI153" i="1"/>
  <c r="EJ153" i="1"/>
  <c r="EK153" i="1"/>
  <c r="EL153" i="1"/>
  <c r="EM153" i="1"/>
  <c r="EN153" i="1"/>
  <c r="EO153" i="1"/>
  <c r="EP153" i="1"/>
  <c r="EQ153" i="1"/>
  <c r="ER153" i="1"/>
  <c r="ES153" i="1"/>
  <c r="ET153" i="1"/>
  <c r="EU153" i="1"/>
  <c r="EV153" i="1"/>
  <c r="EW153" i="1"/>
  <c r="EX153" i="1"/>
  <c r="EY153" i="1"/>
  <c r="EZ153" i="1"/>
  <c r="FA153" i="1"/>
  <c r="FB153" i="1"/>
  <c r="FC153" i="1"/>
  <c r="FD153" i="1"/>
  <c r="FE153" i="1"/>
  <c r="FF153" i="1"/>
  <c r="FG153" i="1"/>
  <c r="FH153" i="1"/>
  <c r="FI153" i="1"/>
  <c r="FJ153" i="1"/>
  <c r="FK153" i="1"/>
  <c r="FL153" i="1"/>
  <c r="FM153" i="1"/>
  <c r="FN153" i="1"/>
  <c r="FO153" i="1"/>
  <c r="FP153" i="1"/>
  <c r="FQ153" i="1"/>
  <c r="FR153" i="1"/>
  <c r="FS153" i="1"/>
  <c r="FT153" i="1"/>
  <c r="FU153" i="1"/>
  <c r="FV153" i="1"/>
  <c r="FW153" i="1"/>
  <c r="FX153" i="1"/>
  <c r="FY153" i="1"/>
  <c r="FZ153" i="1"/>
  <c r="GA153" i="1"/>
  <c r="GB153" i="1"/>
  <c r="GC153" i="1"/>
  <c r="GD153" i="1"/>
  <c r="GE153" i="1"/>
  <c r="GF153" i="1"/>
  <c r="GG153" i="1"/>
  <c r="GH153" i="1"/>
  <c r="GI153" i="1"/>
  <c r="GJ153" i="1"/>
  <c r="GK153" i="1"/>
  <c r="GL153" i="1"/>
  <c r="GM153" i="1"/>
  <c r="GN153" i="1"/>
  <c r="GO153" i="1"/>
  <c r="GP153" i="1"/>
  <c r="GQ153" i="1"/>
  <c r="GR153" i="1"/>
  <c r="GS153" i="1"/>
  <c r="GT153" i="1"/>
  <c r="GU153" i="1"/>
  <c r="GV153" i="1"/>
  <c r="GW153" i="1"/>
  <c r="GX153" i="1"/>
  <c r="C155" i="1"/>
  <c r="D155" i="1"/>
  <c r="I155" i="1"/>
  <c r="K155" i="1"/>
  <c r="AC155" i="1"/>
  <c r="AD155" i="1"/>
  <c r="AB155" i="1" s="1"/>
  <c r="AE155" i="1"/>
  <c r="AF155" i="1"/>
  <c r="CT155" i="1" s="1"/>
  <c r="AG155" i="1"/>
  <c r="AH155" i="1"/>
  <c r="AI155" i="1"/>
  <c r="CW155" i="1" s="1"/>
  <c r="V155" i="1" s="1"/>
  <c r="AJ155" i="1"/>
  <c r="CX155" i="1" s="1"/>
  <c r="CQ155" i="1"/>
  <c r="P155" i="1" s="1"/>
  <c r="CR155" i="1"/>
  <c r="Q155" i="1" s="1"/>
  <c r="CS155" i="1"/>
  <c r="CU155" i="1"/>
  <c r="CV155" i="1"/>
  <c r="FR155" i="1"/>
  <c r="GL155" i="1"/>
  <c r="GN155" i="1"/>
  <c r="GO155" i="1"/>
  <c r="GV155" i="1"/>
  <c r="HC155" i="1" s="1"/>
  <c r="C156" i="1"/>
  <c r="D156" i="1"/>
  <c r="I156" i="1"/>
  <c r="K156" i="1"/>
  <c r="Q156" i="1"/>
  <c r="U156" i="1"/>
  <c r="W156" i="1"/>
  <c r="AC156" i="1"/>
  <c r="AE156" i="1"/>
  <c r="CS156" i="1" s="1"/>
  <c r="R156" i="1" s="1"/>
  <c r="AF156" i="1"/>
  <c r="AG156" i="1"/>
  <c r="CU156" i="1" s="1"/>
  <c r="T156" i="1" s="1"/>
  <c r="AH156" i="1"/>
  <c r="AI156" i="1"/>
  <c r="AJ156" i="1"/>
  <c r="CR156" i="1"/>
  <c r="CT156" i="1"/>
  <c r="S156" i="1" s="1"/>
  <c r="CV156" i="1"/>
  <c r="CW156" i="1"/>
  <c r="V156" i="1" s="1"/>
  <c r="CX156" i="1"/>
  <c r="FR156" i="1"/>
  <c r="GK156" i="1"/>
  <c r="GL156" i="1"/>
  <c r="GN156" i="1"/>
  <c r="GO156" i="1"/>
  <c r="GV156" i="1"/>
  <c r="HC156" i="1"/>
  <c r="GX156" i="1" s="1"/>
  <c r="C157" i="1"/>
  <c r="D157" i="1"/>
  <c r="I157" i="1"/>
  <c r="K157" i="1"/>
  <c r="P157" i="1"/>
  <c r="T157" i="1"/>
  <c r="U157" i="1"/>
  <c r="AC157" i="1"/>
  <c r="AE157" i="1"/>
  <c r="AD157" i="1" s="1"/>
  <c r="AB157" i="1" s="1"/>
  <c r="AF157" i="1"/>
  <c r="CT157" i="1" s="1"/>
  <c r="S157" i="1" s="1"/>
  <c r="AG157" i="1"/>
  <c r="AH157" i="1"/>
  <c r="CV157" i="1" s="1"/>
  <c r="AI157" i="1"/>
  <c r="AJ157" i="1"/>
  <c r="CQ157" i="1"/>
  <c r="CR157" i="1"/>
  <c r="Q157" i="1" s="1"/>
  <c r="CS157" i="1"/>
  <c r="R157" i="1" s="1"/>
  <c r="GK157" i="1" s="1"/>
  <c r="CU157" i="1"/>
  <c r="CW157" i="1"/>
  <c r="V157" i="1" s="1"/>
  <c r="CX157" i="1"/>
  <c r="W157" i="1" s="1"/>
  <c r="FR157" i="1"/>
  <c r="GL157" i="1"/>
  <c r="GN157" i="1"/>
  <c r="GO157" i="1"/>
  <c r="GV157" i="1"/>
  <c r="HC157" i="1"/>
  <c r="GX157" i="1" s="1"/>
  <c r="I158" i="1"/>
  <c r="V158" i="1" s="1"/>
  <c r="AI162" i="1" s="1"/>
  <c r="AC158" i="1"/>
  <c r="AE158" i="1"/>
  <c r="AD158" i="1" s="1"/>
  <c r="AF158" i="1"/>
  <c r="AG158" i="1"/>
  <c r="CU158" i="1" s="1"/>
  <c r="AH158" i="1"/>
  <c r="AI158" i="1"/>
  <c r="AJ158" i="1"/>
  <c r="CR158" i="1"/>
  <c r="CS158" i="1"/>
  <c r="R158" i="1" s="1"/>
  <c r="GK158" i="1" s="1"/>
  <c r="CT158" i="1"/>
  <c r="S158" i="1" s="1"/>
  <c r="CV158" i="1"/>
  <c r="U158" i="1" s="1"/>
  <c r="CW158" i="1"/>
  <c r="CX158" i="1"/>
  <c r="FR158" i="1"/>
  <c r="GL158" i="1"/>
  <c r="GN158" i="1"/>
  <c r="GO158" i="1"/>
  <c r="GV158" i="1"/>
  <c r="HC158" i="1"/>
  <c r="GX158" i="1" s="1"/>
  <c r="C159" i="1"/>
  <c r="D159" i="1"/>
  <c r="I159" i="1"/>
  <c r="K159" i="1"/>
  <c r="Q159" i="1"/>
  <c r="R159" i="1"/>
  <c r="GK159" i="1" s="1"/>
  <c r="AB159" i="1"/>
  <c r="AC159" i="1"/>
  <c r="AE159" i="1"/>
  <c r="AD159" i="1" s="1"/>
  <c r="AF159" i="1"/>
  <c r="CT159" i="1" s="1"/>
  <c r="S159" i="1" s="1"/>
  <c r="AG159" i="1"/>
  <c r="AH159" i="1"/>
  <c r="AI159" i="1"/>
  <c r="AJ159" i="1"/>
  <c r="CX159" i="1" s="1"/>
  <c r="W159" i="1" s="1"/>
  <c r="CQ159" i="1"/>
  <c r="P159" i="1" s="1"/>
  <c r="CR159" i="1"/>
  <c r="CS159" i="1"/>
  <c r="CU159" i="1"/>
  <c r="T159" i="1" s="1"/>
  <c r="CV159" i="1"/>
  <c r="U159" i="1" s="1"/>
  <c r="CW159" i="1"/>
  <c r="V159" i="1" s="1"/>
  <c r="FR159" i="1"/>
  <c r="GL159" i="1"/>
  <c r="GN159" i="1"/>
  <c r="GO159" i="1"/>
  <c r="GV159" i="1"/>
  <c r="HC159" i="1" s="1"/>
  <c r="GX159" i="1" s="1"/>
  <c r="I160" i="1"/>
  <c r="P160" i="1"/>
  <c r="W160" i="1"/>
  <c r="AC160" i="1"/>
  <c r="AB160" i="1" s="1"/>
  <c r="AD160" i="1"/>
  <c r="AE160" i="1"/>
  <c r="AF160" i="1"/>
  <c r="AG160" i="1"/>
  <c r="AH160" i="1"/>
  <c r="CV160" i="1" s="1"/>
  <c r="U160" i="1" s="1"/>
  <c r="AI160" i="1"/>
  <c r="AJ160" i="1"/>
  <c r="CQ160" i="1"/>
  <c r="CR160" i="1"/>
  <c r="Q160" i="1" s="1"/>
  <c r="CS160" i="1"/>
  <c r="R160" i="1" s="1"/>
  <c r="CT160" i="1"/>
  <c r="S160" i="1" s="1"/>
  <c r="CU160" i="1"/>
  <c r="T160" i="1" s="1"/>
  <c r="CW160" i="1"/>
  <c r="V160" i="1" s="1"/>
  <c r="CX160" i="1"/>
  <c r="FR160" i="1"/>
  <c r="GK160" i="1"/>
  <c r="GL160" i="1"/>
  <c r="GN160" i="1"/>
  <c r="GO160" i="1"/>
  <c r="GV160" i="1"/>
  <c r="HC160" i="1"/>
  <c r="GX160" i="1" s="1"/>
  <c r="B162" i="1"/>
  <c r="B153" i="1" s="1"/>
  <c r="C162" i="1"/>
  <c r="C153" i="1" s="1"/>
  <c r="D162" i="1"/>
  <c r="D153" i="1" s="1"/>
  <c r="F162" i="1"/>
  <c r="F153" i="1" s="1"/>
  <c r="G162" i="1"/>
  <c r="G153" i="1" s="1"/>
  <c r="BB162" i="1"/>
  <c r="BX162" i="1"/>
  <c r="BX153" i="1" s="1"/>
  <c r="CB162" i="1"/>
  <c r="CB153" i="1" s="1"/>
  <c r="CC162" i="1"/>
  <c r="CC153" i="1" s="1"/>
  <c r="CK162" i="1"/>
  <c r="CK153" i="1" s="1"/>
  <c r="CL162" i="1"/>
  <c r="CL153" i="1" s="1"/>
  <c r="CM162" i="1"/>
  <c r="CM153" i="1" s="1"/>
  <c r="D192" i="1"/>
  <c r="C194" i="1"/>
  <c r="E194" i="1"/>
  <c r="Z194" i="1"/>
  <c r="AA194" i="1"/>
  <c r="AM194" i="1"/>
  <c r="AN194" i="1"/>
  <c r="BE194" i="1"/>
  <c r="BF194" i="1"/>
  <c r="BG194" i="1"/>
  <c r="BH194" i="1"/>
  <c r="BI194" i="1"/>
  <c r="BJ194" i="1"/>
  <c r="BK194" i="1"/>
  <c r="BL194" i="1"/>
  <c r="BM194" i="1"/>
  <c r="BN194" i="1"/>
  <c r="BO194" i="1"/>
  <c r="BP194" i="1"/>
  <c r="BQ194" i="1"/>
  <c r="BR194" i="1"/>
  <c r="BS194" i="1"/>
  <c r="BT194" i="1"/>
  <c r="BU194" i="1"/>
  <c r="BV194" i="1"/>
  <c r="BW194" i="1"/>
  <c r="CN194" i="1"/>
  <c r="CO194" i="1"/>
  <c r="CP194" i="1"/>
  <c r="CQ194" i="1"/>
  <c r="CR194" i="1"/>
  <c r="CS194" i="1"/>
  <c r="CT194" i="1"/>
  <c r="CU194" i="1"/>
  <c r="CV194" i="1"/>
  <c r="CW194" i="1"/>
  <c r="CX194" i="1"/>
  <c r="CY194" i="1"/>
  <c r="CZ194" i="1"/>
  <c r="DA194" i="1"/>
  <c r="DB194" i="1"/>
  <c r="DC194" i="1"/>
  <c r="DD194" i="1"/>
  <c r="DE194" i="1"/>
  <c r="DF194" i="1"/>
  <c r="DG194" i="1"/>
  <c r="DH194" i="1"/>
  <c r="DI194" i="1"/>
  <c r="DJ194" i="1"/>
  <c r="DK194" i="1"/>
  <c r="DL194" i="1"/>
  <c r="DM194" i="1"/>
  <c r="DN194" i="1"/>
  <c r="DO194" i="1"/>
  <c r="DP194" i="1"/>
  <c r="DQ194" i="1"/>
  <c r="DR194" i="1"/>
  <c r="DS194" i="1"/>
  <c r="DT194" i="1"/>
  <c r="DU194" i="1"/>
  <c r="DV194" i="1"/>
  <c r="DW194" i="1"/>
  <c r="DX194" i="1"/>
  <c r="DY194" i="1"/>
  <c r="DZ194" i="1"/>
  <c r="EA194" i="1"/>
  <c r="EB194" i="1"/>
  <c r="EC194" i="1"/>
  <c r="ED194" i="1"/>
  <c r="EE194" i="1"/>
  <c r="EF194" i="1"/>
  <c r="EG194" i="1"/>
  <c r="EH194" i="1"/>
  <c r="EI194" i="1"/>
  <c r="EJ194" i="1"/>
  <c r="EK194" i="1"/>
  <c r="EL194" i="1"/>
  <c r="EM194" i="1"/>
  <c r="EN194" i="1"/>
  <c r="EO194" i="1"/>
  <c r="EP194" i="1"/>
  <c r="EQ194" i="1"/>
  <c r="ER194" i="1"/>
  <c r="ES194" i="1"/>
  <c r="ET194" i="1"/>
  <c r="EU194" i="1"/>
  <c r="EV194" i="1"/>
  <c r="EW194" i="1"/>
  <c r="EX194" i="1"/>
  <c r="EY194" i="1"/>
  <c r="EZ194" i="1"/>
  <c r="FA194" i="1"/>
  <c r="FB194" i="1"/>
  <c r="FC194" i="1"/>
  <c r="FD194" i="1"/>
  <c r="FE194" i="1"/>
  <c r="FF194" i="1"/>
  <c r="FG194" i="1"/>
  <c r="FH194" i="1"/>
  <c r="FI194" i="1"/>
  <c r="FJ194" i="1"/>
  <c r="FK194" i="1"/>
  <c r="FL194" i="1"/>
  <c r="FM194" i="1"/>
  <c r="FN194" i="1"/>
  <c r="FO194" i="1"/>
  <c r="FP194" i="1"/>
  <c r="FQ194" i="1"/>
  <c r="FR194" i="1"/>
  <c r="FS194" i="1"/>
  <c r="FT194" i="1"/>
  <c r="FU194" i="1"/>
  <c r="FV194" i="1"/>
  <c r="FW194" i="1"/>
  <c r="FX194" i="1"/>
  <c r="FY194" i="1"/>
  <c r="FZ194" i="1"/>
  <c r="GA194" i="1"/>
  <c r="GB194" i="1"/>
  <c r="GC194" i="1"/>
  <c r="GD194" i="1"/>
  <c r="GE194" i="1"/>
  <c r="GF194" i="1"/>
  <c r="GG194" i="1"/>
  <c r="GH194" i="1"/>
  <c r="GI194" i="1"/>
  <c r="GJ194" i="1"/>
  <c r="GK194" i="1"/>
  <c r="GL194" i="1"/>
  <c r="GM194" i="1"/>
  <c r="GN194" i="1"/>
  <c r="GO194" i="1"/>
  <c r="GP194" i="1"/>
  <c r="GQ194" i="1"/>
  <c r="GR194" i="1"/>
  <c r="GS194" i="1"/>
  <c r="GT194" i="1"/>
  <c r="GU194" i="1"/>
  <c r="GV194" i="1"/>
  <c r="GW194" i="1"/>
  <c r="GX194" i="1"/>
  <c r="C196" i="1"/>
  <c r="D196" i="1"/>
  <c r="I196" i="1"/>
  <c r="U196" i="1" s="1"/>
  <c r="K196" i="1"/>
  <c r="AC196" i="1"/>
  <c r="CQ196" i="1" s="1"/>
  <c r="P196" i="1" s="1"/>
  <c r="AE196" i="1"/>
  <c r="AD196" i="1" s="1"/>
  <c r="AB196" i="1" s="1"/>
  <c r="AF196" i="1"/>
  <c r="CT196" i="1" s="1"/>
  <c r="AG196" i="1"/>
  <c r="CU196" i="1" s="1"/>
  <c r="AH196" i="1"/>
  <c r="AI196" i="1"/>
  <c r="AJ196" i="1"/>
  <c r="CX196" i="1" s="1"/>
  <c r="CV196" i="1"/>
  <c r="CW196" i="1"/>
  <c r="FR196" i="1"/>
  <c r="GL196" i="1"/>
  <c r="GN196" i="1"/>
  <c r="GO196" i="1"/>
  <c r="GV196" i="1"/>
  <c r="HC196" i="1" s="1"/>
  <c r="GX196" i="1"/>
  <c r="C197" i="1"/>
  <c r="D197" i="1"/>
  <c r="I197" i="1"/>
  <c r="K197" i="1"/>
  <c r="P197" i="1"/>
  <c r="Q197" i="1"/>
  <c r="AC197" i="1"/>
  <c r="AE197" i="1"/>
  <c r="AD197" i="1" s="1"/>
  <c r="AF197" i="1"/>
  <c r="CT197" i="1" s="1"/>
  <c r="S197" i="1" s="1"/>
  <c r="AG197" i="1"/>
  <c r="AH197" i="1"/>
  <c r="AI197" i="1"/>
  <c r="CW197" i="1" s="1"/>
  <c r="V197" i="1" s="1"/>
  <c r="AJ197" i="1"/>
  <c r="CQ197" i="1"/>
  <c r="CR197" i="1"/>
  <c r="CU197" i="1"/>
  <c r="T197" i="1" s="1"/>
  <c r="CV197" i="1"/>
  <c r="U197" i="1" s="1"/>
  <c r="CX197" i="1"/>
  <c r="W197" i="1" s="1"/>
  <c r="FR197" i="1"/>
  <c r="GL197" i="1"/>
  <c r="GN197" i="1"/>
  <c r="GO197" i="1"/>
  <c r="GV197" i="1"/>
  <c r="HC197" i="1" s="1"/>
  <c r="GX197" i="1" s="1"/>
  <c r="C198" i="1"/>
  <c r="D198" i="1"/>
  <c r="U198" i="1"/>
  <c r="V198" i="1"/>
  <c r="AC198" i="1"/>
  <c r="CQ198" i="1" s="1"/>
  <c r="P198" i="1" s="1"/>
  <c r="AE198" i="1"/>
  <c r="AD198" i="1" s="1"/>
  <c r="AB198" i="1" s="1"/>
  <c r="AF198" i="1"/>
  <c r="CT198" i="1" s="1"/>
  <c r="S198" i="1" s="1"/>
  <c r="CY198" i="1" s="1"/>
  <c r="X198" i="1" s="1"/>
  <c r="AG198" i="1"/>
  <c r="CU198" i="1" s="1"/>
  <c r="T198" i="1" s="1"/>
  <c r="AH198" i="1"/>
  <c r="AI198" i="1"/>
  <c r="AJ198" i="1"/>
  <c r="CX198" i="1" s="1"/>
  <c r="W198" i="1" s="1"/>
  <c r="CV198" i="1"/>
  <c r="CW198" i="1"/>
  <c r="CZ198" i="1"/>
  <c r="Y198" i="1" s="1"/>
  <c r="FR198" i="1"/>
  <c r="GL198" i="1"/>
  <c r="GN198" i="1"/>
  <c r="GO198" i="1"/>
  <c r="GV198" i="1"/>
  <c r="HC198" i="1" s="1"/>
  <c r="GX198" i="1"/>
  <c r="I199" i="1"/>
  <c r="S199" i="1"/>
  <c r="CZ199" i="1" s="1"/>
  <c r="Y199" i="1" s="1"/>
  <c r="T199" i="1"/>
  <c r="AC199" i="1"/>
  <c r="AB199" i="1" s="1"/>
  <c r="AD199" i="1"/>
  <c r="AE199" i="1"/>
  <c r="AF199" i="1"/>
  <c r="AG199" i="1"/>
  <c r="AH199" i="1"/>
  <c r="CV199" i="1" s="1"/>
  <c r="U199" i="1" s="1"/>
  <c r="AI199" i="1"/>
  <c r="CW199" i="1" s="1"/>
  <c r="V199" i="1" s="1"/>
  <c r="AJ199" i="1"/>
  <c r="CR199" i="1"/>
  <c r="Q199" i="1" s="1"/>
  <c r="CS199" i="1"/>
  <c r="R199" i="1" s="1"/>
  <c r="GK199" i="1" s="1"/>
  <c r="CT199" i="1"/>
  <c r="CU199" i="1"/>
  <c r="CX199" i="1"/>
  <c r="W199" i="1" s="1"/>
  <c r="CY199" i="1"/>
  <c r="X199" i="1" s="1"/>
  <c r="FR199" i="1"/>
  <c r="GL199" i="1"/>
  <c r="GN199" i="1"/>
  <c r="GO199" i="1"/>
  <c r="GV199" i="1"/>
  <c r="HC199" i="1" s="1"/>
  <c r="GX199" i="1" s="1"/>
  <c r="I200" i="1"/>
  <c r="Q200" i="1"/>
  <c r="R200" i="1"/>
  <c r="GK200" i="1" s="1"/>
  <c r="AB200" i="1"/>
  <c r="AC200" i="1"/>
  <c r="AD200" i="1"/>
  <c r="AE200" i="1"/>
  <c r="AF200" i="1"/>
  <c r="CT200" i="1" s="1"/>
  <c r="S200" i="1" s="1"/>
  <c r="AG200" i="1"/>
  <c r="AH200" i="1"/>
  <c r="AI200" i="1"/>
  <c r="AJ200" i="1"/>
  <c r="CX200" i="1" s="1"/>
  <c r="W200" i="1" s="1"/>
  <c r="CQ200" i="1"/>
  <c r="P200" i="1" s="1"/>
  <c r="CP200" i="1" s="1"/>
  <c r="O200" i="1" s="1"/>
  <c r="CR200" i="1"/>
  <c r="CS200" i="1"/>
  <c r="CU200" i="1"/>
  <c r="T200" i="1" s="1"/>
  <c r="CV200" i="1"/>
  <c r="U200" i="1" s="1"/>
  <c r="CW200" i="1"/>
  <c r="V200" i="1" s="1"/>
  <c r="FR200" i="1"/>
  <c r="GL200" i="1"/>
  <c r="GN200" i="1"/>
  <c r="GO200" i="1"/>
  <c r="GV200" i="1"/>
  <c r="HC200" i="1" s="1"/>
  <c r="GX200" i="1" s="1"/>
  <c r="I201" i="1"/>
  <c r="P201" i="1"/>
  <c r="W201" i="1"/>
  <c r="AC201" i="1"/>
  <c r="AB201" i="1" s="1"/>
  <c r="AD201" i="1"/>
  <c r="AE201" i="1"/>
  <c r="AF201" i="1"/>
  <c r="AG201" i="1"/>
  <c r="AH201" i="1"/>
  <c r="CV201" i="1" s="1"/>
  <c r="U201" i="1" s="1"/>
  <c r="AI201" i="1"/>
  <c r="AJ201" i="1"/>
  <c r="CQ201" i="1"/>
  <c r="CR201" i="1"/>
  <c r="Q201" i="1" s="1"/>
  <c r="CS201" i="1"/>
  <c r="R201" i="1" s="1"/>
  <c r="CT201" i="1"/>
  <c r="S201" i="1" s="1"/>
  <c r="CU201" i="1"/>
  <c r="T201" i="1" s="1"/>
  <c r="CW201" i="1"/>
  <c r="V201" i="1" s="1"/>
  <c r="CX201" i="1"/>
  <c r="FR201" i="1"/>
  <c r="GK201" i="1"/>
  <c r="GL201" i="1"/>
  <c r="GN201" i="1"/>
  <c r="GO201" i="1"/>
  <c r="GV201" i="1"/>
  <c r="HC201" i="1"/>
  <c r="GX201" i="1" s="1"/>
  <c r="I202" i="1"/>
  <c r="U202" i="1"/>
  <c r="V202" i="1"/>
  <c r="AC202" i="1"/>
  <c r="CQ202" i="1" s="1"/>
  <c r="P202" i="1" s="1"/>
  <c r="AE202" i="1"/>
  <c r="AD202" i="1" s="1"/>
  <c r="AF202" i="1"/>
  <c r="CT202" i="1" s="1"/>
  <c r="S202" i="1" s="1"/>
  <c r="CY202" i="1" s="1"/>
  <c r="X202" i="1" s="1"/>
  <c r="AG202" i="1"/>
  <c r="CU202" i="1" s="1"/>
  <c r="T202" i="1" s="1"/>
  <c r="AH202" i="1"/>
  <c r="AI202" i="1"/>
  <c r="AJ202" i="1"/>
  <c r="CX202" i="1" s="1"/>
  <c r="W202" i="1" s="1"/>
  <c r="CR202" i="1"/>
  <c r="Q202" i="1" s="1"/>
  <c r="CV202" i="1"/>
  <c r="CW202" i="1"/>
  <c r="FR202" i="1"/>
  <c r="GL202" i="1"/>
  <c r="GN202" i="1"/>
  <c r="GO202" i="1"/>
  <c r="GV202" i="1"/>
  <c r="HC202" i="1" s="1"/>
  <c r="GX202" i="1"/>
  <c r="C203" i="1"/>
  <c r="D203" i="1"/>
  <c r="I203" i="1"/>
  <c r="K203" i="1"/>
  <c r="P203" i="1"/>
  <c r="Q203" i="1"/>
  <c r="AC203" i="1"/>
  <c r="CQ203" i="1" s="1"/>
  <c r="AE203" i="1"/>
  <c r="AD203" i="1" s="1"/>
  <c r="AF203" i="1"/>
  <c r="CT203" i="1" s="1"/>
  <c r="S203" i="1" s="1"/>
  <c r="AG203" i="1"/>
  <c r="AH203" i="1"/>
  <c r="CV203" i="1" s="1"/>
  <c r="U203" i="1" s="1"/>
  <c r="AI203" i="1"/>
  <c r="CW203" i="1" s="1"/>
  <c r="V203" i="1" s="1"/>
  <c r="AJ203" i="1"/>
  <c r="CR203" i="1"/>
  <c r="CU203" i="1"/>
  <c r="T203" i="1" s="1"/>
  <c r="CX203" i="1"/>
  <c r="W203" i="1" s="1"/>
  <c r="FR203" i="1"/>
  <c r="GL203" i="1"/>
  <c r="BZ210" i="1" s="1"/>
  <c r="GN203" i="1"/>
  <c r="GO203" i="1"/>
  <c r="GV203" i="1"/>
  <c r="HC203" i="1" s="1"/>
  <c r="GX203" i="1" s="1"/>
  <c r="I204" i="1"/>
  <c r="V204" i="1" s="1"/>
  <c r="W204" i="1"/>
  <c r="AC204" i="1"/>
  <c r="AB204" i="1" s="1"/>
  <c r="AE204" i="1"/>
  <c r="AD204" i="1" s="1"/>
  <c r="AF204" i="1"/>
  <c r="CT204" i="1" s="1"/>
  <c r="S204" i="1" s="1"/>
  <c r="AG204" i="1"/>
  <c r="CU204" i="1" s="1"/>
  <c r="T204" i="1" s="1"/>
  <c r="AH204" i="1"/>
  <c r="AI204" i="1"/>
  <c r="AJ204" i="1"/>
  <c r="CR204" i="1"/>
  <c r="Q204" i="1" s="1"/>
  <c r="CS204" i="1"/>
  <c r="R204" i="1" s="1"/>
  <c r="GK204" i="1" s="1"/>
  <c r="CV204" i="1"/>
  <c r="U204" i="1" s="1"/>
  <c r="CW204" i="1"/>
  <c r="CX204" i="1"/>
  <c r="FR204" i="1"/>
  <c r="GL204" i="1"/>
  <c r="GN204" i="1"/>
  <c r="GO204" i="1"/>
  <c r="GV204" i="1"/>
  <c r="GX204" i="1"/>
  <c r="HC204" i="1"/>
  <c r="C205" i="1"/>
  <c r="D205" i="1"/>
  <c r="I205" i="1"/>
  <c r="K205" i="1"/>
  <c r="Q205" i="1"/>
  <c r="R205" i="1"/>
  <c r="GK205" i="1" s="1"/>
  <c r="AC205" i="1"/>
  <c r="CQ205" i="1" s="1"/>
  <c r="P205" i="1" s="1"/>
  <c r="AE205" i="1"/>
  <c r="AD205" i="1" s="1"/>
  <c r="AB205" i="1" s="1"/>
  <c r="AF205" i="1"/>
  <c r="CT205" i="1" s="1"/>
  <c r="S205" i="1" s="1"/>
  <c r="AG205" i="1"/>
  <c r="AH205" i="1"/>
  <c r="AI205" i="1"/>
  <c r="CW205" i="1" s="1"/>
  <c r="V205" i="1" s="1"/>
  <c r="AJ205" i="1"/>
  <c r="CX205" i="1" s="1"/>
  <c r="W205" i="1" s="1"/>
  <c r="CR205" i="1"/>
  <c r="CS205" i="1"/>
  <c r="CU205" i="1"/>
  <c r="T205" i="1" s="1"/>
  <c r="CV205" i="1"/>
  <c r="U205" i="1" s="1"/>
  <c r="FR205" i="1"/>
  <c r="GL205" i="1"/>
  <c r="GN205" i="1"/>
  <c r="GO205" i="1"/>
  <c r="GV205" i="1"/>
  <c r="HC205" i="1" s="1"/>
  <c r="GX205" i="1"/>
  <c r="C206" i="1"/>
  <c r="D206" i="1"/>
  <c r="I206" i="1"/>
  <c r="Q206" i="1" s="1"/>
  <c r="K206" i="1"/>
  <c r="T206" i="1"/>
  <c r="U206" i="1"/>
  <c r="AC206" i="1"/>
  <c r="CQ206" i="1" s="1"/>
  <c r="P206" i="1" s="1"/>
  <c r="AD206" i="1"/>
  <c r="AE206" i="1"/>
  <c r="AF206" i="1"/>
  <c r="AG206" i="1"/>
  <c r="AH206" i="1"/>
  <c r="AI206" i="1"/>
  <c r="AJ206" i="1"/>
  <c r="CX206" i="1" s="1"/>
  <c r="W206" i="1" s="1"/>
  <c r="CR206" i="1"/>
  <c r="CS206" i="1"/>
  <c r="R206" i="1" s="1"/>
  <c r="CT206" i="1"/>
  <c r="S206" i="1" s="1"/>
  <c r="CU206" i="1"/>
  <c r="CV206" i="1"/>
  <c r="CW206" i="1"/>
  <c r="V206" i="1" s="1"/>
  <c r="FR206" i="1"/>
  <c r="BY210" i="1" s="1"/>
  <c r="GK206" i="1"/>
  <c r="GL206" i="1"/>
  <c r="GN206" i="1"/>
  <c r="GO206" i="1"/>
  <c r="GV206" i="1"/>
  <c r="HC206" i="1"/>
  <c r="GX206" i="1" s="1"/>
  <c r="C207" i="1"/>
  <c r="D207" i="1"/>
  <c r="I207" i="1"/>
  <c r="I208" i="1" s="1"/>
  <c r="W208" i="1" s="1"/>
  <c r="K207" i="1"/>
  <c r="Q207" i="1"/>
  <c r="AC207" i="1"/>
  <c r="AE207" i="1"/>
  <c r="AD207" i="1" s="1"/>
  <c r="AB207" i="1" s="1"/>
  <c r="AF207" i="1"/>
  <c r="CT207" i="1" s="1"/>
  <c r="S207" i="1" s="1"/>
  <c r="AG207" i="1"/>
  <c r="CU207" i="1" s="1"/>
  <c r="T207" i="1" s="1"/>
  <c r="AH207" i="1"/>
  <c r="AI207" i="1"/>
  <c r="AJ207" i="1"/>
  <c r="CX207" i="1" s="1"/>
  <c r="W207" i="1" s="1"/>
  <c r="CQ207" i="1"/>
  <c r="P207" i="1" s="1"/>
  <c r="CR207" i="1"/>
  <c r="CV207" i="1"/>
  <c r="U207" i="1" s="1"/>
  <c r="CW207" i="1"/>
  <c r="V207" i="1" s="1"/>
  <c r="FR207" i="1"/>
  <c r="GL207" i="1"/>
  <c r="GN207" i="1"/>
  <c r="GO207" i="1"/>
  <c r="GV207" i="1"/>
  <c r="HC207" i="1" s="1"/>
  <c r="GX207" i="1" s="1"/>
  <c r="AC208" i="1"/>
  <c r="AB208" i="1" s="1"/>
  <c r="AD208" i="1"/>
  <c r="AE208" i="1"/>
  <c r="CS208" i="1" s="1"/>
  <c r="AF208" i="1"/>
  <c r="AG208" i="1"/>
  <c r="CU208" i="1" s="1"/>
  <c r="T208" i="1" s="1"/>
  <c r="AH208" i="1"/>
  <c r="CV208" i="1" s="1"/>
  <c r="AI208" i="1"/>
  <c r="AJ208" i="1"/>
  <c r="CR208" i="1"/>
  <c r="Q208" i="1" s="1"/>
  <c r="CT208" i="1"/>
  <c r="S208" i="1" s="1"/>
  <c r="CW208" i="1"/>
  <c r="CX208" i="1"/>
  <c r="FR208" i="1"/>
  <c r="GL208" i="1"/>
  <c r="GN208" i="1"/>
  <c r="GO208" i="1"/>
  <c r="GV208" i="1"/>
  <c r="HC208" i="1"/>
  <c r="B210" i="1"/>
  <c r="B194" i="1" s="1"/>
  <c r="C210" i="1"/>
  <c r="D210" i="1"/>
  <c r="D194" i="1" s="1"/>
  <c r="F210" i="1"/>
  <c r="F194" i="1" s="1"/>
  <c r="G210" i="1"/>
  <c r="G194" i="1" s="1"/>
  <c r="AT210" i="1"/>
  <c r="BX210" i="1"/>
  <c r="BX194" i="1" s="1"/>
  <c r="CB210" i="1"/>
  <c r="CB194" i="1" s="1"/>
  <c r="CC210" i="1"/>
  <c r="CC194" i="1" s="1"/>
  <c r="CK210" i="1"/>
  <c r="CK194" i="1" s="1"/>
  <c r="CL210" i="1"/>
  <c r="CL194" i="1" s="1"/>
  <c r="CM210" i="1"/>
  <c r="CM194" i="1" s="1"/>
  <c r="D240" i="1"/>
  <c r="B242" i="1"/>
  <c r="E242" i="1"/>
  <c r="Z242" i="1"/>
  <c r="AA242" i="1"/>
  <c r="AM242" i="1"/>
  <c r="AN242" i="1"/>
  <c r="AX242" i="1"/>
  <c r="BE242" i="1"/>
  <c r="BF242" i="1"/>
  <c r="BG242" i="1"/>
  <c r="BH242" i="1"/>
  <c r="BI242" i="1"/>
  <c r="BJ242" i="1"/>
  <c r="BK242" i="1"/>
  <c r="BL242" i="1"/>
  <c r="BM242" i="1"/>
  <c r="BN242" i="1"/>
  <c r="BO242" i="1"/>
  <c r="BP242" i="1"/>
  <c r="BQ242" i="1"/>
  <c r="BR242" i="1"/>
  <c r="BS242" i="1"/>
  <c r="BT242" i="1"/>
  <c r="BU242" i="1"/>
  <c r="BV242" i="1"/>
  <c r="BW242" i="1"/>
  <c r="CC242" i="1"/>
  <c r="CK242" i="1"/>
  <c r="CN242" i="1"/>
  <c r="CO242" i="1"/>
  <c r="CP242" i="1"/>
  <c r="CQ242" i="1"/>
  <c r="CR242" i="1"/>
  <c r="CS242" i="1"/>
  <c r="CT242" i="1"/>
  <c r="CU242" i="1"/>
  <c r="CV242" i="1"/>
  <c r="CW242" i="1"/>
  <c r="CX242" i="1"/>
  <c r="CY242" i="1"/>
  <c r="CZ242" i="1"/>
  <c r="DA242" i="1"/>
  <c r="DB242" i="1"/>
  <c r="DC242" i="1"/>
  <c r="DD242" i="1"/>
  <c r="DE242" i="1"/>
  <c r="DF242" i="1"/>
  <c r="DG242" i="1"/>
  <c r="DH242" i="1"/>
  <c r="DI242" i="1"/>
  <c r="DJ242" i="1"/>
  <c r="DK242" i="1"/>
  <c r="DL242" i="1"/>
  <c r="DM242" i="1"/>
  <c r="DN242" i="1"/>
  <c r="DO242" i="1"/>
  <c r="DP242" i="1"/>
  <c r="DQ242" i="1"/>
  <c r="DR242" i="1"/>
  <c r="DS242" i="1"/>
  <c r="DT242" i="1"/>
  <c r="DU242" i="1"/>
  <c r="DV242" i="1"/>
  <c r="DW242" i="1"/>
  <c r="DX242" i="1"/>
  <c r="DY242" i="1"/>
  <c r="DZ242" i="1"/>
  <c r="EA242" i="1"/>
  <c r="EB242" i="1"/>
  <c r="EC242" i="1"/>
  <c r="ED242" i="1"/>
  <c r="EE242" i="1"/>
  <c r="EF242" i="1"/>
  <c r="EG242" i="1"/>
  <c r="EH242" i="1"/>
  <c r="EI242" i="1"/>
  <c r="EJ242" i="1"/>
  <c r="EK242" i="1"/>
  <c r="EL242" i="1"/>
  <c r="EM242" i="1"/>
  <c r="EN242" i="1"/>
  <c r="EO242" i="1"/>
  <c r="EP242" i="1"/>
  <c r="EQ242" i="1"/>
  <c r="ER242" i="1"/>
  <c r="ES242" i="1"/>
  <c r="ET242" i="1"/>
  <c r="EU242" i="1"/>
  <c r="EV242" i="1"/>
  <c r="EW242" i="1"/>
  <c r="EX242" i="1"/>
  <c r="EY242" i="1"/>
  <c r="EZ242" i="1"/>
  <c r="FA242" i="1"/>
  <c r="FB242" i="1"/>
  <c r="FC242" i="1"/>
  <c r="FD242" i="1"/>
  <c r="FE242" i="1"/>
  <c r="FF242" i="1"/>
  <c r="FG242" i="1"/>
  <c r="FH242" i="1"/>
  <c r="FI242" i="1"/>
  <c r="FJ242" i="1"/>
  <c r="FK242" i="1"/>
  <c r="FL242" i="1"/>
  <c r="FM242" i="1"/>
  <c r="FN242" i="1"/>
  <c r="FO242" i="1"/>
  <c r="FP242" i="1"/>
  <c r="FQ242" i="1"/>
  <c r="FR242" i="1"/>
  <c r="FS242" i="1"/>
  <c r="FT242" i="1"/>
  <c r="FU242" i="1"/>
  <c r="FV242" i="1"/>
  <c r="FW242" i="1"/>
  <c r="FX242" i="1"/>
  <c r="FY242" i="1"/>
  <c r="FZ242" i="1"/>
  <c r="GA242" i="1"/>
  <c r="GB242" i="1"/>
  <c r="GC242" i="1"/>
  <c r="GD242" i="1"/>
  <c r="GE242" i="1"/>
  <c r="GF242" i="1"/>
  <c r="GG242" i="1"/>
  <c r="GH242" i="1"/>
  <c r="GI242" i="1"/>
  <c r="GJ242" i="1"/>
  <c r="GK242" i="1"/>
  <c r="GL242" i="1"/>
  <c r="GM242" i="1"/>
  <c r="GN242" i="1"/>
  <c r="GO242" i="1"/>
  <c r="GP242" i="1"/>
  <c r="GQ242" i="1"/>
  <c r="GR242" i="1"/>
  <c r="GS242" i="1"/>
  <c r="GT242" i="1"/>
  <c r="GU242" i="1"/>
  <c r="GV242" i="1"/>
  <c r="GW242" i="1"/>
  <c r="GX242" i="1"/>
  <c r="C244" i="1"/>
  <c r="D244" i="1"/>
  <c r="I244" i="1"/>
  <c r="U244" i="1" s="1"/>
  <c r="K244" i="1"/>
  <c r="V244" i="1"/>
  <c r="AC244" i="1"/>
  <c r="CQ244" i="1" s="1"/>
  <c r="P244" i="1" s="1"/>
  <c r="AE244" i="1"/>
  <c r="AD244" i="1" s="1"/>
  <c r="AB244" i="1" s="1"/>
  <c r="AF244" i="1"/>
  <c r="CT244" i="1" s="1"/>
  <c r="AG244" i="1"/>
  <c r="AH244" i="1"/>
  <c r="AI244" i="1"/>
  <c r="CW244" i="1" s="1"/>
  <c r="AJ244" i="1"/>
  <c r="CX244" i="1" s="1"/>
  <c r="CR244" i="1"/>
  <c r="Q244" i="1" s="1"/>
  <c r="CS244" i="1"/>
  <c r="R244" i="1" s="1"/>
  <c r="CU244" i="1"/>
  <c r="CV244" i="1"/>
  <c r="FR244" i="1"/>
  <c r="BY248" i="1" s="1"/>
  <c r="GL244" i="1"/>
  <c r="GN244" i="1"/>
  <c r="GO244" i="1"/>
  <c r="GV244" i="1"/>
  <c r="HC244" i="1" s="1"/>
  <c r="GX244" i="1" s="1"/>
  <c r="AC245" i="1"/>
  <c r="AB245" i="1" s="1"/>
  <c r="AD245" i="1"/>
  <c r="AE245" i="1"/>
  <c r="AF245" i="1"/>
  <c r="AG245" i="1"/>
  <c r="CU245" i="1" s="1"/>
  <c r="AH245" i="1"/>
  <c r="CV245" i="1" s="1"/>
  <c r="AI245" i="1"/>
  <c r="CW245" i="1" s="1"/>
  <c r="AJ245" i="1"/>
  <c r="CR245" i="1"/>
  <c r="CS245" i="1"/>
  <c r="CT245" i="1"/>
  <c r="CX245" i="1"/>
  <c r="FR245" i="1"/>
  <c r="GL245" i="1"/>
  <c r="GN245" i="1"/>
  <c r="GO245" i="1"/>
  <c r="CC248" i="1" s="1"/>
  <c r="AT248" i="1" s="1"/>
  <c r="GV245" i="1"/>
  <c r="HC245" i="1"/>
  <c r="AC246" i="1"/>
  <c r="AE246" i="1"/>
  <c r="AD246" i="1" s="1"/>
  <c r="AB246" i="1" s="1"/>
  <c r="AF246" i="1"/>
  <c r="CT246" i="1" s="1"/>
  <c r="AG246" i="1"/>
  <c r="CU246" i="1" s="1"/>
  <c r="AH246" i="1"/>
  <c r="AI246" i="1"/>
  <c r="AJ246" i="1"/>
  <c r="CX246" i="1" s="1"/>
  <c r="CQ246" i="1"/>
  <c r="CR246" i="1"/>
  <c r="CV246" i="1"/>
  <c r="CW246" i="1"/>
  <c r="FR246" i="1"/>
  <c r="GL246" i="1"/>
  <c r="GN246" i="1"/>
  <c r="CB248" i="1" s="1"/>
  <c r="GO246" i="1"/>
  <c r="GV246" i="1"/>
  <c r="HC246" i="1" s="1"/>
  <c r="B248" i="1"/>
  <c r="C248" i="1"/>
  <c r="C242" i="1" s="1"/>
  <c r="D248" i="1"/>
  <c r="D242" i="1" s="1"/>
  <c r="F248" i="1"/>
  <c r="F242" i="1" s="1"/>
  <c r="G248" i="1"/>
  <c r="G242" i="1" s="1"/>
  <c r="BX248" i="1"/>
  <c r="BX242" i="1" s="1"/>
  <c r="BZ248" i="1"/>
  <c r="AQ248" i="1" s="1"/>
  <c r="CG248" i="1"/>
  <c r="AX248" i="1" s="1"/>
  <c r="F255" i="1" s="1"/>
  <c r="CK248" i="1"/>
  <c r="BB248" i="1" s="1"/>
  <c r="CL248" i="1"/>
  <c r="BC248" i="1" s="1"/>
  <c r="CM248" i="1"/>
  <c r="CM242" i="1" s="1"/>
  <c r="D278" i="1"/>
  <c r="D280" i="1"/>
  <c r="E280" i="1"/>
  <c r="Z280" i="1"/>
  <c r="AA280" i="1"/>
  <c r="AM280" i="1"/>
  <c r="AN280" i="1"/>
  <c r="BE280" i="1"/>
  <c r="BF280" i="1"/>
  <c r="BG280" i="1"/>
  <c r="BH280" i="1"/>
  <c r="BI280" i="1"/>
  <c r="BJ280" i="1"/>
  <c r="BK280" i="1"/>
  <c r="BL280" i="1"/>
  <c r="BM280" i="1"/>
  <c r="BN280" i="1"/>
  <c r="BO280" i="1"/>
  <c r="BP280" i="1"/>
  <c r="BQ280" i="1"/>
  <c r="BR280" i="1"/>
  <c r="BS280" i="1"/>
  <c r="BT280" i="1"/>
  <c r="BU280" i="1"/>
  <c r="BV280" i="1"/>
  <c r="BW280" i="1"/>
  <c r="CM280" i="1"/>
  <c r="CN280" i="1"/>
  <c r="CO280" i="1"/>
  <c r="CP280" i="1"/>
  <c r="CQ280" i="1"/>
  <c r="CR280" i="1"/>
  <c r="CS280" i="1"/>
  <c r="CT280" i="1"/>
  <c r="CU280" i="1"/>
  <c r="CV280" i="1"/>
  <c r="CW280" i="1"/>
  <c r="CX280" i="1"/>
  <c r="CY280" i="1"/>
  <c r="CZ280" i="1"/>
  <c r="DA280" i="1"/>
  <c r="DB280" i="1"/>
  <c r="DC280" i="1"/>
  <c r="DD280" i="1"/>
  <c r="DE280" i="1"/>
  <c r="DF280" i="1"/>
  <c r="DG280" i="1"/>
  <c r="DH280" i="1"/>
  <c r="DI280" i="1"/>
  <c r="DJ280" i="1"/>
  <c r="DK280" i="1"/>
  <c r="DL280" i="1"/>
  <c r="DM280" i="1"/>
  <c r="DN280" i="1"/>
  <c r="DO280" i="1"/>
  <c r="DP280" i="1"/>
  <c r="DQ280" i="1"/>
  <c r="DR280" i="1"/>
  <c r="DS280" i="1"/>
  <c r="DT280" i="1"/>
  <c r="DU280" i="1"/>
  <c r="DV280" i="1"/>
  <c r="DW280" i="1"/>
  <c r="DX280" i="1"/>
  <c r="DY280" i="1"/>
  <c r="DZ280" i="1"/>
  <c r="EA280" i="1"/>
  <c r="EB280" i="1"/>
  <c r="EC280" i="1"/>
  <c r="ED280" i="1"/>
  <c r="EE280" i="1"/>
  <c r="EF280" i="1"/>
  <c r="EG280" i="1"/>
  <c r="EH280" i="1"/>
  <c r="EI280" i="1"/>
  <c r="EJ280" i="1"/>
  <c r="EK280" i="1"/>
  <c r="EL280" i="1"/>
  <c r="EM280" i="1"/>
  <c r="EN280" i="1"/>
  <c r="EO280" i="1"/>
  <c r="EP280" i="1"/>
  <c r="EQ280" i="1"/>
  <c r="ER280" i="1"/>
  <c r="ES280" i="1"/>
  <c r="ET280" i="1"/>
  <c r="EU280" i="1"/>
  <c r="EV280" i="1"/>
  <c r="EW280" i="1"/>
  <c r="EX280" i="1"/>
  <c r="EY280" i="1"/>
  <c r="EZ280" i="1"/>
  <c r="FA280" i="1"/>
  <c r="FB280" i="1"/>
  <c r="FC280" i="1"/>
  <c r="FD280" i="1"/>
  <c r="FE280" i="1"/>
  <c r="FF280" i="1"/>
  <c r="FG280" i="1"/>
  <c r="FH280" i="1"/>
  <c r="FI280" i="1"/>
  <c r="FJ280" i="1"/>
  <c r="FK280" i="1"/>
  <c r="FL280" i="1"/>
  <c r="FM280" i="1"/>
  <c r="FN280" i="1"/>
  <c r="FO280" i="1"/>
  <c r="FP280" i="1"/>
  <c r="FQ280" i="1"/>
  <c r="FR280" i="1"/>
  <c r="FS280" i="1"/>
  <c r="FT280" i="1"/>
  <c r="FU280" i="1"/>
  <c r="FV280" i="1"/>
  <c r="FW280" i="1"/>
  <c r="FX280" i="1"/>
  <c r="FY280" i="1"/>
  <c r="FZ280" i="1"/>
  <c r="GA280" i="1"/>
  <c r="GB280" i="1"/>
  <c r="GC280" i="1"/>
  <c r="GD280" i="1"/>
  <c r="GE280" i="1"/>
  <c r="GF280" i="1"/>
  <c r="GG280" i="1"/>
  <c r="GH280" i="1"/>
  <c r="GI280" i="1"/>
  <c r="GJ280" i="1"/>
  <c r="GK280" i="1"/>
  <c r="GL280" i="1"/>
  <c r="GM280" i="1"/>
  <c r="GN280" i="1"/>
  <c r="GO280" i="1"/>
  <c r="GP280" i="1"/>
  <c r="GQ280" i="1"/>
  <c r="GR280" i="1"/>
  <c r="GS280" i="1"/>
  <c r="GT280" i="1"/>
  <c r="GU280" i="1"/>
  <c r="GV280" i="1"/>
  <c r="GW280" i="1"/>
  <c r="GX280" i="1"/>
  <c r="C282" i="1"/>
  <c r="D282" i="1"/>
  <c r="I282" i="1"/>
  <c r="K282" i="1"/>
  <c r="W282" i="1"/>
  <c r="AC282" i="1"/>
  <c r="AB282" i="1" s="1"/>
  <c r="AD282" i="1"/>
  <c r="AE282" i="1"/>
  <c r="CS282" i="1" s="1"/>
  <c r="R282" i="1" s="1"/>
  <c r="GK282" i="1" s="1"/>
  <c r="AF282" i="1"/>
  <c r="AG282" i="1"/>
  <c r="AH282" i="1"/>
  <c r="CV282" i="1" s="1"/>
  <c r="U282" i="1" s="1"/>
  <c r="AI282" i="1"/>
  <c r="AJ282" i="1"/>
  <c r="CR282" i="1"/>
  <c r="Q282" i="1" s="1"/>
  <c r="CT282" i="1"/>
  <c r="S282" i="1" s="1"/>
  <c r="CU282" i="1"/>
  <c r="T282" i="1" s="1"/>
  <c r="CW282" i="1"/>
  <c r="V282" i="1" s="1"/>
  <c r="CX282" i="1"/>
  <c r="FR282" i="1"/>
  <c r="GL282" i="1"/>
  <c r="BZ286" i="1" s="1"/>
  <c r="GN282" i="1"/>
  <c r="GO282" i="1"/>
  <c r="GV282" i="1"/>
  <c r="HC282" i="1"/>
  <c r="GX282" i="1" s="1"/>
  <c r="I283" i="1"/>
  <c r="U283" i="1"/>
  <c r="V283" i="1"/>
  <c r="AC283" i="1"/>
  <c r="AE283" i="1"/>
  <c r="AD283" i="1" s="1"/>
  <c r="AF283" i="1"/>
  <c r="CT283" i="1" s="1"/>
  <c r="S283" i="1" s="1"/>
  <c r="CY283" i="1" s="1"/>
  <c r="X283" i="1" s="1"/>
  <c r="AG283" i="1"/>
  <c r="AH283" i="1"/>
  <c r="AI283" i="1"/>
  <c r="CW283" i="1" s="1"/>
  <c r="AJ283" i="1"/>
  <c r="CR283" i="1"/>
  <c r="Q283" i="1" s="1"/>
  <c r="CS283" i="1"/>
  <c r="R283" i="1" s="1"/>
  <c r="GK283" i="1" s="1"/>
  <c r="CU283" i="1"/>
  <c r="T283" i="1" s="1"/>
  <c r="CV283" i="1"/>
  <c r="CX283" i="1"/>
  <c r="W283" i="1" s="1"/>
  <c r="FR283" i="1"/>
  <c r="GL283" i="1"/>
  <c r="GN283" i="1"/>
  <c r="GO283" i="1"/>
  <c r="GV283" i="1"/>
  <c r="HC283" i="1" s="1"/>
  <c r="GX283" i="1"/>
  <c r="I284" i="1"/>
  <c r="S284" i="1"/>
  <c r="CZ284" i="1" s="1"/>
  <c r="Y284" i="1" s="1"/>
  <c r="AC284" i="1"/>
  <c r="AD284" i="1"/>
  <c r="AE284" i="1"/>
  <c r="AF284" i="1"/>
  <c r="CT284" i="1" s="1"/>
  <c r="AG284" i="1"/>
  <c r="CU284" i="1" s="1"/>
  <c r="T284" i="1" s="1"/>
  <c r="AH284" i="1"/>
  <c r="AI284" i="1"/>
  <c r="CW284" i="1" s="1"/>
  <c r="V284" i="1" s="1"/>
  <c r="AJ284" i="1"/>
  <c r="CQ284" i="1"/>
  <c r="P284" i="1" s="1"/>
  <c r="CP284" i="1" s="1"/>
  <c r="O284" i="1" s="1"/>
  <c r="GM284" i="1" s="1"/>
  <c r="GP284" i="1" s="1"/>
  <c r="CR284" i="1"/>
  <c r="Q284" i="1" s="1"/>
  <c r="CS284" i="1"/>
  <c r="R284" i="1" s="1"/>
  <c r="GK284" i="1" s="1"/>
  <c r="CV284" i="1"/>
  <c r="U284" i="1" s="1"/>
  <c r="CX284" i="1"/>
  <c r="W284" i="1" s="1"/>
  <c r="CY284" i="1"/>
  <c r="X284" i="1" s="1"/>
  <c r="FR284" i="1"/>
  <c r="GL284" i="1"/>
  <c r="GN284" i="1"/>
  <c r="GO284" i="1"/>
  <c r="CC286" i="1" s="1"/>
  <c r="GV284" i="1"/>
  <c r="GX284" i="1"/>
  <c r="HC284" i="1"/>
  <c r="B286" i="1"/>
  <c r="B280" i="1" s="1"/>
  <c r="C286" i="1"/>
  <c r="C280" i="1" s="1"/>
  <c r="D286" i="1"/>
  <c r="F286" i="1"/>
  <c r="F280" i="1" s="1"/>
  <c r="G286" i="1"/>
  <c r="G280" i="1" s="1"/>
  <c r="BX286" i="1"/>
  <c r="AO286" i="1" s="1"/>
  <c r="BY286" i="1"/>
  <c r="CB286" i="1"/>
  <c r="AS286" i="1" s="1"/>
  <c r="CK286" i="1"/>
  <c r="BB286" i="1" s="1"/>
  <c r="CL286" i="1"/>
  <c r="BC286" i="1" s="1"/>
  <c r="CM286" i="1"/>
  <c r="BD286" i="1" s="1"/>
  <c r="B316" i="1"/>
  <c r="B26" i="1" s="1"/>
  <c r="C316" i="1"/>
  <c r="C26" i="1" s="1"/>
  <c r="D316" i="1"/>
  <c r="D26" i="1" s="1"/>
  <c r="F316" i="1"/>
  <c r="F26" i="1" s="1"/>
  <c r="G316" i="1"/>
  <c r="G26" i="1" s="1"/>
  <c r="D346" i="1"/>
  <c r="C348" i="1"/>
  <c r="D348" i="1"/>
  <c r="E348" i="1"/>
  <c r="Z348" i="1"/>
  <c r="AA348" i="1"/>
  <c r="AM348" i="1"/>
  <c r="AN348" i="1"/>
  <c r="BE348" i="1"/>
  <c r="BF348" i="1"/>
  <c r="BG348" i="1"/>
  <c r="BH348" i="1"/>
  <c r="BI348" i="1"/>
  <c r="BJ348" i="1"/>
  <c r="BK348" i="1"/>
  <c r="BL348" i="1"/>
  <c r="BM348" i="1"/>
  <c r="BN348" i="1"/>
  <c r="BO348" i="1"/>
  <c r="BP348" i="1"/>
  <c r="BQ348" i="1"/>
  <c r="BR348" i="1"/>
  <c r="BS348" i="1"/>
  <c r="BT348" i="1"/>
  <c r="BU348" i="1"/>
  <c r="BV348" i="1"/>
  <c r="BW348" i="1"/>
  <c r="CN348" i="1"/>
  <c r="CO348" i="1"/>
  <c r="CP348" i="1"/>
  <c r="CQ348" i="1"/>
  <c r="CR348" i="1"/>
  <c r="CS348" i="1"/>
  <c r="CT348" i="1"/>
  <c r="CU348" i="1"/>
  <c r="CV348" i="1"/>
  <c r="CW348" i="1"/>
  <c r="CX348" i="1"/>
  <c r="CY348" i="1"/>
  <c r="CZ348" i="1"/>
  <c r="DA348" i="1"/>
  <c r="DB348" i="1"/>
  <c r="DC348" i="1"/>
  <c r="DD348" i="1"/>
  <c r="DE348" i="1"/>
  <c r="DF348" i="1"/>
  <c r="DG348" i="1"/>
  <c r="DH348" i="1"/>
  <c r="DI348" i="1"/>
  <c r="DJ348" i="1"/>
  <c r="DK348" i="1"/>
  <c r="DL348" i="1"/>
  <c r="DM348" i="1"/>
  <c r="DN348" i="1"/>
  <c r="DO348" i="1"/>
  <c r="DP348" i="1"/>
  <c r="DQ348" i="1"/>
  <c r="DR348" i="1"/>
  <c r="DS348" i="1"/>
  <c r="DT348" i="1"/>
  <c r="DU348" i="1"/>
  <c r="DV348" i="1"/>
  <c r="DW348" i="1"/>
  <c r="DX348" i="1"/>
  <c r="DY348" i="1"/>
  <c r="DZ348" i="1"/>
  <c r="EA348" i="1"/>
  <c r="EB348" i="1"/>
  <c r="EC348" i="1"/>
  <c r="ED348" i="1"/>
  <c r="EE348" i="1"/>
  <c r="EF348" i="1"/>
  <c r="EG348" i="1"/>
  <c r="EH348" i="1"/>
  <c r="EI348" i="1"/>
  <c r="EJ348" i="1"/>
  <c r="EK348" i="1"/>
  <c r="EL348" i="1"/>
  <c r="EM348" i="1"/>
  <c r="EN348" i="1"/>
  <c r="EO348" i="1"/>
  <c r="EP348" i="1"/>
  <c r="EQ348" i="1"/>
  <c r="ER348" i="1"/>
  <c r="ES348" i="1"/>
  <c r="ET348" i="1"/>
  <c r="EU348" i="1"/>
  <c r="EV348" i="1"/>
  <c r="EW348" i="1"/>
  <c r="EX348" i="1"/>
  <c r="EY348" i="1"/>
  <c r="EZ348" i="1"/>
  <c r="FA348" i="1"/>
  <c r="FB348" i="1"/>
  <c r="FC348" i="1"/>
  <c r="FD348" i="1"/>
  <c r="FE348" i="1"/>
  <c r="FF348" i="1"/>
  <c r="FG348" i="1"/>
  <c r="FH348" i="1"/>
  <c r="FI348" i="1"/>
  <c r="FJ348" i="1"/>
  <c r="FK348" i="1"/>
  <c r="FL348" i="1"/>
  <c r="FM348" i="1"/>
  <c r="FN348" i="1"/>
  <c r="FO348" i="1"/>
  <c r="FP348" i="1"/>
  <c r="FQ348" i="1"/>
  <c r="FR348" i="1"/>
  <c r="FS348" i="1"/>
  <c r="FT348" i="1"/>
  <c r="FU348" i="1"/>
  <c r="FV348" i="1"/>
  <c r="FW348" i="1"/>
  <c r="FX348" i="1"/>
  <c r="FY348" i="1"/>
  <c r="FZ348" i="1"/>
  <c r="GA348" i="1"/>
  <c r="GB348" i="1"/>
  <c r="GC348" i="1"/>
  <c r="GD348" i="1"/>
  <c r="GE348" i="1"/>
  <c r="GF348" i="1"/>
  <c r="GG348" i="1"/>
  <c r="GH348" i="1"/>
  <c r="GI348" i="1"/>
  <c r="GJ348" i="1"/>
  <c r="GK348" i="1"/>
  <c r="GL348" i="1"/>
  <c r="GM348" i="1"/>
  <c r="GN348" i="1"/>
  <c r="GO348" i="1"/>
  <c r="GP348" i="1"/>
  <c r="GQ348" i="1"/>
  <c r="GR348" i="1"/>
  <c r="GS348" i="1"/>
  <c r="GT348" i="1"/>
  <c r="GU348" i="1"/>
  <c r="GV348" i="1"/>
  <c r="GW348" i="1"/>
  <c r="GX348" i="1"/>
  <c r="C350" i="1"/>
  <c r="D350" i="1"/>
  <c r="Q350" i="1"/>
  <c r="S350" i="1"/>
  <c r="CZ350" i="1" s="1"/>
  <c r="Y350" i="1" s="1"/>
  <c r="T350" i="1"/>
  <c r="AC350" i="1"/>
  <c r="AB350" i="1" s="1"/>
  <c r="AD350" i="1"/>
  <c r="AE350" i="1"/>
  <c r="CS350" i="1" s="1"/>
  <c r="R350" i="1" s="1"/>
  <c r="AF350" i="1"/>
  <c r="AG350" i="1"/>
  <c r="AH350" i="1"/>
  <c r="CV350" i="1" s="1"/>
  <c r="U350" i="1" s="1"/>
  <c r="AI350" i="1"/>
  <c r="CW350" i="1" s="1"/>
  <c r="V350" i="1" s="1"/>
  <c r="AJ350" i="1"/>
  <c r="CQ350" i="1"/>
  <c r="P350" i="1" s="1"/>
  <c r="CR350" i="1"/>
  <c r="CT350" i="1"/>
  <c r="CU350" i="1"/>
  <c r="CX350" i="1"/>
  <c r="W350" i="1" s="1"/>
  <c r="CY350" i="1"/>
  <c r="X350" i="1" s="1"/>
  <c r="FR350" i="1"/>
  <c r="GL350" i="1"/>
  <c r="GN350" i="1"/>
  <c r="GO350" i="1"/>
  <c r="CC354" i="1" s="1"/>
  <c r="GV350" i="1"/>
  <c r="HC350" i="1"/>
  <c r="GX350" i="1" s="1"/>
  <c r="C351" i="1"/>
  <c r="D351" i="1"/>
  <c r="I351" i="1"/>
  <c r="K351" i="1"/>
  <c r="V351" i="1"/>
  <c r="W351" i="1"/>
  <c r="AC351" i="1"/>
  <c r="AB351" i="1" s="1"/>
  <c r="AD351" i="1"/>
  <c r="AE351" i="1"/>
  <c r="AF351" i="1"/>
  <c r="AG351" i="1"/>
  <c r="CU351" i="1" s="1"/>
  <c r="T351" i="1" s="1"/>
  <c r="AH351" i="1"/>
  <c r="CV351" i="1" s="1"/>
  <c r="U351" i="1" s="1"/>
  <c r="AI351" i="1"/>
  <c r="AJ351" i="1"/>
  <c r="CR351" i="1"/>
  <c r="Q351" i="1" s="1"/>
  <c r="CS351" i="1"/>
  <c r="R351" i="1" s="1"/>
  <c r="CT351" i="1"/>
  <c r="S351" i="1" s="1"/>
  <c r="CW351" i="1"/>
  <c r="CX351" i="1"/>
  <c r="FR351" i="1"/>
  <c r="GL351" i="1"/>
  <c r="BZ354" i="1" s="1"/>
  <c r="GN351" i="1"/>
  <c r="GO351" i="1"/>
  <c r="GV351" i="1"/>
  <c r="HC351" i="1"/>
  <c r="GX351" i="1" s="1"/>
  <c r="C352" i="1"/>
  <c r="D352" i="1"/>
  <c r="I352" i="1"/>
  <c r="CW115" i="3" s="1"/>
  <c r="K352" i="1"/>
  <c r="R352" i="1"/>
  <c r="S352" i="1"/>
  <c r="CZ352" i="1" s="1"/>
  <c r="Y352" i="1" s="1"/>
  <c r="AC352" i="1"/>
  <c r="AB352" i="1" s="1"/>
  <c r="AD352" i="1"/>
  <c r="AE352" i="1"/>
  <c r="AF352" i="1"/>
  <c r="AG352" i="1"/>
  <c r="CU352" i="1" s="1"/>
  <c r="T352" i="1" s="1"/>
  <c r="AH352" i="1"/>
  <c r="CV352" i="1" s="1"/>
  <c r="U352" i="1" s="1"/>
  <c r="AI352" i="1"/>
  <c r="AJ352" i="1"/>
  <c r="CR352" i="1"/>
  <c r="Q352" i="1" s="1"/>
  <c r="CS352" i="1"/>
  <c r="CT352" i="1"/>
  <c r="CW352" i="1"/>
  <c r="V352" i="1" s="1"/>
  <c r="CX352" i="1"/>
  <c r="W352" i="1" s="1"/>
  <c r="FR352" i="1"/>
  <c r="GL352" i="1"/>
  <c r="GN352" i="1"/>
  <c r="GO352" i="1"/>
  <c r="GV352" i="1"/>
  <c r="HC352" i="1"/>
  <c r="GX352" i="1" s="1"/>
  <c r="B354" i="1"/>
  <c r="B348" i="1" s="1"/>
  <c r="C354" i="1"/>
  <c r="D354" i="1"/>
  <c r="F354" i="1"/>
  <c r="F348" i="1" s="1"/>
  <c r="G354" i="1"/>
  <c r="G348" i="1" s="1"/>
  <c r="BX354" i="1"/>
  <c r="BX348" i="1" s="1"/>
  <c r="BY354" i="1"/>
  <c r="CB354" i="1"/>
  <c r="CB348" i="1" s="1"/>
  <c r="CK354" i="1"/>
  <c r="CK348" i="1" s="1"/>
  <c r="CL354" i="1"/>
  <c r="CL348" i="1" s="1"/>
  <c r="CM354" i="1"/>
  <c r="CM348" i="1" s="1"/>
  <c r="B384" i="1"/>
  <c r="B22" i="1" s="1"/>
  <c r="C384" i="1"/>
  <c r="C22" i="1" s="1"/>
  <c r="D384" i="1"/>
  <c r="D22" i="1" s="1"/>
  <c r="F384" i="1"/>
  <c r="F22" i="1" s="1"/>
  <c r="G384" i="1"/>
  <c r="G22" i="1" s="1"/>
  <c r="B414" i="1"/>
  <c r="B18" i="1" s="1"/>
  <c r="C414" i="1"/>
  <c r="C18" i="1" s="1"/>
  <c r="D414" i="1"/>
  <c r="D18" i="1" s="1"/>
  <c r="F414" i="1"/>
  <c r="F18" i="1" s="1"/>
  <c r="G414" i="1"/>
  <c r="G18" i="1" s="1"/>
  <c r="F445" i="1"/>
  <c r="F12" i="6"/>
  <c r="G12" i="6"/>
  <c r="CY12" i="6"/>
  <c r="T37" i="10" l="1"/>
  <c r="R37" i="10"/>
  <c r="E82" i="9"/>
  <c r="M77" i="10"/>
  <c r="F82" i="9" s="1"/>
  <c r="O94" i="10"/>
  <c r="M94" i="10"/>
  <c r="F97" i="9" s="1"/>
  <c r="T61" i="10"/>
  <c r="R61" i="10"/>
  <c r="M43" i="10"/>
  <c r="F43" i="9" s="1"/>
  <c r="E43" i="9"/>
  <c r="M35" i="10"/>
  <c r="O35" i="10"/>
  <c r="F71" i="9"/>
  <c r="O76" i="10"/>
  <c r="M76" i="10"/>
  <c r="F69" i="9" s="1"/>
  <c r="F98" i="9"/>
  <c r="R30" i="10"/>
  <c r="T30" i="10"/>
  <c r="R13" i="10"/>
  <c r="T13" i="10"/>
  <c r="F12" i="9"/>
  <c r="F29" i="9"/>
  <c r="O42" i="10"/>
  <c r="M42" i="10"/>
  <c r="F39" i="9" s="1"/>
  <c r="T80" i="10"/>
  <c r="R80" i="10"/>
  <c r="O50" i="10"/>
  <c r="M50" i="10"/>
  <c r="F49" i="9" s="1"/>
  <c r="E55" i="9" s="1"/>
  <c r="O26" i="10"/>
  <c r="M26" i="10"/>
  <c r="F24" i="9" s="1"/>
  <c r="D35" i="9"/>
  <c r="R28" i="10"/>
  <c r="O28" i="10"/>
  <c r="R45" i="10"/>
  <c r="T45" i="10"/>
  <c r="O66" i="10"/>
  <c r="M66" i="10"/>
  <c r="F72" i="9" s="1"/>
  <c r="R69" i="10"/>
  <c r="T69" i="10"/>
  <c r="R88" i="10"/>
  <c r="O88" i="10"/>
  <c r="D92" i="9"/>
  <c r="O18" i="10"/>
  <c r="M18" i="10"/>
  <c r="F32" i="9" s="1"/>
  <c r="R21" i="10"/>
  <c r="T21" i="10"/>
  <c r="M28" i="10"/>
  <c r="F35" i="9" s="1"/>
  <c r="T52" i="10"/>
  <c r="R52" i="10"/>
  <c r="R14" i="10"/>
  <c r="R22" i="10"/>
  <c r="R62" i="10"/>
  <c r="M78" i="10"/>
  <c r="F73" i="9" s="1"/>
  <c r="E34" i="9"/>
  <c r="M19" i="10"/>
  <c r="F30" i="9" s="1"/>
  <c r="R38" i="10"/>
  <c r="R70" i="10"/>
  <c r="M87" i="10"/>
  <c r="F91" i="9" s="1"/>
  <c r="E93" i="9" s="1"/>
  <c r="O9" i="10"/>
  <c r="M10" i="10"/>
  <c r="F23" i="9" s="1"/>
  <c r="M12" i="10"/>
  <c r="F31" i="9" s="1"/>
  <c r="R15" i="10"/>
  <c r="M20" i="10"/>
  <c r="F26" i="9" s="1"/>
  <c r="R23" i="10"/>
  <c r="O27" i="10"/>
  <c r="M29" i="10"/>
  <c r="T31" i="10"/>
  <c r="R32" i="10"/>
  <c r="R39" i="10"/>
  <c r="T46" i="10"/>
  <c r="R47" i="10"/>
  <c r="T53" i="10"/>
  <c r="R55" i="10"/>
  <c r="O59" i="10"/>
  <c r="M60" i="10"/>
  <c r="F70" i="9" s="1"/>
  <c r="R63" i="10"/>
  <c r="O67" i="10"/>
  <c r="M68" i="10"/>
  <c r="R71" i="10"/>
  <c r="M79" i="10"/>
  <c r="F76" i="9" s="1"/>
  <c r="T81" i="10"/>
  <c r="T90" i="10"/>
  <c r="R91" i="10"/>
  <c r="D82" i="9"/>
  <c r="E92" i="9"/>
  <c r="T72" i="10"/>
  <c r="E58" i="9"/>
  <c r="M14" i="10"/>
  <c r="F22" i="9" s="1"/>
  <c r="R17" i="10"/>
  <c r="M22" i="10"/>
  <c r="F19" i="9" s="1"/>
  <c r="R25" i="10"/>
  <c r="M31" i="10"/>
  <c r="F27" i="9" s="1"/>
  <c r="R34" i="10"/>
  <c r="M38" i="10"/>
  <c r="F44" i="9" s="1"/>
  <c r="R41" i="10"/>
  <c r="M46" i="10"/>
  <c r="F53" i="9" s="1"/>
  <c r="R49" i="10"/>
  <c r="M53" i="10"/>
  <c r="F59" i="9" s="1"/>
  <c r="E61" i="9" s="1"/>
  <c r="M62" i="10"/>
  <c r="F78" i="9" s="1"/>
  <c r="R65" i="10"/>
  <c r="M70" i="10"/>
  <c r="F67" i="9" s="1"/>
  <c r="R75" i="10"/>
  <c r="M81" i="10"/>
  <c r="M90" i="10"/>
  <c r="F96" i="9" s="1"/>
  <c r="R93" i="10"/>
  <c r="M72" i="10"/>
  <c r="F79" i="9" s="1"/>
  <c r="R94" i="10"/>
  <c r="K221" i="7"/>
  <c r="P221" i="7"/>
  <c r="K230" i="7"/>
  <c r="P230" i="7"/>
  <c r="I283" i="7"/>
  <c r="I151" i="7"/>
  <c r="I188" i="7"/>
  <c r="K207" i="7"/>
  <c r="P207" i="7"/>
  <c r="K51" i="7"/>
  <c r="P51" i="7"/>
  <c r="K61" i="7"/>
  <c r="P61" i="7"/>
  <c r="K100" i="7"/>
  <c r="P100" i="7"/>
  <c r="I138" i="7"/>
  <c r="I238" i="7"/>
  <c r="I268" i="7"/>
  <c r="K300" i="7"/>
  <c r="P300" i="7"/>
  <c r="P170" i="7"/>
  <c r="K170" i="7"/>
  <c r="K245" i="7"/>
  <c r="P245" i="7"/>
  <c r="I113" i="7"/>
  <c r="I200" i="7"/>
  <c r="I44" i="7"/>
  <c r="I89" i="7"/>
  <c r="I163" i="7"/>
  <c r="K179" i="7"/>
  <c r="P179" i="7"/>
  <c r="I82" i="7"/>
  <c r="I124" i="7"/>
  <c r="I296" i="7"/>
  <c r="P304" i="7"/>
  <c r="K304" i="7"/>
  <c r="K71" i="7"/>
  <c r="P71" i="7"/>
  <c r="K254" i="7"/>
  <c r="P254" i="7"/>
  <c r="CC348" i="1"/>
  <c r="AT354" i="1"/>
  <c r="BC242" i="1"/>
  <c r="F264" i="1"/>
  <c r="AG354" i="1"/>
  <c r="AI354" i="1"/>
  <c r="AL354" i="1"/>
  <c r="AH354" i="1"/>
  <c r="AD354" i="1"/>
  <c r="CP350" i="1"/>
  <c r="O350" i="1" s="1"/>
  <c r="CI354" i="1"/>
  <c r="AF354" i="1"/>
  <c r="CY351" i="1"/>
  <c r="X351" i="1" s="1"/>
  <c r="AK354" i="1" s="1"/>
  <c r="CZ351" i="1"/>
  <c r="Y351" i="1" s="1"/>
  <c r="AJ354" i="1"/>
  <c r="CG354" i="1"/>
  <c r="BZ348" i="1"/>
  <c r="AQ354" i="1"/>
  <c r="CJ354" i="1"/>
  <c r="AE354" i="1"/>
  <c r="GK350" i="1"/>
  <c r="AO280" i="1"/>
  <c r="F290" i="1"/>
  <c r="BX280" i="1"/>
  <c r="CY352" i="1"/>
  <c r="X352" i="1" s="1"/>
  <c r="CQ352" i="1"/>
  <c r="P352" i="1" s="1"/>
  <c r="CP352" i="1" s="1"/>
  <c r="O352" i="1" s="1"/>
  <c r="GM352" i="1" s="1"/>
  <c r="GP352" i="1" s="1"/>
  <c r="F303" i="1"/>
  <c r="AS280" i="1"/>
  <c r="AE286" i="1"/>
  <c r="CZ283" i="1"/>
  <c r="Y283" i="1" s="1"/>
  <c r="CJ286" i="1"/>
  <c r="AI286" i="1"/>
  <c r="T244" i="1"/>
  <c r="BB210" i="1"/>
  <c r="R208" i="1"/>
  <c r="GK208" i="1" s="1"/>
  <c r="CP206" i="1"/>
  <c r="O206" i="1" s="1"/>
  <c r="BY348" i="1"/>
  <c r="CI286" i="1"/>
  <c r="BY280" i="1"/>
  <c r="AG286" i="1"/>
  <c r="GK244" i="1"/>
  <c r="CY208" i="1"/>
  <c r="X208" i="1" s="1"/>
  <c r="CZ208" i="1"/>
  <c r="Y208" i="1" s="1"/>
  <c r="AT194" i="1"/>
  <c r="F228" i="1"/>
  <c r="CY207" i="1"/>
  <c r="X207" i="1" s="1"/>
  <c r="CZ207" i="1"/>
  <c r="Y207" i="1" s="1"/>
  <c r="BY194" i="1"/>
  <c r="AP210" i="1"/>
  <c r="CI210" i="1"/>
  <c r="CY282" i="1"/>
  <c r="X282" i="1" s="1"/>
  <c r="AK286" i="1" s="1"/>
  <c r="CZ282" i="1"/>
  <c r="Y282" i="1" s="1"/>
  <c r="AL286" i="1" s="1"/>
  <c r="BD354" i="1"/>
  <c r="CX113" i="3"/>
  <c r="CW114" i="3"/>
  <c r="CX114" i="3"/>
  <c r="BD280" i="1"/>
  <c r="F311" i="1"/>
  <c r="AD286" i="1"/>
  <c r="GX246" i="1"/>
  <c r="AT242" i="1"/>
  <c r="F266" i="1"/>
  <c r="W244" i="1"/>
  <c r="CL242" i="1"/>
  <c r="AS210" i="1"/>
  <c r="AP354" i="1"/>
  <c r="BC354" i="1"/>
  <c r="CQ351" i="1"/>
  <c r="P351" i="1" s="1"/>
  <c r="CP351" i="1" s="1"/>
  <c r="O351" i="1" s="1"/>
  <c r="GM351" i="1" s="1"/>
  <c r="GP351" i="1" s="1"/>
  <c r="BC280" i="1"/>
  <c r="F302" i="1"/>
  <c r="AT286" i="1"/>
  <c r="CC280" i="1"/>
  <c r="AB283" i="1"/>
  <c r="BZ280" i="1"/>
  <c r="AQ286" i="1"/>
  <c r="BD248" i="1"/>
  <c r="CQ245" i="1"/>
  <c r="AH210" i="1"/>
  <c r="BB354" i="1"/>
  <c r="BB280" i="1"/>
  <c r="F299" i="1"/>
  <c r="AP286" i="1"/>
  <c r="AJ286" i="1"/>
  <c r="AS248" i="1"/>
  <c r="CB242" i="1"/>
  <c r="W246" i="1"/>
  <c r="AP248" i="1"/>
  <c r="BY242" i="1"/>
  <c r="CI248" i="1"/>
  <c r="CU105" i="3"/>
  <c r="I245" i="1"/>
  <c r="S245" i="1" s="1"/>
  <c r="I246" i="1"/>
  <c r="Q246" i="1" s="1"/>
  <c r="U208" i="1"/>
  <c r="CP207" i="1"/>
  <c r="O207" i="1" s="1"/>
  <c r="AI153" i="1"/>
  <c r="V162" i="1"/>
  <c r="AO354" i="1"/>
  <c r="AS354" i="1"/>
  <c r="CG286" i="1"/>
  <c r="AB284" i="1"/>
  <c r="AH286" i="1"/>
  <c r="BB242" i="1"/>
  <c r="F261" i="1"/>
  <c r="CY206" i="1"/>
  <c r="X206" i="1" s="1"/>
  <c r="CZ206" i="1"/>
  <c r="Y206" i="1" s="1"/>
  <c r="CY204" i="1"/>
  <c r="X204" i="1" s="1"/>
  <c r="CZ204" i="1"/>
  <c r="Y204" i="1" s="1"/>
  <c r="BZ194" i="1"/>
  <c r="AQ210" i="1"/>
  <c r="AQ242" i="1"/>
  <c r="F258" i="1"/>
  <c r="AF286" i="1"/>
  <c r="S244" i="1"/>
  <c r="GX208" i="1"/>
  <c r="CJ210" i="1" s="1"/>
  <c r="V208" i="1"/>
  <c r="AO248" i="1"/>
  <c r="BC210" i="1"/>
  <c r="CS202" i="1"/>
  <c r="R202" i="1" s="1"/>
  <c r="GK202" i="1" s="1"/>
  <c r="CP202" i="1"/>
  <c r="O202" i="1" s="1"/>
  <c r="AB197" i="1"/>
  <c r="S196" i="1"/>
  <c r="CP160" i="1"/>
  <c r="O160" i="1" s="1"/>
  <c r="BZ162" i="1"/>
  <c r="CX59" i="3"/>
  <c r="CU57" i="3"/>
  <c r="CX58" i="3"/>
  <c r="T155" i="1"/>
  <c r="U155" i="1"/>
  <c r="AH162" i="1" s="1"/>
  <c r="CY205" i="1"/>
  <c r="X205" i="1" s="1"/>
  <c r="CZ205" i="1"/>
  <c r="Y205" i="1" s="1"/>
  <c r="BB153" i="1"/>
  <c r="F175" i="1"/>
  <c r="CY158" i="1"/>
  <c r="X158" i="1" s="1"/>
  <c r="CZ158" i="1"/>
  <c r="Y158" i="1" s="1"/>
  <c r="CI117" i="1"/>
  <c r="AZ121" i="1"/>
  <c r="O85" i="1"/>
  <c r="AB80" i="1"/>
  <c r="CP203" i="1"/>
  <c r="O203" i="1" s="1"/>
  <c r="CS198" i="1"/>
  <c r="R198" i="1" s="1"/>
  <c r="GK198" i="1" s="1"/>
  <c r="CS196" i="1"/>
  <c r="R196" i="1" s="1"/>
  <c r="CY160" i="1"/>
  <c r="X160" i="1" s="1"/>
  <c r="CZ160" i="1"/>
  <c r="Y160" i="1" s="1"/>
  <c r="AB158" i="1"/>
  <c r="U121" i="1"/>
  <c r="AH117" i="1"/>
  <c r="CQ283" i="1"/>
  <c r="P283" i="1" s="1"/>
  <c r="CP283" i="1" s="1"/>
  <c r="O283" i="1" s="1"/>
  <c r="GM283" i="1" s="1"/>
  <c r="GP283" i="1" s="1"/>
  <c r="CL280" i="1"/>
  <c r="CP205" i="1"/>
  <c r="O205" i="1" s="1"/>
  <c r="CR198" i="1"/>
  <c r="Q198" i="1" s="1"/>
  <c r="CP198" i="1" s="1"/>
  <c r="O198" i="1" s="1"/>
  <c r="GM198" i="1" s="1"/>
  <c r="GP198" i="1" s="1"/>
  <c r="CR196" i="1"/>
  <c r="Q196" i="1" s="1"/>
  <c r="AD210" i="1" s="1"/>
  <c r="V196" i="1"/>
  <c r="AI210" i="1" s="1"/>
  <c r="AT162" i="1"/>
  <c r="CY159" i="1"/>
  <c r="X159" i="1" s="1"/>
  <c r="CZ159" i="1"/>
  <c r="Y159" i="1" s="1"/>
  <c r="Q158" i="1"/>
  <c r="W158" i="1"/>
  <c r="CU108" i="3"/>
  <c r="CX108" i="3"/>
  <c r="CK280" i="1"/>
  <c r="CY203" i="1"/>
  <c r="X203" i="1" s="1"/>
  <c r="CZ203" i="1"/>
  <c r="Y203" i="1" s="1"/>
  <c r="CP201" i="1"/>
  <c r="O201" i="1" s="1"/>
  <c r="CQ199" i="1"/>
  <c r="P199" i="1" s="1"/>
  <c r="CP199" i="1" s="1"/>
  <c r="O199" i="1" s="1"/>
  <c r="GM199" i="1" s="1"/>
  <c r="GP199" i="1" s="1"/>
  <c r="CP197" i="1"/>
  <c r="O197" i="1" s="1"/>
  <c r="W196" i="1"/>
  <c r="AJ210" i="1" s="1"/>
  <c r="AS162" i="1"/>
  <c r="BY162" i="1"/>
  <c r="CP157" i="1"/>
  <c r="O157" i="1" s="1"/>
  <c r="CY156" i="1"/>
  <c r="X156" i="1" s="1"/>
  <c r="CZ156" i="1"/>
  <c r="Y156" i="1" s="1"/>
  <c r="GX155" i="1"/>
  <c r="CJ162" i="1" s="1"/>
  <c r="CY119" i="1"/>
  <c r="X119" i="1" s="1"/>
  <c r="AK121" i="1" s="1"/>
  <c r="AF121" i="1"/>
  <c r="CZ119" i="1"/>
  <c r="Y119" i="1" s="1"/>
  <c r="AL121" i="1" s="1"/>
  <c r="CQ282" i="1"/>
  <c r="P282" i="1" s="1"/>
  <c r="CB280" i="1"/>
  <c r="CS246" i="1"/>
  <c r="R246" i="1" s="1"/>
  <c r="GK246" i="1" s="1"/>
  <c r="BZ242" i="1"/>
  <c r="CG210" i="1"/>
  <c r="CQ208" i="1"/>
  <c r="P208" i="1" s="1"/>
  <c r="CP208" i="1" s="1"/>
  <c r="O208" i="1" s="1"/>
  <c r="GM208" i="1" s="1"/>
  <c r="GP208" i="1" s="1"/>
  <c r="CS207" i="1"/>
  <c r="R207" i="1" s="1"/>
  <c r="GK207" i="1" s="1"/>
  <c r="AB206" i="1"/>
  <c r="CZ202" i="1"/>
  <c r="Y202" i="1" s="1"/>
  <c r="AD162" i="1"/>
  <c r="CC80" i="1"/>
  <c r="AT85" i="1"/>
  <c r="Q85" i="1"/>
  <c r="AD80" i="1"/>
  <c r="CG242" i="1"/>
  <c r="AO210" i="1"/>
  <c r="CX102" i="3"/>
  <c r="CU100" i="3"/>
  <c r="CX101" i="3"/>
  <c r="CX103" i="3"/>
  <c r="CX104" i="3"/>
  <c r="CX100" i="3"/>
  <c r="CX99" i="3"/>
  <c r="CU99" i="3"/>
  <c r="CV99" i="3"/>
  <c r="CY201" i="1"/>
  <c r="X201" i="1" s="1"/>
  <c r="CZ201" i="1"/>
  <c r="Y201" i="1" s="1"/>
  <c r="CY197" i="1"/>
  <c r="X197" i="1" s="1"/>
  <c r="CZ197" i="1"/>
  <c r="Y197" i="1" s="1"/>
  <c r="CX72" i="3"/>
  <c r="CU71" i="3"/>
  <c r="CP159" i="1"/>
  <c r="O159" i="1" s="1"/>
  <c r="GM159" i="1" s="1"/>
  <c r="GP159" i="1" s="1"/>
  <c r="V121" i="1"/>
  <c r="AI117" i="1"/>
  <c r="CJ117" i="1"/>
  <c r="BA121" i="1"/>
  <c r="AE121" i="1"/>
  <c r="GK119" i="1"/>
  <c r="AO80" i="1"/>
  <c r="F89" i="1"/>
  <c r="AS85" i="1"/>
  <c r="CB80" i="1"/>
  <c r="CF85" i="1"/>
  <c r="CH85" i="1"/>
  <c r="P85" i="1"/>
  <c r="AC80" i="1"/>
  <c r="CE85" i="1"/>
  <c r="BD210" i="1"/>
  <c r="AB202" i="1"/>
  <c r="CY200" i="1"/>
  <c r="X200" i="1" s="1"/>
  <c r="CZ200" i="1"/>
  <c r="Y200" i="1" s="1"/>
  <c r="T196" i="1"/>
  <c r="AG210" i="1" s="1"/>
  <c r="T158" i="1"/>
  <c r="CY157" i="1"/>
  <c r="X157" i="1" s="1"/>
  <c r="CZ157" i="1"/>
  <c r="Y157" i="1" s="1"/>
  <c r="F101" i="1"/>
  <c r="BC80" i="1"/>
  <c r="AB203" i="1"/>
  <c r="BC162" i="1"/>
  <c r="CV63" i="3"/>
  <c r="CX65" i="3"/>
  <c r="CU63" i="3"/>
  <c r="CX63" i="3"/>
  <c r="R155" i="1"/>
  <c r="AS121" i="1"/>
  <c r="AP80" i="1"/>
  <c r="F94" i="1"/>
  <c r="BC30" i="1"/>
  <c r="F64" i="1"/>
  <c r="W155" i="1"/>
  <c r="AJ162" i="1" s="1"/>
  <c r="BZ117" i="1"/>
  <c r="AQ121" i="1"/>
  <c r="W121" i="1"/>
  <c r="AJ117" i="1"/>
  <c r="BB85" i="1"/>
  <c r="AB82" i="1"/>
  <c r="CI30" i="1"/>
  <c r="AZ48" i="1"/>
  <c r="CQ204" i="1"/>
  <c r="P204" i="1" s="1"/>
  <c r="CP204" i="1" s="1"/>
  <c r="O204" i="1" s="1"/>
  <c r="GM204" i="1" s="1"/>
  <c r="GP204" i="1" s="1"/>
  <c r="CS203" i="1"/>
  <c r="R203" i="1" s="1"/>
  <c r="GK203" i="1" s="1"/>
  <c r="CS197" i="1"/>
  <c r="R197" i="1" s="1"/>
  <c r="GK197" i="1" s="1"/>
  <c r="CQ158" i="1"/>
  <c r="P158" i="1" s="1"/>
  <c r="CP158" i="1" s="1"/>
  <c r="O158" i="1" s="1"/>
  <c r="GM158" i="1" s="1"/>
  <c r="GP158" i="1" s="1"/>
  <c r="CQ156" i="1"/>
  <c r="P156" i="1" s="1"/>
  <c r="CP156" i="1" s="1"/>
  <c r="O156" i="1" s="1"/>
  <c r="GM156" i="1" s="1"/>
  <c r="GP156" i="1" s="1"/>
  <c r="AD156" i="1"/>
  <c r="AB156" i="1" s="1"/>
  <c r="CZ82" i="1"/>
  <c r="Y82" i="1" s="1"/>
  <c r="AF85" i="1"/>
  <c r="CY82" i="1"/>
  <c r="X82" i="1" s="1"/>
  <c r="CU92" i="3"/>
  <c r="CX93" i="3"/>
  <c r="CX94" i="3"/>
  <c r="CV73" i="3"/>
  <c r="CX73" i="3"/>
  <c r="CX75" i="3"/>
  <c r="CU73" i="3"/>
  <c r="F146" i="1"/>
  <c r="BD117" i="1"/>
  <c r="AO117" i="1"/>
  <c r="F125" i="1"/>
  <c r="BY117" i="1"/>
  <c r="AP121" i="1"/>
  <c r="CG85" i="1"/>
  <c r="AQ85" i="1"/>
  <c r="BZ80" i="1"/>
  <c r="AH85" i="1"/>
  <c r="AE85" i="1"/>
  <c r="GK82" i="1"/>
  <c r="CX98" i="3"/>
  <c r="CU97" i="3"/>
  <c r="CV97" i="3"/>
  <c r="CX97" i="3"/>
  <c r="AO162" i="1"/>
  <c r="CU67" i="3"/>
  <c r="CX69" i="3"/>
  <c r="CX67" i="3"/>
  <c r="F137" i="1"/>
  <c r="BC117" i="1"/>
  <c r="T121" i="1"/>
  <c r="AG117" i="1"/>
  <c r="V85" i="1"/>
  <c r="AI80" i="1"/>
  <c r="AG80" i="1"/>
  <c r="T85" i="1"/>
  <c r="BD162" i="1"/>
  <c r="S155" i="1"/>
  <c r="Q117" i="1"/>
  <c r="F133" i="1"/>
  <c r="W85" i="1"/>
  <c r="AJ80" i="1"/>
  <c r="CY83" i="1"/>
  <c r="X83" i="1" s="1"/>
  <c r="GM83" i="1" s="1"/>
  <c r="GP83" i="1" s="1"/>
  <c r="CZ83" i="1"/>
  <c r="Y83" i="1" s="1"/>
  <c r="CJ85" i="1"/>
  <c r="BB121" i="1"/>
  <c r="AT121" i="1"/>
  <c r="BX117" i="1"/>
  <c r="BD85" i="1"/>
  <c r="F61" i="1"/>
  <c r="V42" i="1"/>
  <c r="CY41" i="1"/>
  <c r="X41" i="1" s="1"/>
  <c r="CZ41" i="1"/>
  <c r="Y41" i="1" s="1"/>
  <c r="V38" i="1"/>
  <c r="CY37" i="1"/>
  <c r="X37" i="1" s="1"/>
  <c r="CZ37" i="1"/>
  <c r="Y37" i="1" s="1"/>
  <c r="AB35" i="1"/>
  <c r="CS42" i="1"/>
  <c r="R42" i="1" s="1"/>
  <c r="GK42" i="1" s="1"/>
  <c r="AD42" i="1"/>
  <c r="AB42" i="1" s="1"/>
  <c r="BY30" i="1"/>
  <c r="AP48" i="1"/>
  <c r="AX48" i="1"/>
  <c r="CG30" i="1"/>
  <c r="CY46" i="1"/>
  <c r="X46" i="1" s="1"/>
  <c r="CZ46" i="1"/>
  <c r="Y46" i="1" s="1"/>
  <c r="CY44" i="1"/>
  <c r="X44" i="1" s="1"/>
  <c r="CZ44" i="1"/>
  <c r="Y44" i="1" s="1"/>
  <c r="W38" i="1"/>
  <c r="U38" i="1"/>
  <c r="CU50" i="3"/>
  <c r="CX55" i="3"/>
  <c r="CX51" i="3"/>
  <c r="CX52" i="3"/>
  <c r="CX53" i="3"/>
  <c r="BY80" i="1"/>
  <c r="F66" i="1"/>
  <c r="AB46" i="1"/>
  <c r="R44" i="1"/>
  <c r="GK44" i="1" s="1"/>
  <c r="CR42" i="1"/>
  <c r="Q42" i="1" s="1"/>
  <c r="CY33" i="1"/>
  <c r="X33" i="1" s="1"/>
  <c r="CZ33" i="1"/>
  <c r="Y33" i="1" s="1"/>
  <c r="CW116" i="3"/>
  <c r="CU60" i="3"/>
  <c r="CV60" i="3"/>
  <c r="CX61" i="3"/>
  <c r="CG121" i="1"/>
  <c r="CQ119" i="1"/>
  <c r="P119" i="1" s="1"/>
  <c r="CI85" i="1"/>
  <c r="CS83" i="1"/>
  <c r="R83" i="1" s="1"/>
  <c r="GK83" i="1" s="1"/>
  <c r="BX80" i="1"/>
  <c r="BD48" i="1"/>
  <c r="CM30" i="1"/>
  <c r="CP46" i="1"/>
  <c r="O46" i="1" s="1"/>
  <c r="Q44" i="1"/>
  <c r="CP44" i="1" s="1"/>
  <c r="O44" i="1" s="1"/>
  <c r="GM44" i="1" s="1"/>
  <c r="GP44" i="1" s="1"/>
  <c r="CP43" i="1"/>
  <c r="O43" i="1" s="1"/>
  <c r="S38" i="1"/>
  <c r="CY34" i="1"/>
  <c r="X34" i="1" s="1"/>
  <c r="CZ34" i="1"/>
  <c r="Y34" i="1" s="1"/>
  <c r="CV100" i="3"/>
  <c r="AB44" i="1"/>
  <c r="CW21" i="3"/>
  <c r="CU20" i="3"/>
  <c r="CX21" i="3"/>
  <c r="CX27" i="3"/>
  <c r="CV20" i="3"/>
  <c r="CX24" i="3"/>
  <c r="CX20" i="3"/>
  <c r="CX23" i="3"/>
  <c r="CX25" i="3"/>
  <c r="S42" i="1"/>
  <c r="CY40" i="1"/>
  <c r="X40" i="1" s="1"/>
  <c r="CZ40" i="1"/>
  <c r="Y40" i="1" s="1"/>
  <c r="R38" i="1"/>
  <c r="GK38" i="1" s="1"/>
  <c r="BZ30" i="1"/>
  <c r="AQ48" i="1"/>
  <c r="CP37" i="1"/>
  <c r="O37" i="1" s="1"/>
  <c r="GM37" i="1" s="1"/>
  <c r="GP37" i="1" s="1"/>
  <c r="AB34" i="1"/>
  <c r="AS48" i="1"/>
  <c r="V44" i="1"/>
  <c r="AB40" i="1"/>
  <c r="Q38" i="1"/>
  <c r="CP33" i="1"/>
  <c r="O33" i="1" s="1"/>
  <c r="CP32" i="1"/>
  <c r="O32" i="1" s="1"/>
  <c r="CX106" i="3"/>
  <c r="CX49" i="3"/>
  <c r="CU42" i="3"/>
  <c r="CX46" i="3"/>
  <c r="CV42" i="3"/>
  <c r="CX47" i="3"/>
  <c r="CX43" i="3"/>
  <c r="CX45" i="3"/>
  <c r="CY43" i="1"/>
  <c r="X43" i="1" s="1"/>
  <c r="CZ43" i="1"/>
  <c r="Y43" i="1" s="1"/>
  <c r="W42" i="1"/>
  <c r="T42" i="1"/>
  <c r="GM41" i="1"/>
  <c r="GP41" i="1" s="1"/>
  <c r="CP40" i="1"/>
  <c r="O40" i="1" s="1"/>
  <c r="GM40" i="1" s="1"/>
  <c r="GP40" i="1" s="1"/>
  <c r="P38" i="1"/>
  <c r="AB38" i="1"/>
  <c r="CY35" i="1"/>
  <c r="X35" i="1" s="1"/>
  <c r="GM35" i="1" s="1"/>
  <c r="GP35" i="1" s="1"/>
  <c r="CZ35" i="1"/>
  <c r="Y35" i="1" s="1"/>
  <c r="CX107" i="3"/>
  <c r="BX30" i="1"/>
  <c r="CV92" i="3"/>
  <c r="CX92" i="3"/>
  <c r="DI86" i="3"/>
  <c r="DH86" i="3"/>
  <c r="CX57" i="3"/>
  <c r="CS46" i="1"/>
  <c r="R46" i="1" s="1"/>
  <c r="GK46" i="1" s="1"/>
  <c r="CQ42" i="1"/>
  <c r="P42" i="1" s="1"/>
  <c r="CP42" i="1" s="1"/>
  <c r="O42" i="1" s="1"/>
  <c r="CS40" i="1"/>
  <c r="R40" i="1" s="1"/>
  <c r="GK40" i="1" s="1"/>
  <c r="CQ36" i="1"/>
  <c r="P36" i="1" s="1"/>
  <c r="CP36" i="1" s="1"/>
  <c r="O36" i="1" s="1"/>
  <c r="GM36" i="1" s="1"/>
  <c r="GP36" i="1" s="1"/>
  <c r="AD36" i="1"/>
  <c r="AB36" i="1" s="1"/>
  <c r="CS35" i="1"/>
  <c r="R35" i="1" s="1"/>
  <c r="GK35" i="1" s="1"/>
  <c r="CU3" i="3"/>
  <c r="CV3" i="3"/>
  <c r="CX3" i="3"/>
  <c r="AB32" i="1"/>
  <c r="CX110" i="3"/>
  <c r="CV105" i="3"/>
  <c r="CX105" i="3"/>
  <c r="DF91" i="3"/>
  <c r="DJ91" i="3" s="1"/>
  <c r="DG91" i="3"/>
  <c r="DH91" i="3"/>
  <c r="CX35" i="3"/>
  <c r="CV34" i="3"/>
  <c r="CX34" i="3"/>
  <c r="CW37" i="3"/>
  <c r="CX37" i="3"/>
  <c r="CX39" i="3"/>
  <c r="CU34" i="3"/>
  <c r="CX40" i="3"/>
  <c r="CX36" i="3"/>
  <c r="CX41" i="3"/>
  <c r="CW15" i="3"/>
  <c r="CX15" i="3"/>
  <c r="CW14" i="3"/>
  <c r="CX14" i="3"/>
  <c r="CX17" i="3"/>
  <c r="CW13" i="3"/>
  <c r="CU12" i="3"/>
  <c r="CX13" i="3"/>
  <c r="CV12" i="3"/>
  <c r="CX109" i="3"/>
  <c r="CX96" i="3"/>
  <c r="DG86" i="3"/>
  <c r="CX68" i="3"/>
  <c r="CU28" i="3"/>
  <c r="CX29" i="3"/>
  <c r="CX33" i="3"/>
  <c r="CX30" i="3"/>
  <c r="CV28" i="3"/>
  <c r="CW29" i="3"/>
  <c r="CX32" i="3"/>
  <c r="CX11" i="3"/>
  <c r="CX10" i="3"/>
  <c r="CU9" i="3"/>
  <c r="CV9" i="3"/>
  <c r="CX9" i="3"/>
  <c r="CX95" i="3"/>
  <c r="DF86" i="3"/>
  <c r="DJ86" i="3" s="1"/>
  <c r="DH83" i="3"/>
  <c r="DF83" i="3"/>
  <c r="DJ83" i="3" s="1"/>
  <c r="DG83" i="3"/>
  <c r="CX7" i="3"/>
  <c r="CX6" i="3"/>
  <c r="CU5" i="3"/>
  <c r="CW113" i="3"/>
  <c r="CV108" i="3"/>
  <c r="DI90" i="3"/>
  <c r="DH89" i="3"/>
  <c r="DI89" i="3"/>
  <c r="DG88" i="3"/>
  <c r="DF88" i="3"/>
  <c r="DJ88" i="3" s="1"/>
  <c r="DH84" i="3"/>
  <c r="CU18" i="3"/>
  <c r="CV18" i="3"/>
  <c r="CX18" i="3"/>
  <c r="CQ34" i="1"/>
  <c r="P34" i="1" s="1"/>
  <c r="CP34" i="1" s="1"/>
  <c r="O34" i="1" s="1"/>
  <c r="GM34" i="1" s="1"/>
  <c r="GP34" i="1" s="1"/>
  <c r="CS32" i="1"/>
  <c r="R32" i="1" s="1"/>
  <c r="CW112" i="3"/>
  <c r="DG90" i="3"/>
  <c r="DG89" i="3"/>
  <c r="DF84" i="3"/>
  <c r="DJ84" i="3" s="1"/>
  <c r="DI83" i="3"/>
  <c r="CX71" i="3"/>
  <c r="I45" i="1"/>
  <c r="T45" i="1" s="1"/>
  <c r="I39" i="1"/>
  <c r="GX39" i="1" s="1"/>
  <c r="CZ32" i="1"/>
  <c r="Y32" i="1" s="1"/>
  <c r="CW2" i="3"/>
  <c r="CU1" i="3"/>
  <c r="CX2" i="3"/>
  <c r="CV1" i="3"/>
  <c r="CX116" i="3"/>
  <c r="DH112" i="3"/>
  <c r="DI112" i="3"/>
  <c r="DF90" i="3"/>
  <c r="DJ90" i="3" s="1"/>
  <c r="DF81" i="3"/>
  <c r="DJ81" i="3" s="1"/>
  <c r="DG81" i="3"/>
  <c r="DI81" i="3"/>
  <c r="CX115" i="3"/>
  <c r="DF112" i="3"/>
  <c r="CX111" i="3"/>
  <c r="DH88" i="3"/>
  <c r="DI78" i="3"/>
  <c r="DF78" i="3"/>
  <c r="DG78" i="3"/>
  <c r="DJ78" i="3" s="1"/>
  <c r="DH78" i="3"/>
  <c r="CV71" i="3"/>
  <c r="CV67" i="3"/>
  <c r="CX50" i="3"/>
  <c r="CX5" i="3"/>
  <c r="CX77" i="3"/>
  <c r="CX64" i="3"/>
  <c r="CX54" i="3"/>
  <c r="CW36" i="3"/>
  <c r="CX12" i="3"/>
  <c r="DI79" i="3"/>
  <c r="CX66" i="3"/>
  <c r="CX44" i="3"/>
  <c r="CW35" i="3"/>
  <c r="CX31" i="3"/>
  <c r="CX19" i="3"/>
  <c r="CX8" i="3"/>
  <c r="CX1" i="3"/>
  <c r="CX74" i="3"/>
  <c r="CX70" i="3"/>
  <c r="CX60" i="3"/>
  <c r="CV57" i="3"/>
  <c r="CX48" i="3"/>
  <c r="DH85" i="3"/>
  <c r="DF85" i="3"/>
  <c r="DJ85" i="3" s="1"/>
  <c r="CX76" i="3"/>
  <c r="CX56" i="3"/>
  <c r="CX38" i="3"/>
  <c r="CX28" i="3"/>
  <c r="CX26" i="3"/>
  <c r="DI80" i="3"/>
  <c r="DG80" i="3"/>
  <c r="CX62" i="3"/>
  <c r="CX16" i="3"/>
  <c r="DI87" i="3"/>
  <c r="DH80" i="3"/>
  <c r="CV50" i="3"/>
  <c r="CX42" i="3"/>
  <c r="CW23" i="3"/>
  <c r="CW22" i="3"/>
  <c r="CX22" i="3"/>
  <c r="CX4" i="3"/>
  <c r="CV5" i="3"/>
  <c r="E99" i="9" l="1"/>
  <c r="E36" i="9"/>
  <c r="E20" i="9"/>
  <c r="E83" i="9"/>
  <c r="E46" i="9"/>
  <c r="K82" i="7"/>
  <c r="P82" i="7"/>
  <c r="P188" i="7"/>
  <c r="K188" i="7"/>
  <c r="K163" i="7"/>
  <c r="P163" i="7"/>
  <c r="I190" i="7" s="1"/>
  <c r="P138" i="7"/>
  <c r="I140" i="7" s="1"/>
  <c r="K138" i="7"/>
  <c r="K151" i="7"/>
  <c r="P151" i="7"/>
  <c r="I153" i="7" s="1"/>
  <c r="K89" i="7"/>
  <c r="P89" i="7"/>
  <c r="K44" i="7"/>
  <c r="P44" i="7"/>
  <c r="K283" i="7"/>
  <c r="P283" i="7"/>
  <c r="I285" i="7" s="1"/>
  <c r="K296" i="7"/>
  <c r="P296" i="7"/>
  <c r="I306" i="7" s="1"/>
  <c r="K200" i="7"/>
  <c r="P200" i="7"/>
  <c r="I256" i="7" s="1"/>
  <c r="K268" i="7"/>
  <c r="P268" i="7"/>
  <c r="I270" i="7" s="1"/>
  <c r="K124" i="7"/>
  <c r="P124" i="7"/>
  <c r="K113" i="7"/>
  <c r="P113" i="7"/>
  <c r="P238" i="7"/>
  <c r="K238" i="7"/>
  <c r="X354" i="1"/>
  <c r="AK348" i="1"/>
  <c r="DH48" i="3"/>
  <c r="DF48" i="3"/>
  <c r="DJ48" i="3" s="1"/>
  <c r="DG48" i="3"/>
  <c r="DI48" i="3"/>
  <c r="DF31" i="3"/>
  <c r="DJ31" i="3" s="1"/>
  <c r="DH31" i="3"/>
  <c r="DI31" i="3"/>
  <c r="DG31" i="3"/>
  <c r="DH64" i="3"/>
  <c r="DF64" i="3"/>
  <c r="DJ64" i="3" s="1"/>
  <c r="DG64" i="3"/>
  <c r="DI64" i="3"/>
  <c r="DF6" i="3"/>
  <c r="DJ6" i="3" s="1"/>
  <c r="DG6" i="3"/>
  <c r="DH6" i="3"/>
  <c r="DI6" i="3"/>
  <c r="DF33" i="3"/>
  <c r="DJ33" i="3" s="1"/>
  <c r="DG33" i="3"/>
  <c r="DH33" i="3"/>
  <c r="DI33" i="3"/>
  <c r="DF13" i="3"/>
  <c r="DG13" i="3"/>
  <c r="DJ13" i="3" s="1"/>
  <c r="DH13" i="3"/>
  <c r="DI13" i="3"/>
  <c r="DG41" i="3"/>
  <c r="DI41" i="3"/>
  <c r="DF41" i="3"/>
  <c r="DJ41" i="3" s="1"/>
  <c r="DH41" i="3"/>
  <c r="DF107" i="3"/>
  <c r="DJ107" i="3" s="1"/>
  <c r="DI107" i="3"/>
  <c r="DH107" i="3"/>
  <c r="DG107" i="3"/>
  <c r="CY42" i="1"/>
  <c r="X42" i="1" s="1"/>
  <c r="GM42" i="1" s="1"/>
  <c r="GP42" i="1" s="1"/>
  <c r="CZ42" i="1"/>
  <c r="Y42" i="1" s="1"/>
  <c r="CY38" i="1"/>
  <c r="X38" i="1" s="1"/>
  <c r="CZ38" i="1"/>
  <c r="Y38" i="1" s="1"/>
  <c r="U45" i="1"/>
  <c r="DG55" i="3"/>
  <c r="DH55" i="3"/>
  <c r="DF55" i="3"/>
  <c r="DJ55" i="3" s="1"/>
  <c r="DI55" i="3"/>
  <c r="V45" i="1"/>
  <c r="T80" i="1"/>
  <c r="F106" i="1"/>
  <c r="DI67" i="3"/>
  <c r="DJ67" i="3" s="1"/>
  <c r="DG67" i="3"/>
  <c r="DH67" i="3"/>
  <c r="DF67" i="3"/>
  <c r="DF94" i="3"/>
  <c r="DJ94" i="3" s="1"/>
  <c r="DG94" i="3"/>
  <c r="DH94" i="3"/>
  <c r="DI94" i="3"/>
  <c r="DG65" i="3"/>
  <c r="DH65" i="3"/>
  <c r="DI65" i="3"/>
  <c r="DF65" i="3"/>
  <c r="DJ65" i="3" s="1"/>
  <c r="F88" i="1"/>
  <c r="P80" i="1"/>
  <c r="AO194" i="1"/>
  <c r="F214" i="1"/>
  <c r="AL117" i="1"/>
  <c r="Y121" i="1"/>
  <c r="BY153" i="1"/>
  <c r="AP162" i="1"/>
  <c r="CI162" i="1"/>
  <c r="AI194" i="1"/>
  <c r="V210" i="1"/>
  <c r="BZ153" i="1"/>
  <c r="CG162" i="1"/>
  <c r="AQ162" i="1"/>
  <c r="AS242" i="1"/>
  <c r="F265" i="1"/>
  <c r="P246" i="1"/>
  <c r="CI194" i="1"/>
  <c r="AZ210" i="1"/>
  <c r="W245" i="1"/>
  <c r="AE348" i="1"/>
  <c r="R354" i="1"/>
  <c r="AH348" i="1"/>
  <c r="U354" i="1"/>
  <c r="DI77" i="3"/>
  <c r="DJ77" i="3" s="1"/>
  <c r="DG77" i="3"/>
  <c r="DF77" i="3"/>
  <c r="DH77" i="3"/>
  <c r="DF3" i="3"/>
  <c r="DG3" i="3"/>
  <c r="DH3" i="3"/>
  <c r="DI3" i="3"/>
  <c r="DJ3" i="3" s="1"/>
  <c r="DF46" i="3"/>
  <c r="DJ46" i="3" s="1"/>
  <c r="DG46" i="3"/>
  <c r="DH46" i="3"/>
  <c r="DI46" i="3"/>
  <c r="U39" i="1"/>
  <c r="AH48" i="1" s="1"/>
  <c r="DG25" i="3"/>
  <c r="DI25" i="3"/>
  <c r="DH25" i="3"/>
  <c r="DF25" i="3"/>
  <c r="DJ25" i="3" s="1"/>
  <c r="GM43" i="1"/>
  <c r="GP43" i="1" s="1"/>
  <c r="AZ85" i="1"/>
  <c r="CI80" i="1"/>
  <c r="GX45" i="1"/>
  <c r="CJ48" i="1" s="1"/>
  <c r="W45" i="1"/>
  <c r="DG69" i="3"/>
  <c r="DI69" i="3"/>
  <c r="DF69" i="3"/>
  <c r="DJ69" i="3" s="1"/>
  <c r="DH69" i="3"/>
  <c r="AE80" i="1"/>
  <c r="R85" i="1"/>
  <c r="DG93" i="3"/>
  <c r="DI93" i="3"/>
  <c r="DF93" i="3"/>
  <c r="DJ93" i="3" s="1"/>
  <c r="DH93" i="3"/>
  <c r="F145" i="1"/>
  <c r="W117" i="1"/>
  <c r="T210" i="1"/>
  <c r="AG194" i="1"/>
  <c r="AY85" i="1"/>
  <c r="CH80" i="1"/>
  <c r="AE117" i="1"/>
  <c r="R121" i="1"/>
  <c r="DH99" i="3"/>
  <c r="DI99" i="3"/>
  <c r="DJ99" i="3" s="1"/>
  <c r="DF99" i="3"/>
  <c r="DG99" i="3"/>
  <c r="S121" i="1"/>
  <c r="AF117" i="1"/>
  <c r="AS153" i="1"/>
  <c r="F179" i="1"/>
  <c r="DF108" i="3"/>
  <c r="DG108" i="3"/>
  <c r="DH108" i="3"/>
  <c r="DI108" i="3"/>
  <c r="DJ108" i="3" s="1"/>
  <c r="AD194" i="1"/>
  <c r="Q210" i="1"/>
  <c r="GM160" i="1"/>
  <c r="GP160" i="1" s="1"/>
  <c r="CJ194" i="1"/>
  <c r="BA210" i="1"/>
  <c r="CG280" i="1"/>
  <c r="AX286" i="1"/>
  <c r="CZ245" i="1"/>
  <c r="Y245" i="1" s="1"/>
  <c r="CY245" i="1"/>
  <c r="X245" i="1" s="1"/>
  <c r="W286" i="1"/>
  <c r="AJ280" i="1"/>
  <c r="BD242" i="1"/>
  <c r="F273" i="1"/>
  <c r="DG113" i="3"/>
  <c r="DJ113" i="3" s="1"/>
  <c r="DF113" i="3"/>
  <c r="DH113" i="3"/>
  <c r="DI113" i="3"/>
  <c r="F219" i="1"/>
  <c r="AP194" i="1"/>
  <c r="AZ286" i="1"/>
  <c r="CI280" i="1"/>
  <c r="GX245" i="1"/>
  <c r="CJ248" i="1" s="1"/>
  <c r="S354" i="1"/>
  <c r="AF348" i="1"/>
  <c r="Y354" i="1"/>
  <c r="AL348" i="1"/>
  <c r="DF26" i="3"/>
  <c r="DJ26" i="3" s="1"/>
  <c r="DG26" i="3"/>
  <c r="DH26" i="3"/>
  <c r="DI26" i="3"/>
  <c r="DF7" i="3"/>
  <c r="DJ7" i="3" s="1"/>
  <c r="DG7" i="3"/>
  <c r="DH7" i="3"/>
  <c r="DI7" i="3"/>
  <c r="DF44" i="3"/>
  <c r="DJ44" i="3" s="1"/>
  <c r="DH44" i="3"/>
  <c r="DI44" i="3"/>
  <c r="DG44" i="3"/>
  <c r="DF40" i="3"/>
  <c r="DJ40" i="3" s="1"/>
  <c r="DG40" i="3"/>
  <c r="DH40" i="3"/>
  <c r="DI40" i="3"/>
  <c r="DI57" i="3"/>
  <c r="DJ57" i="3" s="1"/>
  <c r="DG57" i="3"/>
  <c r="DF57" i="3"/>
  <c r="DH57" i="3"/>
  <c r="AQ30" i="1"/>
  <c r="F58" i="1"/>
  <c r="AQ316" i="1"/>
  <c r="DI23" i="3"/>
  <c r="DF23" i="3"/>
  <c r="DG23" i="3"/>
  <c r="DJ23" i="3" s="1"/>
  <c r="DH23" i="3"/>
  <c r="AC121" i="1"/>
  <c r="CP119" i="1"/>
  <c r="O119" i="1" s="1"/>
  <c r="U85" i="1"/>
  <c r="AH80" i="1"/>
  <c r="F131" i="1"/>
  <c r="AQ117" i="1"/>
  <c r="BC153" i="1"/>
  <c r="F178" i="1"/>
  <c r="BC316" i="1"/>
  <c r="AW85" i="1"/>
  <c r="CF80" i="1"/>
  <c r="BA117" i="1"/>
  <c r="F141" i="1"/>
  <c r="DF72" i="3"/>
  <c r="DJ72" i="3" s="1"/>
  <c r="DG72" i="3"/>
  <c r="DH72" i="3"/>
  <c r="DI72" i="3"/>
  <c r="DI100" i="3"/>
  <c r="DJ100" i="3" s="1"/>
  <c r="DF100" i="3"/>
  <c r="DG100" i="3"/>
  <c r="DH100" i="3"/>
  <c r="AK117" i="1"/>
  <c r="X121" i="1"/>
  <c r="AJ194" i="1"/>
  <c r="W210" i="1"/>
  <c r="F87" i="1"/>
  <c r="O80" i="1"/>
  <c r="CY196" i="1"/>
  <c r="X196" i="1" s="1"/>
  <c r="AK210" i="1" s="1"/>
  <c r="CZ196" i="1"/>
  <c r="Y196" i="1" s="1"/>
  <c r="AL210" i="1" s="1"/>
  <c r="AF210" i="1"/>
  <c r="CY244" i="1"/>
  <c r="X244" i="1" s="1"/>
  <c r="CZ244" i="1"/>
  <c r="Y244" i="1" s="1"/>
  <c r="AS348" i="1"/>
  <c r="F371" i="1"/>
  <c r="AP280" i="1"/>
  <c r="F295" i="1"/>
  <c r="AQ280" i="1"/>
  <c r="F296" i="1"/>
  <c r="BC348" i="1"/>
  <c r="F370" i="1"/>
  <c r="BD348" i="1"/>
  <c r="F379" i="1"/>
  <c r="CP244" i="1"/>
  <c r="O244" i="1" s="1"/>
  <c r="T246" i="1"/>
  <c r="CJ348" i="1"/>
  <c r="BA354" i="1"/>
  <c r="AZ354" i="1"/>
  <c r="CI348" i="1"/>
  <c r="AI348" i="1"/>
  <c r="V354" i="1"/>
  <c r="DI36" i="3"/>
  <c r="DF36" i="3"/>
  <c r="DG36" i="3"/>
  <c r="DJ36" i="3" s="1"/>
  <c r="DH36" i="3"/>
  <c r="DH5" i="3"/>
  <c r="DI5" i="3"/>
  <c r="DJ5" i="3" s="1"/>
  <c r="DF5" i="3"/>
  <c r="DG5" i="3"/>
  <c r="DF10" i="3"/>
  <c r="DJ10" i="3" s="1"/>
  <c r="DG10" i="3"/>
  <c r="DH10" i="3"/>
  <c r="DI10" i="3"/>
  <c r="DF38" i="3"/>
  <c r="DJ38" i="3" s="1"/>
  <c r="DH38" i="3"/>
  <c r="DI38" i="3"/>
  <c r="DG38" i="3"/>
  <c r="DF50" i="3"/>
  <c r="DH50" i="3"/>
  <c r="DI50" i="3"/>
  <c r="DJ50" i="3" s="1"/>
  <c r="DG50" i="3"/>
  <c r="Q45" i="1"/>
  <c r="R45" i="1"/>
  <c r="GK45" i="1" s="1"/>
  <c r="DH11" i="3"/>
  <c r="DI11" i="3"/>
  <c r="DF11" i="3"/>
  <c r="DJ11" i="3" s="1"/>
  <c r="DG11" i="3"/>
  <c r="DF68" i="3"/>
  <c r="DJ68" i="3" s="1"/>
  <c r="DG68" i="3"/>
  <c r="DH68" i="3"/>
  <c r="DI68" i="3"/>
  <c r="DF17" i="3"/>
  <c r="DJ17" i="3" s="1"/>
  <c r="DG17" i="3"/>
  <c r="DH17" i="3"/>
  <c r="DI17" i="3"/>
  <c r="DG49" i="3"/>
  <c r="DH49" i="3"/>
  <c r="DF49" i="3"/>
  <c r="DJ49" i="3" s="1"/>
  <c r="DI49" i="3"/>
  <c r="DF20" i="3"/>
  <c r="DG20" i="3"/>
  <c r="DH20" i="3"/>
  <c r="DI20" i="3"/>
  <c r="DJ20" i="3" s="1"/>
  <c r="S45" i="1"/>
  <c r="CG117" i="1"/>
  <c r="AX121" i="1"/>
  <c r="BD80" i="1"/>
  <c r="F110" i="1"/>
  <c r="F109" i="1"/>
  <c r="W80" i="1"/>
  <c r="V80" i="1"/>
  <c r="F108" i="1"/>
  <c r="F166" i="1"/>
  <c r="AO316" i="1"/>
  <c r="AO153" i="1"/>
  <c r="AK85" i="1"/>
  <c r="GM200" i="1"/>
  <c r="GP200" i="1" s="1"/>
  <c r="GM82" i="1"/>
  <c r="DF104" i="3"/>
  <c r="DJ104" i="3" s="1"/>
  <c r="DG104" i="3"/>
  <c r="DH104" i="3"/>
  <c r="DI104" i="3"/>
  <c r="Q80" i="1"/>
  <c r="F97" i="1"/>
  <c r="CG194" i="1"/>
  <c r="AX210" i="1"/>
  <c r="CJ153" i="1"/>
  <c r="BA162" i="1"/>
  <c r="GM197" i="1"/>
  <c r="GP197" i="1" s="1"/>
  <c r="GM205" i="1"/>
  <c r="GP205" i="1" s="1"/>
  <c r="CP196" i="1"/>
  <c r="O196" i="1" s="1"/>
  <c r="F132" i="1"/>
  <c r="AZ117" i="1"/>
  <c r="AH153" i="1"/>
  <c r="U162" i="1"/>
  <c r="V245" i="1"/>
  <c r="AO348" i="1"/>
  <c r="F358" i="1"/>
  <c r="AZ248" i="1"/>
  <c r="CI242" i="1"/>
  <c r="F363" i="1"/>
  <c r="AP348" i="1"/>
  <c r="GM206" i="1"/>
  <c r="GP206" i="1" s="1"/>
  <c r="AI280" i="1"/>
  <c r="V286" i="1"/>
  <c r="AQ348" i="1"/>
  <c r="F364" i="1"/>
  <c r="T354" i="1"/>
  <c r="AG348" i="1"/>
  <c r="DH29" i="3"/>
  <c r="DF29" i="3"/>
  <c r="DG29" i="3"/>
  <c r="DJ29" i="3" s="1"/>
  <c r="DI29" i="3"/>
  <c r="DH60" i="3"/>
  <c r="DF60" i="3"/>
  <c r="DG60" i="3"/>
  <c r="DI60" i="3"/>
  <c r="DJ60" i="3" s="1"/>
  <c r="Q39" i="1"/>
  <c r="AD48" i="1" s="1"/>
  <c r="R39" i="1"/>
  <c r="GK39" i="1" s="1"/>
  <c r="T39" i="1"/>
  <c r="AG48" i="1" s="1"/>
  <c r="DH66" i="3"/>
  <c r="DF66" i="3"/>
  <c r="DJ66" i="3" s="1"/>
  <c r="DG66" i="3"/>
  <c r="DI66" i="3"/>
  <c r="DH74" i="3"/>
  <c r="DF74" i="3"/>
  <c r="DJ74" i="3" s="1"/>
  <c r="DG74" i="3"/>
  <c r="DI74" i="3"/>
  <c r="DH116" i="3"/>
  <c r="DI116" i="3"/>
  <c r="DF116" i="3"/>
  <c r="DG116" i="3"/>
  <c r="DJ116" i="3" s="1"/>
  <c r="DI71" i="3"/>
  <c r="DJ71" i="3" s="1"/>
  <c r="DH71" i="3"/>
  <c r="DF71" i="3"/>
  <c r="DG71" i="3"/>
  <c r="DF18" i="3"/>
  <c r="DG18" i="3"/>
  <c r="DH18" i="3"/>
  <c r="DI18" i="3"/>
  <c r="DJ18" i="3" s="1"/>
  <c r="DI32" i="3"/>
  <c r="DF32" i="3"/>
  <c r="DJ32" i="3" s="1"/>
  <c r="DG32" i="3"/>
  <c r="DH32" i="3"/>
  <c r="DF14" i="3"/>
  <c r="DG14" i="3"/>
  <c r="DJ14" i="3" s="1"/>
  <c r="DH14" i="3"/>
  <c r="DI14" i="3"/>
  <c r="DI39" i="3"/>
  <c r="DG39" i="3"/>
  <c r="DF39" i="3"/>
  <c r="DJ39" i="3" s="1"/>
  <c r="DH39" i="3"/>
  <c r="CP38" i="1"/>
  <c r="O38" i="1" s="1"/>
  <c r="GM38" i="1" s="1"/>
  <c r="GP38" i="1" s="1"/>
  <c r="P45" i="1"/>
  <c r="CP45" i="1" s="1"/>
  <c r="O45" i="1" s="1"/>
  <c r="DI106" i="3"/>
  <c r="DF106" i="3"/>
  <c r="DJ106" i="3" s="1"/>
  <c r="DG106" i="3"/>
  <c r="DH106" i="3"/>
  <c r="DF24" i="3"/>
  <c r="DJ24" i="3" s="1"/>
  <c r="DG24" i="3"/>
  <c r="DH24" i="3"/>
  <c r="DI24" i="3"/>
  <c r="GM46" i="1"/>
  <c r="GP46" i="1" s="1"/>
  <c r="DI61" i="3"/>
  <c r="DF61" i="3"/>
  <c r="DJ61" i="3" s="1"/>
  <c r="DG61" i="3"/>
  <c r="DH61" i="3"/>
  <c r="P39" i="1"/>
  <c r="AX30" i="1"/>
  <c r="F55" i="1"/>
  <c r="DF97" i="3"/>
  <c r="DI97" i="3"/>
  <c r="DJ97" i="3" s="1"/>
  <c r="DG97" i="3"/>
  <c r="DH97" i="3"/>
  <c r="F95" i="1"/>
  <c r="AQ80" i="1"/>
  <c r="AF80" i="1"/>
  <c r="S85" i="1"/>
  <c r="AZ30" i="1"/>
  <c r="F59" i="1"/>
  <c r="AJ153" i="1"/>
  <c r="W162" i="1"/>
  <c r="AS117" i="1"/>
  <c r="F138" i="1"/>
  <c r="DG103" i="3"/>
  <c r="DF103" i="3"/>
  <c r="DJ103" i="3" s="1"/>
  <c r="DH103" i="3"/>
  <c r="DI103" i="3"/>
  <c r="F103" i="1"/>
  <c r="AT80" i="1"/>
  <c r="AT316" i="1"/>
  <c r="GK196" i="1"/>
  <c r="AE210" i="1"/>
  <c r="AG162" i="1"/>
  <c r="GM202" i="1"/>
  <c r="GP202" i="1" s="1"/>
  <c r="AF280" i="1"/>
  <c r="S286" i="1"/>
  <c r="V153" i="1"/>
  <c r="F185" i="1"/>
  <c r="AS194" i="1"/>
  <c r="F227" i="1"/>
  <c r="AD280" i="1"/>
  <c r="Q286" i="1"/>
  <c r="R245" i="1"/>
  <c r="BA286" i="1"/>
  <c r="CJ280" i="1"/>
  <c r="T245" i="1"/>
  <c r="AC354" i="1"/>
  <c r="GK32" i="1"/>
  <c r="AE48" i="1"/>
  <c r="DH70" i="3"/>
  <c r="DF70" i="3"/>
  <c r="DJ70" i="3" s="1"/>
  <c r="DG70" i="3"/>
  <c r="DI70" i="3"/>
  <c r="DF111" i="3"/>
  <c r="DJ111" i="3" s="1"/>
  <c r="DG111" i="3"/>
  <c r="DH111" i="3"/>
  <c r="DI111" i="3"/>
  <c r="DH56" i="3"/>
  <c r="DF56" i="3"/>
  <c r="DJ56" i="3" s="1"/>
  <c r="DG56" i="3"/>
  <c r="DI56" i="3"/>
  <c r="DG4" i="3"/>
  <c r="DH4" i="3"/>
  <c r="DI4" i="3"/>
  <c r="DF4" i="3"/>
  <c r="DJ4" i="3" s="1"/>
  <c r="DF16" i="3"/>
  <c r="DJ16" i="3" s="1"/>
  <c r="DG16" i="3"/>
  <c r="DH16" i="3"/>
  <c r="DI16" i="3"/>
  <c r="DH76" i="3"/>
  <c r="DF76" i="3"/>
  <c r="DJ76" i="3" s="1"/>
  <c r="DG76" i="3"/>
  <c r="DI76" i="3"/>
  <c r="DI1" i="3"/>
  <c r="DJ1" i="3" s="1"/>
  <c r="DF1" i="3"/>
  <c r="DG1" i="3"/>
  <c r="DH1" i="3"/>
  <c r="DI12" i="3"/>
  <c r="DJ12" i="3" s="1"/>
  <c r="DF12" i="3"/>
  <c r="DG12" i="3"/>
  <c r="DH12" i="3"/>
  <c r="DF115" i="3"/>
  <c r="DG115" i="3"/>
  <c r="DJ115" i="3" s="1"/>
  <c r="DH115" i="3"/>
  <c r="DI115" i="3"/>
  <c r="DH96" i="3"/>
  <c r="DF96" i="3"/>
  <c r="DJ96" i="3" s="1"/>
  <c r="DG96" i="3"/>
  <c r="DI96" i="3"/>
  <c r="DF37" i="3"/>
  <c r="DI37" i="3"/>
  <c r="DG37" i="3"/>
  <c r="DJ37" i="3" s="1"/>
  <c r="DH37" i="3"/>
  <c r="DF105" i="3"/>
  <c r="DG105" i="3"/>
  <c r="DH105" i="3"/>
  <c r="DI105" i="3"/>
  <c r="DJ105" i="3" s="1"/>
  <c r="DG92" i="3"/>
  <c r="DH92" i="3"/>
  <c r="DI92" i="3"/>
  <c r="DJ92" i="3" s="1"/>
  <c r="DF92" i="3"/>
  <c r="S39" i="1"/>
  <c r="AF48" i="1" s="1"/>
  <c r="DI45" i="3"/>
  <c r="DG45" i="3"/>
  <c r="DF45" i="3"/>
  <c r="DJ45" i="3" s="1"/>
  <c r="DH45" i="3"/>
  <c r="GM32" i="1"/>
  <c r="AS30" i="1"/>
  <c r="F65" i="1"/>
  <c r="AS316" i="1"/>
  <c r="V39" i="1"/>
  <c r="AI48" i="1" s="1"/>
  <c r="W39" i="1"/>
  <c r="AJ48" i="1" s="1"/>
  <c r="DG53" i="3"/>
  <c r="DI53" i="3"/>
  <c r="DF53" i="3"/>
  <c r="DJ53" i="3" s="1"/>
  <c r="DH53" i="3"/>
  <c r="AT117" i="1"/>
  <c r="F139" i="1"/>
  <c r="T117" i="1"/>
  <c r="F142" i="1"/>
  <c r="AX85" i="1"/>
  <c r="CG80" i="1"/>
  <c r="DF75" i="3"/>
  <c r="DJ75" i="3" s="1"/>
  <c r="DG75" i="3"/>
  <c r="DH75" i="3"/>
  <c r="DI75" i="3"/>
  <c r="AL85" i="1"/>
  <c r="GK155" i="1"/>
  <c r="AE162" i="1"/>
  <c r="BD194" i="1"/>
  <c r="F235" i="1"/>
  <c r="AS80" i="1"/>
  <c r="F102" i="1"/>
  <c r="V117" i="1"/>
  <c r="F144" i="1"/>
  <c r="DF101" i="3"/>
  <c r="DJ101" i="3" s="1"/>
  <c r="DI101" i="3"/>
  <c r="DG101" i="3"/>
  <c r="DH101" i="3"/>
  <c r="GM201" i="1"/>
  <c r="GP201" i="1" s="1"/>
  <c r="DF58" i="3"/>
  <c r="DJ58" i="3" s="1"/>
  <c r="DG58" i="3"/>
  <c r="DH58" i="3"/>
  <c r="DI58" i="3"/>
  <c r="AP242" i="1"/>
  <c r="F257" i="1"/>
  <c r="BB348" i="1"/>
  <c r="F367" i="1"/>
  <c r="AL280" i="1"/>
  <c r="Y286" i="1"/>
  <c r="S246" i="1"/>
  <c r="AF248" i="1" s="1"/>
  <c r="BB194" i="1"/>
  <c r="F223" i="1"/>
  <c r="CG348" i="1"/>
  <c r="AX354" i="1"/>
  <c r="AB354" i="1"/>
  <c r="GM350" i="1"/>
  <c r="DG35" i="3"/>
  <c r="DJ35" i="3" s="1"/>
  <c r="DI35" i="3"/>
  <c r="DF35" i="3"/>
  <c r="DH35" i="3"/>
  <c r="DG22" i="3"/>
  <c r="DJ22" i="3" s="1"/>
  <c r="DH22" i="3"/>
  <c r="DI22" i="3"/>
  <c r="DF22" i="3"/>
  <c r="DF62" i="3"/>
  <c r="DJ62" i="3" s="1"/>
  <c r="DH62" i="3"/>
  <c r="DG62" i="3"/>
  <c r="DI62" i="3"/>
  <c r="DI8" i="3"/>
  <c r="DF8" i="3"/>
  <c r="DJ8" i="3" s="1"/>
  <c r="DG8" i="3"/>
  <c r="DH8" i="3"/>
  <c r="DH95" i="3"/>
  <c r="DI95" i="3"/>
  <c r="DF95" i="3"/>
  <c r="DJ95" i="3" s="1"/>
  <c r="DG95" i="3"/>
  <c r="DH109" i="3"/>
  <c r="DI109" i="3"/>
  <c r="DF109" i="3"/>
  <c r="DJ109" i="3" s="1"/>
  <c r="DG109" i="3"/>
  <c r="DG15" i="3"/>
  <c r="DJ15" i="3" s="1"/>
  <c r="DH15" i="3"/>
  <c r="DI15" i="3"/>
  <c r="DF15" i="3"/>
  <c r="DF43" i="3"/>
  <c r="DJ43" i="3" s="1"/>
  <c r="DI43" i="3"/>
  <c r="DG43" i="3"/>
  <c r="DH43" i="3"/>
  <c r="AC48" i="1"/>
  <c r="DG27" i="3"/>
  <c r="DH27" i="3"/>
  <c r="DI27" i="3"/>
  <c r="DF27" i="3"/>
  <c r="DJ27" i="3" s="1"/>
  <c r="BD30" i="1"/>
  <c r="F73" i="1"/>
  <c r="BD316" i="1"/>
  <c r="DF52" i="3"/>
  <c r="DJ52" i="3" s="1"/>
  <c r="DG52" i="3"/>
  <c r="DH52" i="3"/>
  <c r="DI52" i="3"/>
  <c r="AP30" i="1"/>
  <c r="F57" i="1"/>
  <c r="AP316" i="1"/>
  <c r="BB117" i="1"/>
  <c r="F134" i="1"/>
  <c r="CY155" i="1"/>
  <c r="X155" i="1" s="1"/>
  <c r="AK162" i="1" s="1"/>
  <c r="AF162" i="1"/>
  <c r="CZ155" i="1"/>
  <c r="Y155" i="1" s="1"/>
  <c r="AL162" i="1" s="1"/>
  <c r="F130" i="1"/>
  <c r="AP117" i="1"/>
  <c r="DG73" i="3"/>
  <c r="DI73" i="3"/>
  <c r="DJ73" i="3" s="1"/>
  <c r="DF73" i="3"/>
  <c r="DH73" i="3"/>
  <c r="DG63" i="3"/>
  <c r="DI63" i="3"/>
  <c r="DJ63" i="3" s="1"/>
  <c r="DF63" i="3"/>
  <c r="DH63" i="3"/>
  <c r="CE80" i="1"/>
  <c r="AV85" i="1"/>
  <c r="AC162" i="1"/>
  <c r="AD153" i="1"/>
  <c r="Q162" i="1"/>
  <c r="BC194" i="1"/>
  <c r="F226" i="1"/>
  <c r="GM207" i="1"/>
  <c r="GP207" i="1" s="1"/>
  <c r="U210" i="1"/>
  <c r="AH194" i="1"/>
  <c r="AT280" i="1"/>
  <c r="F304" i="1"/>
  <c r="AJ248" i="1"/>
  <c r="X286" i="1"/>
  <c r="AK280" i="1"/>
  <c r="V246" i="1"/>
  <c r="AG248" i="1"/>
  <c r="AE280" i="1"/>
  <c r="R286" i="1"/>
  <c r="AJ348" i="1"/>
  <c r="W354" i="1"/>
  <c r="AT348" i="1"/>
  <c r="F372" i="1"/>
  <c r="DH42" i="3"/>
  <c r="DF42" i="3"/>
  <c r="DI42" i="3"/>
  <c r="DJ42" i="3" s="1"/>
  <c r="DG42" i="3"/>
  <c r="DF28" i="3"/>
  <c r="DH28" i="3"/>
  <c r="DI28" i="3"/>
  <c r="DJ28" i="3" s="1"/>
  <c r="DG28" i="3"/>
  <c r="DF2" i="3"/>
  <c r="DG2" i="3"/>
  <c r="DJ2" i="3" s="1"/>
  <c r="DH2" i="3"/>
  <c r="DI2" i="3"/>
  <c r="DI19" i="3"/>
  <c r="DF19" i="3"/>
  <c r="DJ19" i="3" s="1"/>
  <c r="DG19" i="3"/>
  <c r="DH19" i="3"/>
  <c r="DH54" i="3"/>
  <c r="DF54" i="3"/>
  <c r="DJ54" i="3" s="1"/>
  <c r="DG54" i="3"/>
  <c r="DI54" i="3"/>
  <c r="DF9" i="3"/>
  <c r="DG9" i="3"/>
  <c r="DH9" i="3"/>
  <c r="DI9" i="3"/>
  <c r="DJ9" i="3" s="1"/>
  <c r="DF30" i="3"/>
  <c r="DJ30" i="3" s="1"/>
  <c r="DG30" i="3"/>
  <c r="DH30" i="3"/>
  <c r="DI30" i="3"/>
  <c r="DG34" i="3"/>
  <c r="DH34" i="3"/>
  <c r="DI34" i="3"/>
  <c r="DJ34" i="3" s="1"/>
  <c r="DF34" i="3"/>
  <c r="DH110" i="3"/>
  <c r="DF110" i="3"/>
  <c r="DJ110" i="3" s="1"/>
  <c r="DG110" i="3"/>
  <c r="DI110" i="3"/>
  <c r="DG47" i="3"/>
  <c r="DI47" i="3"/>
  <c r="DF47" i="3"/>
  <c r="DJ47" i="3" s="1"/>
  <c r="DH47" i="3"/>
  <c r="GM33" i="1"/>
  <c r="GP33" i="1" s="1"/>
  <c r="DF21" i="3"/>
  <c r="DG21" i="3"/>
  <c r="DJ21" i="3" s="1"/>
  <c r="DH21" i="3"/>
  <c r="DI21" i="3"/>
  <c r="DI51" i="3"/>
  <c r="DG51" i="3"/>
  <c r="DF51" i="3"/>
  <c r="DJ51" i="3" s="1"/>
  <c r="DH51" i="3"/>
  <c r="BA85" i="1"/>
  <c r="CJ80" i="1"/>
  <c r="F187" i="1"/>
  <c r="BD153" i="1"/>
  <c r="DG98" i="3"/>
  <c r="DH98" i="3"/>
  <c r="DI98" i="3"/>
  <c r="DF98" i="3"/>
  <c r="DJ98" i="3" s="1"/>
  <c r="F98" i="1"/>
  <c r="BB80" i="1"/>
  <c r="BB316" i="1"/>
  <c r="CP155" i="1"/>
  <c r="O155" i="1" s="1"/>
  <c r="DG102" i="3"/>
  <c r="DH102" i="3"/>
  <c r="DI102" i="3"/>
  <c r="DF102" i="3"/>
  <c r="DJ102" i="3" s="1"/>
  <c r="CP282" i="1"/>
  <c r="O282" i="1" s="1"/>
  <c r="AC286" i="1"/>
  <c r="GM157" i="1"/>
  <c r="GP157" i="1" s="1"/>
  <c r="AT153" i="1"/>
  <c r="F180" i="1"/>
  <c r="U117" i="1"/>
  <c r="F143" i="1"/>
  <c r="GM203" i="1"/>
  <c r="GP203" i="1" s="1"/>
  <c r="DG59" i="3"/>
  <c r="DI59" i="3"/>
  <c r="DH59" i="3"/>
  <c r="DF59" i="3"/>
  <c r="DJ59" i="3" s="1"/>
  <c r="F252" i="1"/>
  <c r="AO242" i="1"/>
  <c r="AQ194" i="1"/>
  <c r="F220" i="1"/>
  <c r="AH280" i="1"/>
  <c r="U286" i="1"/>
  <c r="P245" i="1"/>
  <c r="Q245" i="1"/>
  <c r="AD248" i="1" s="1"/>
  <c r="DF114" i="3"/>
  <c r="DI114" i="3"/>
  <c r="DG114" i="3"/>
  <c r="DJ114" i="3" s="1"/>
  <c r="DH114" i="3"/>
  <c r="AC210" i="1"/>
  <c r="U246" i="1"/>
  <c r="AG280" i="1"/>
  <c r="T286" i="1"/>
  <c r="U245" i="1"/>
  <c r="AH248" i="1" s="1"/>
  <c r="Q354" i="1"/>
  <c r="AD348" i="1"/>
  <c r="I312" i="7" l="1"/>
  <c r="I126" i="7"/>
  <c r="I309" i="7"/>
  <c r="I288" i="7"/>
  <c r="AF242" i="1"/>
  <c r="S248" i="1"/>
  <c r="V48" i="1"/>
  <c r="AI30" i="1"/>
  <c r="AF30" i="1"/>
  <c r="S48" i="1"/>
  <c r="CJ30" i="1"/>
  <c r="BA48" i="1"/>
  <c r="AH30" i="1"/>
  <c r="U48" i="1"/>
  <c r="AD30" i="1"/>
  <c r="Q48" i="1"/>
  <c r="AX348" i="1"/>
  <c r="F361" i="1"/>
  <c r="GP32" i="1"/>
  <c r="BA280" i="1"/>
  <c r="F306" i="1"/>
  <c r="F301" i="1"/>
  <c r="S280" i="1"/>
  <c r="U153" i="1"/>
  <c r="F184" i="1"/>
  <c r="CZ45" i="1"/>
  <c r="Y45" i="1" s="1"/>
  <c r="CY45" i="1"/>
  <c r="X45" i="1" s="1"/>
  <c r="BA348" i="1"/>
  <c r="F374" i="1"/>
  <c r="F147" i="1"/>
  <c r="X117" i="1"/>
  <c r="BA194" i="1"/>
  <c r="F230" i="1"/>
  <c r="CP246" i="1"/>
  <c r="O246" i="1" s="1"/>
  <c r="CI153" i="1"/>
  <c r="AZ162" i="1"/>
  <c r="GK245" i="1"/>
  <c r="AE248" i="1"/>
  <c r="AX194" i="1"/>
  <c r="F217" i="1"/>
  <c r="CA85" i="1"/>
  <c r="GP82" i="1"/>
  <c r="CD85" i="1" s="1"/>
  <c r="AF194" i="1"/>
  <c r="S210" i="1"/>
  <c r="F297" i="1"/>
  <c r="AZ280" i="1"/>
  <c r="R117" i="1"/>
  <c r="F135" i="1"/>
  <c r="F376" i="1"/>
  <c r="U348" i="1"/>
  <c r="AP153" i="1"/>
  <c r="F171" i="1"/>
  <c r="Q348" i="1"/>
  <c r="F366" i="1"/>
  <c r="X280" i="1"/>
  <c r="F312" i="1"/>
  <c r="AL153" i="1"/>
  <c r="Y162" i="1"/>
  <c r="AE153" i="1"/>
  <c r="R162" i="1"/>
  <c r="AX80" i="1"/>
  <c r="F92" i="1"/>
  <c r="Q280" i="1"/>
  <c r="F298" i="1"/>
  <c r="AL194" i="1"/>
  <c r="Y210" i="1"/>
  <c r="W348" i="1"/>
  <c r="F378" i="1"/>
  <c r="AJ242" i="1"/>
  <c r="W248" i="1"/>
  <c r="F174" i="1"/>
  <c r="Q153" i="1"/>
  <c r="AF153" i="1"/>
  <c r="S162" i="1"/>
  <c r="W48" i="1"/>
  <c r="AJ30" i="1"/>
  <c r="R48" i="1"/>
  <c r="AE30" i="1"/>
  <c r="T162" i="1"/>
  <c r="AG153" i="1"/>
  <c r="T348" i="1"/>
  <c r="F375" i="1"/>
  <c r="X85" i="1"/>
  <c r="AK80" i="1"/>
  <c r="GM244" i="1"/>
  <c r="AK194" i="1"/>
  <c r="X210" i="1"/>
  <c r="W280" i="1"/>
  <c r="F310" i="1"/>
  <c r="Q194" i="1"/>
  <c r="F222" i="1"/>
  <c r="F368" i="1"/>
  <c r="R348" i="1"/>
  <c r="AQ153" i="1"/>
  <c r="F172" i="1"/>
  <c r="F148" i="1"/>
  <c r="Y117" i="1"/>
  <c r="F307" i="1"/>
  <c r="T280" i="1"/>
  <c r="AD242" i="1"/>
  <c r="Q248" i="1"/>
  <c r="GM155" i="1"/>
  <c r="AB162" i="1"/>
  <c r="AK153" i="1"/>
  <c r="X162" i="1"/>
  <c r="CY246" i="1"/>
  <c r="X246" i="1" s="1"/>
  <c r="CZ246" i="1"/>
  <c r="Y246" i="1" s="1"/>
  <c r="Y85" i="1"/>
  <c r="AL80" i="1"/>
  <c r="AE194" i="1"/>
  <c r="R210" i="1"/>
  <c r="S80" i="1"/>
  <c r="F100" i="1"/>
  <c r="AZ242" i="1"/>
  <c r="F259" i="1"/>
  <c r="GM196" i="1"/>
  <c r="AB210" i="1"/>
  <c r="F377" i="1"/>
  <c r="V348" i="1"/>
  <c r="U80" i="1"/>
  <c r="F107" i="1"/>
  <c r="AQ26" i="1"/>
  <c r="AQ384" i="1"/>
  <c r="F326" i="1"/>
  <c r="Y348" i="1"/>
  <c r="F381" i="1"/>
  <c r="F136" i="1"/>
  <c r="S117" i="1"/>
  <c r="AY80" i="1"/>
  <c r="F93" i="1"/>
  <c r="CG153" i="1"/>
  <c r="AX162" i="1"/>
  <c r="AX316" i="1" s="1"/>
  <c r="U248" i="1"/>
  <c r="AH242" i="1"/>
  <c r="CP245" i="1"/>
  <c r="O245" i="1" s="1"/>
  <c r="GM245" i="1" s="1"/>
  <c r="GP245" i="1" s="1"/>
  <c r="AC248" i="1"/>
  <c r="BB26" i="1"/>
  <c r="BB384" i="1"/>
  <c r="F329" i="1"/>
  <c r="F300" i="1"/>
  <c r="R280" i="1"/>
  <c r="AC153" i="1"/>
  <c r="CE162" i="1"/>
  <c r="CF162" i="1"/>
  <c r="CH162" i="1"/>
  <c r="P162" i="1"/>
  <c r="AC30" i="1"/>
  <c r="P48" i="1"/>
  <c r="CE48" i="1"/>
  <c r="CF48" i="1"/>
  <c r="CH48" i="1"/>
  <c r="Y280" i="1"/>
  <c r="F313" i="1"/>
  <c r="AS26" i="1"/>
  <c r="F333" i="1"/>
  <c r="AS384" i="1"/>
  <c r="P354" i="1"/>
  <c r="AC348" i="1"/>
  <c r="CE354" i="1"/>
  <c r="CF354" i="1"/>
  <c r="CH354" i="1"/>
  <c r="GM45" i="1"/>
  <c r="GP45" i="1" s="1"/>
  <c r="AO26" i="1"/>
  <c r="F320" i="1"/>
  <c r="AO384" i="1"/>
  <c r="AW80" i="1"/>
  <c r="F91" i="1"/>
  <c r="R80" i="1"/>
  <c r="F99" i="1"/>
  <c r="F308" i="1"/>
  <c r="U280" i="1"/>
  <c r="P286" i="1"/>
  <c r="CE286" i="1"/>
  <c r="AC280" i="1"/>
  <c r="CH286" i="1"/>
  <c r="CF286" i="1"/>
  <c r="F90" i="1"/>
  <c r="AV80" i="1"/>
  <c r="BD26" i="1"/>
  <c r="F341" i="1"/>
  <c r="BD384" i="1"/>
  <c r="CA354" i="1"/>
  <c r="GP350" i="1"/>
  <c r="CD354" i="1" s="1"/>
  <c r="CZ39" i="1"/>
  <c r="Y39" i="1" s="1"/>
  <c r="AL48" i="1" s="1"/>
  <c r="CY39" i="1"/>
  <c r="X39" i="1" s="1"/>
  <c r="AK48" i="1" s="1"/>
  <c r="AT26" i="1"/>
  <c r="AT384" i="1"/>
  <c r="F334" i="1"/>
  <c r="V280" i="1"/>
  <c r="F309" i="1"/>
  <c r="F128" i="1"/>
  <c r="AX117" i="1"/>
  <c r="AL248" i="1"/>
  <c r="W194" i="1"/>
  <c r="F234" i="1"/>
  <c r="BC26" i="1"/>
  <c r="BC384" i="1"/>
  <c r="F332" i="1"/>
  <c r="GM119" i="1"/>
  <c r="AB121" i="1"/>
  <c r="S348" i="1"/>
  <c r="F369" i="1"/>
  <c r="F293" i="1"/>
  <c r="AX280" i="1"/>
  <c r="T194" i="1"/>
  <c r="F231" i="1"/>
  <c r="F96" i="1"/>
  <c r="AZ80" i="1"/>
  <c r="AZ194" i="1"/>
  <c r="F221" i="1"/>
  <c r="V194" i="1"/>
  <c r="F233" i="1"/>
  <c r="X348" i="1"/>
  <c r="F380" i="1"/>
  <c r="AC194" i="1"/>
  <c r="CE210" i="1"/>
  <c r="CF210" i="1"/>
  <c r="CH210" i="1"/>
  <c r="P210" i="1"/>
  <c r="AB286" i="1"/>
  <c r="GM282" i="1"/>
  <c r="F105" i="1"/>
  <c r="BA80" i="1"/>
  <c r="T248" i="1"/>
  <c r="AG242" i="1"/>
  <c r="U194" i="1"/>
  <c r="F232" i="1"/>
  <c r="AP26" i="1"/>
  <c r="F325" i="1"/>
  <c r="AP384" i="1"/>
  <c r="AB348" i="1"/>
  <c r="O354" i="1"/>
  <c r="W153" i="1"/>
  <c r="F186" i="1"/>
  <c r="CP39" i="1"/>
  <c r="O39" i="1" s="1"/>
  <c r="AG30" i="1"/>
  <c r="T48" i="1"/>
  <c r="AI248" i="1"/>
  <c r="BA153" i="1"/>
  <c r="F182" i="1"/>
  <c r="AZ348" i="1"/>
  <c r="F365" i="1"/>
  <c r="AK248" i="1"/>
  <c r="AC117" i="1"/>
  <c r="CE121" i="1"/>
  <c r="CF121" i="1"/>
  <c r="CH121" i="1"/>
  <c r="P121" i="1"/>
  <c r="BA248" i="1"/>
  <c r="CJ242" i="1"/>
  <c r="AX26" i="1" l="1"/>
  <c r="AX384" i="1"/>
  <c r="F323" i="1"/>
  <c r="BA242" i="1"/>
  <c r="F268" i="1"/>
  <c r="CF194" i="1"/>
  <c r="AW210" i="1"/>
  <c r="AL242" i="1"/>
  <c r="Y248" i="1"/>
  <c r="AK30" i="1"/>
  <c r="X48" i="1"/>
  <c r="CH348" i="1"/>
  <c r="AY354" i="1"/>
  <c r="CH153" i="1"/>
  <c r="AY162" i="1"/>
  <c r="F111" i="1"/>
  <c r="X80" i="1"/>
  <c r="W30" i="1"/>
  <c r="F72" i="1"/>
  <c r="W316" i="1"/>
  <c r="BA30" i="1"/>
  <c r="F68" i="1"/>
  <c r="BA316" i="1"/>
  <c r="AL30" i="1"/>
  <c r="Y48" i="1"/>
  <c r="AW286" i="1"/>
  <c r="CF280" i="1"/>
  <c r="CF348" i="1"/>
  <c r="AW354" i="1"/>
  <c r="CF153" i="1"/>
  <c r="AW162" i="1"/>
  <c r="AC242" i="1"/>
  <c r="CH248" i="1"/>
  <c r="P248" i="1"/>
  <c r="CF248" i="1"/>
  <c r="CE248" i="1"/>
  <c r="F188" i="1"/>
  <c r="X153" i="1"/>
  <c r="S153" i="1"/>
  <c r="F177" i="1"/>
  <c r="Y194" i="1"/>
  <c r="F237" i="1"/>
  <c r="F189" i="1"/>
  <c r="Y153" i="1"/>
  <c r="CD80" i="1"/>
  <c r="AU85" i="1"/>
  <c r="GM246" i="1"/>
  <c r="GP246" i="1" s="1"/>
  <c r="CD348" i="1"/>
  <c r="AU354" i="1"/>
  <c r="CH280" i="1"/>
  <c r="AY286" i="1"/>
  <c r="CE348" i="1"/>
  <c r="AV354" i="1"/>
  <c r="AY48" i="1"/>
  <c r="CH30" i="1"/>
  <c r="CE153" i="1"/>
  <c r="AV162" i="1"/>
  <c r="AR85" i="1"/>
  <c r="CA80" i="1"/>
  <c r="S30" i="1"/>
  <c r="F63" i="1"/>
  <c r="S316" i="1"/>
  <c r="P117" i="1"/>
  <c r="F124" i="1"/>
  <c r="CE194" i="1"/>
  <c r="AV210" i="1"/>
  <c r="AP22" i="1"/>
  <c r="AP414" i="1"/>
  <c r="F393" i="1"/>
  <c r="G16" i="2" s="1"/>
  <c r="G18" i="2" s="1"/>
  <c r="CA348" i="1"/>
  <c r="AR354" i="1"/>
  <c r="AW48" i="1"/>
  <c r="CF30" i="1"/>
  <c r="R194" i="1"/>
  <c r="F224" i="1"/>
  <c r="AB153" i="1"/>
  <c r="O162" i="1"/>
  <c r="X194" i="1"/>
  <c r="F236" i="1"/>
  <c r="O121" i="1"/>
  <c r="AB117" i="1"/>
  <c r="V248" i="1"/>
  <c r="AI242" i="1"/>
  <c r="AV121" i="1"/>
  <c r="CE117" i="1"/>
  <c r="T30" i="1"/>
  <c r="F69" i="1"/>
  <c r="T316" i="1"/>
  <c r="CA286" i="1"/>
  <c r="GP282" i="1"/>
  <c r="CD286" i="1" s="1"/>
  <c r="BC22" i="1"/>
  <c r="BC414" i="1"/>
  <c r="F400" i="1"/>
  <c r="BD22" i="1"/>
  <c r="BD414" i="1"/>
  <c r="F409" i="1"/>
  <c r="AV286" i="1"/>
  <c r="CE280" i="1"/>
  <c r="AO22" i="1"/>
  <c r="F388" i="1"/>
  <c r="AO414" i="1"/>
  <c r="P348" i="1"/>
  <c r="F357" i="1"/>
  <c r="AV48" i="1"/>
  <c r="CE30" i="1"/>
  <c r="U242" i="1"/>
  <c r="F270" i="1"/>
  <c r="AB194" i="1"/>
  <c r="O210" i="1"/>
  <c r="GP155" i="1"/>
  <c r="CD162" i="1" s="1"/>
  <c r="CA162" i="1"/>
  <c r="T153" i="1"/>
  <c r="F183" i="1"/>
  <c r="Q30" i="1"/>
  <c r="F60" i="1"/>
  <c r="Q316" i="1"/>
  <c r="CH117" i="1"/>
  <c r="AY121" i="1"/>
  <c r="AW121" i="1"/>
  <c r="CF117" i="1"/>
  <c r="P280" i="1"/>
  <c r="F289" i="1"/>
  <c r="AS22" i="1"/>
  <c r="F401" i="1"/>
  <c r="E16" i="2" s="1"/>
  <c r="AS414" i="1"/>
  <c r="P30" i="1"/>
  <c r="F51" i="1"/>
  <c r="P316" i="1"/>
  <c r="AX153" i="1"/>
  <c r="F169" i="1"/>
  <c r="GP196" i="1"/>
  <c r="CD210" i="1" s="1"/>
  <c r="CA210" i="1"/>
  <c r="F260" i="1"/>
  <c r="Q242" i="1"/>
  <c r="AB248" i="1"/>
  <c r="W242" i="1"/>
  <c r="F272" i="1"/>
  <c r="AE242" i="1"/>
  <c r="R248" i="1"/>
  <c r="V30" i="1"/>
  <c r="F71" i="1"/>
  <c r="V316" i="1"/>
  <c r="T242" i="1"/>
  <c r="F269" i="1"/>
  <c r="GP119" i="1"/>
  <c r="CD121" i="1" s="1"/>
  <c r="CA121" i="1"/>
  <c r="AK242" i="1"/>
  <c r="X248" i="1"/>
  <c r="GM39" i="1"/>
  <c r="AB48" i="1"/>
  <c r="P194" i="1"/>
  <c r="F213" i="1"/>
  <c r="AT22" i="1"/>
  <c r="F402" i="1"/>
  <c r="F16" i="2" s="1"/>
  <c r="F18" i="2" s="1"/>
  <c r="AT414" i="1"/>
  <c r="AQ22" i="1"/>
  <c r="F394" i="1"/>
  <c r="AQ414" i="1"/>
  <c r="Y80" i="1"/>
  <c r="F112" i="1"/>
  <c r="CA248" i="1"/>
  <c r="GP244" i="1"/>
  <c r="CD248" i="1" s="1"/>
  <c r="R30" i="1"/>
  <c r="F62" i="1"/>
  <c r="R316" i="1"/>
  <c r="U30" i="1"/>
  <c r="F70" i="1"/>
  <c r="U316" i="1"/>
  <c r="F263" i="1"/>
  <c r="S242" i="1"/>
  <c r="O348" i="1"/>
  <c r="F356" i="1"/>
  <c r="O286" i="1"/>
  <c r="AB280" i="1"/>
  <c r="CH194" i="1"/>
  <c r="AY210" i="1"/>
  <c r="F165" i="1"/>
  <c r="P153" i="1"/>
  <c r="BB22" i="1"/>
  <c r="BB414" i="1"/>
  <c r="F397" i="1"/>
  <c r="R153" i="1"/>
  <c r="F176" i="1"/>
  <c r="S194" i="1"/>
  <c r="F225" i="1"/>
  <c r="AZ153" i="1"/>
  <c r="F173" i="1"/>
  <c r="AZ316" i="1"/>
  <c r="AB242" i="1" l="1"/>
  <c r="O248" i="1"/>
  <c r="AW117" i="1"/>
  <c r="F127" i="1"/>
  <c r="CA153" i="1"/>
  <c r="AR162" i="1"/>
  <c r="BD18" i="1"/>
  <c r="F439" i="1"/>
  <c r="AR348" i="1"/>
  <c r="F382" i="1"/>
  <c r="AB30" i="1"/>
  <c r="O48" i="1"/>
  <c r="V26" i="1"/>
  <c r="V384" i="1"/>
  <c r="F339" i="1"/>
  <c r="F129" i="1"/>
  <c r="AY117" i="1"/>
  <c r="CD153" i="1"/>
  <c r="AU162" i="1"/>
  <c r="S26" i="1"/>
  <c r="F331" i="1"/>
  <c r="S384" i="1"/>
  <c r="AY30" i="1"/>
  <c r="F56" i="1"/>
  <c r="AW153" i="1"/>
  <c r="F168" i="1"/>
  <c r="BA26" i="1"/>
  <c r="F336" i="1"/>
  <c r="BA384" i="1"/>
  <c r="AY153" i="1"/>
  <c r="F170" i="1"/>
  <c r="AW194" i="1"/>
  <c r="F216" i="1"/>
  <c r="O280" i="1"/>
  <c r="F288" i="1"/>
  <c r="GP39" i="1"/>
  <c r="CD48" i="1" s="1"/>
  <c r="CA48" i="1"/>
  <c r="AS18" i="1"/>
  <c r="F431" i="1"/>
  <c r="O194" i="1"/>
  <c r="F212" i="1"/>
  <c r="AO18" i="1"/>
  <c r="F418" i="1"/>
  <c r="O153" i="1"/>
  <c r="F164" i="1"/>
  <c r="F359" i="1"/>
  <c r="AV348" i="1"/>
  <c r="F104" i="1"/>
  <c r="AU80" i="1"/>
  <c r="AZ26" i="1"/>
  <c r="F327" i="1"/>
  <c r="AZ384" i="1"/>
  <c r="X242" i="1"/>
  <c r="F274" i="1"/>
  <c r="CA194" i="1"/>
  <c r="AR210" i="1"/>
  <c r="E18" i="2"/>
  <c r="Q26" i="1"/>
  <c r="F328" i="1"/>
  <c r="Q384" i="1"/>
  <c r="BC18" i="1"/>
  <c r="F430" i="1"/>
  <c r="AV117" i="1"/>
  <c r="F126" i="1"/>
  <c r="AP18" i="1"/>
  <c r="F423" i="1"/>
  <c r="F360" i="1"/>
  <c r="AW348" i="1"/>
  <c r="F362" i="1"/>
  <c r="AY348" i="1"/>
  <c r="R26" i="1"/>
  <c r="F330" i="1"/>
  <c r="R384" i="1"/>
  <c r="BB18" i="1"/>
  <c r="F427" i="1"/>
  <c r="AT18" i="1"/>
  <c r="F432" i="1"/>
  <c r="F262" i="1"/>
  <c r="R242" i="1"/>
  <c r="CD194" i="1"/>
  <c r="AU210" i="1"/>
  <c r="F294" i="1"/>
  <c r="AY280" i="1"/>
  <c r="CE242" i="1"/>
  <c r="AV248" i="1"/>
  <c r="W26" i="1"/>
  <c r="F340" i="1"/>
  <c r="W384" i="1"/>
  <c r="AU248" i="1"/>
  <c r="CD242" i="1"/>
  <c r="CA117" i="1"/>
  <c r="AR121" i="1"/>
  <c r="AU286" i="1"/>
  <c r="CD280" i="1"/>
  <c r="V242" i="1"/>
  <c r="F271" i="1"/>
  <c r="AV194" i="1"/>
  <c r="F215" i="1"/>
  <c r="F113" i="1"/>
  <c r="AR80" i="1"/>
  <c r="CF242" i="1"/>
  <c r="AW248" i="1"/>
  <c r="X30" i="1"/>
  <c r="F74" i="1"/>
  <c r="X316" i="1"/>
  <c r="AQ18" i="1"/>
  <c r="F424" i="1"/>
  <c r="AR248" i="1"/>
  <c r="CA242" i="1"/>
  <c r="AU121" i="1"/>
  <c r="CD117" i="1"/>
  <c r="F291" i="1"/>
  <c r="AV280" i="1"/>
  <c r="AR286" i="1"/>
  <c r="CA280" i="1"/>
  <c r="F167" i="1"/>
  <c r="AV153" i="1"/>
  <c r="AU348" i="1"/>
  <c r="F373" i="1"/>
  <c r="F251" i="1"/>
  <c r="P242" i="1"/>
  <c r="F292" i="1"/>
  <c r="AW280" i="1"/>
  <c r="AX22" i="1"/>
  <c r="F391" i="1"/>
  <c r="AX414" i="1"/>
  <c r="AY194" i="1"/>
  <c r="F218" i="1"/>
  <c r="U26" i="1"/>
  <c r="U384" i="1"/>
  <c r="F338" i="1"/>
  <c r="P26" i="1"/>
  <c r="F319" i="1"/>
  <c r="P384" i="1"/>
  <c r="AV30" i="1"/>
  <c r="F53" i="1"/>
  <c r="AV316" i="1"/>
  <c r="T26" i="1"/>
  <c r="F337" i="1"/>
  <c r="T384" i="1"/>
  <c r="O117" i="1"/>
  <c r="F123" i="1"/>
  <c r="AW30" i="1"/>
  <c r="F54" i="1"/>
  <c r="AW316" i="1"/>
  <c r="AY248" i="1"/>
  <c r="CH242" i="1"/>
  <c r="Y30" i="1"/>
  <c r="F75" i="1"/>
  <c r="Y316" i="1"/>
  <c r="F275" i="1"/>
  <c r="Y242" i="1"/>
  <c r="Y26" i="1" l="1"/>
  <c r="F343" i="1"/>
  <c r="Y384" i="1"/>
  <c r="P22" i="1"/>
  <c r="F387" i="1"/>
  <c r="P414" i="1"/>
  <c r="AX18" i="1"/>
  <c r="F421" i="1"/>
  <c r="AU117" i="1"/>
  <c r="F140" i="1"/>
  <c r="F254" i="1"/>
  <c r="AW242" i="1"/>
  <c r="AU280" i="1"/>
  <c r="F305" i="1"/>
  <c r="F253" i="1"/>
  <c r="AV242" i="1"/>
  <c r="AR242" i="1"/>
  <c r="F276" i="1"/>
  <c r="F149" i="1"/>
  <c r="AR117" i="1"/>
  <c r="Q22" i="1"/>
  <c r="F396" i="1"/>
  <c r="Q414" i="1"/>
  <c r="CA30" i="1"/>
  <c r="AR48" i="1"/>
  <c r="BA22" i="1"/>
  <c r="F404" i="1"/>
  <c r="BA414" i="1"/>
  <c r="S22" i="1"/>
  <c r="F399" i="1"/>
  <c r="J16" i="2" s="1"/>
  <c r="J18" i="2" s="1"/>
  <c r="S414" i="1"/>
  <c r="V22" i="1"/>
  <c r="F407" i="1"/>
  <c r="V414" i="1"/>
  <c r="AR153" i="1"/>
  <c r="F190" i="1"/>
  <c r="AZ22" i="1"/>
  <c r="F395" i="1"/>
  <c r="AZ414" i="1"/>
  <c r="CD30" i="1"/>
  <c r="AU48" i="1"/>
  <c r="T22" i="1"/>
  <c r="F405" i="1"/>
  <c r="T414" i="1"/>
  <c r="AY242" i="1"/>
  <c r="F256" i="1"/>
  <c r="U22" i="1"/>
  <c r="U414" i="1"/>
  <c r="F406" i="1"/>
  <c r="F314" i="1"/>
  <c r="AR280" i="1"/>
  <c r="O30" i="1"/>
  <c r="F50" i="1"/>
  <c r="O316" i="1"/>
  <c r="AW26" i="1"/>
  <c r="AW384" i="1"/>
  <c r="F322" i="1"/>
  <c r="AV26" i="1"/>
  <c r="F321" i="1"/>
  <c r="AV384" i="1"/>
  <c r="X26" i="1"/>
  <c r="X384" i="1"/>
  <c r="F342" i="1"/>
  <c r="F267" i="1"/>
  <c r="AU242" i="1"/>
  <c r="AU194" i="1"/>
  <c r="F229" i="1"/>
  <c r="R22" i="1"/>
  <c r="F398" i="1"/>
  <c r="R414" i="1"/>
  <c r="AU153" i="1"/>
  <c r="F181" i="1"/>
  <c r="W22" i="1"/>
  <c r="W414" i="1"/>
  <c r="F408" i="1"/>
  <c r="O242" i="1"/>
  <c r="F250" i="1"/>
  <c r="AR194" i="1"/>
  <c r="F238" i="1"/>
  <c r="AY316" i="1"/>
  <c r="AW22" i="1" l="1"/>
  <c r="AW414" i="1"/>
  <c r="F390" i="1"/>
  <c r="U18" i="1"/>
  <c r="F436" i="1"/>
  <c r="AZ18" i="1"/>
  <c r="F425" i="1"/>
  <c r="S18" i="1"/>
  <c r="F429" i="1"/>
  <c r="Q18" i="1"/>
  <c r="F426" i="1"/>
  <c r="P18" i="1"/>
  <c r="F417" i="1"/>
  <c r="R18" i="1"/>
  <c r="F428" i="1"/>
  <c r="AY26" i="1"/>
  <c r="AY384" i="1"/>
  <c r="F324" i="1"/>
  <c r="X22" i="1"/>
  <c r="F410" i="1"/>
  <c r="X414" i="1"/>
  <c r="AV22" i="1"/>
  <c r="AV414" i="1"/>
  <c r="F389" i="1"/>
  <c r="T18" i="1"/>
  <c r="F435" i="1"/>
  <c r="BA18" i="1"/>
  <c r="F434" i="1"/>
  <c r="Y22" i="1"/>
  <c r="Y414" i="1"/>
  <c r="F411" i="1"/>
  <c r="O26" i="1"/>
  <c r="F318" i="1"/>
  <c r="O384" i="1"/>
  <c r="V18" i="1"/>
  <c r="F437" i="1"/>
  <c r="W18" i="1"/>
  <c r="F438" i="1"/>
  <c r="AU30" i="1"/>
  <c r="F67" i="1"/>
  <c r="AU316" i="1"/>
  <c r="AR30" i="1"/>
  <c r="F76" i="1"/>
  <c r="AR316" i="1"/>
  <c r="Y18" i="1" l="1"/>
  <c r="F441" i="1"/>
  <c r="X18" i="1"/>
  <c r="F440" i="1"/>
  <c r="AR26" i="1"/>
  <c r="F344" i="1"/>
  <c r="AR384" i="1"/>
  <c r="AV18" i="1"/>
  <c r="F419" i="1"/>
  <c r="O22" i="1"/>
  <c r="F386" i="1"/>
  <c r="O414" i="1"/>
  <c r="AW18" i="1"/>
  <c r="F420" i="1"/>
  <c r="AU26" i="1"/>
  <c r="F335" i="1"/>
  <c r="AU384" i="1"/>
  <c r="AY22" i="1"/>
  <c r="AY414" i="1"/>
  <c r="F392" i="1"/>
  <c r="AR22" i="1" l="1"/>
  <c r="F412" i="1"/>
  <c r="AR414" i="1"/>
  <c r="AY18" i="1"/>
  <c r="F422" i="1"/>
  <c r="O18" i="1"/>
  <c r="F416" i="1"/>
  <c r="AU22" i="1"/>
  <c r="AU414" i="1"/>
  <c r="F403" i="1"/>
  <c r="H16" i="2" s="1"/>
  <c r="AR18" i="1" l="1"/>
  <c r="F442" i="1"/>
  <c r="H18" i="2"/>
  <c r="I16" i="2"/>
  <c r="I18" i="2" s="1"/>
  <c r="AU18" i="1"/>
  <c r="F433" i="1"/>
  <c r="F443" i="1" l="1"/>
  <c r="F444" i="1"/>
</calcChain>
</file>

<file path=xl/sharedStrings.xml><?xml version="1.0" encoding="utf-8"?>
<sst xmlns="http://schemas.openxmlformats.org/spreadsheetml/2006/main" count="5986" uniqueCount="541">
  <si>
    <t>Smeta.RU  (495) 974-1589</t>
  </si>
  <si>
    <t>_PS_</t>
  </si>
  <si>
    <t>Smeta.RU</t>
  </si>
  <si>
    <t/>
  </si>
  <si>
    <t>Новый объект</t>
  </si>
  <si>
    <t>ГБОУ Школа №1440. Крылатские холмы д. 23 (в ценах на 01.04.2025 г)</t>
  </si>
  <si>
    <t>Сметные нормы списания</t>
  </si>
  <si>
    <t>Коды ОКП для СН-2012 Выпуск № 3 (в ценах на 01.04.2025 г)</t>
  </si>
  <si>
    <t>СН-2012 Выпуск № 3. (в ценах на 01.04.2025) глава_1-5, 7</t>
  </si>
  <si>
    <t>Типовой расчет для СН-2012 Выпуск №3 (в ценах на 01.04.2025 г)</t>
  </si>
  <si>
    <t>СН-2012 Выпуск № 3. База данных "Сборник стоимостных нормативов" в текущих ценах по состоянию на 01.04.2025 года</t>
  </si>
  <si>
    <t>Поправки для СН-2012 Выпуск № 3 в ценах на 01.04.2025 г от 02.04.2025</t>
  </si>
  <si>
    <t>Новая локальная смета</t>
  </si>
  <si>
    <t>Новый раздел</t>
  </si>
  <si>
    <t>Второй этаж, кабинет № 204</t>
  </si>
  <si>
    <t>Новый подраздел</t>
  </si>
  <si>
    <t>Полы</t>
  </si>
  <si>
    <t>1</t>
  </si>
  <si>
    <t>1.10-3404-5-1/1</t>
  </si>
  <si>
    <t>Разборка (снятие) металлической накладной полосы (порожка)</t>
  </si>
  <si>
    <t>100 м</t>
  </si>
  <si>
    <t>СН-2012.1 Выпуск № 3 (в текущих ценах по состоянию на 01.04.2025 г.). Сб.10-3404-5-1/1</t>
  </si>
  <si>
    <t>СН-2012</t>
  </si>
  <si>
    <t>Подрядные работы, гл. 1-5,7</t>
  </si>
  <si>
    <t>работа</t>
  </si>
  <si>
    <t>2</t>
  </si>
  <si>
    <t>1.10-3804-1-1/1</t>
  </si>
  <si>
    <t>Разборка деревянных плинтусов</t>
  </si>
  <si>
    <t>СН-2012.1 Выпуск № 3 (в текущих ценах по состоянию на 01.04.2025 г.). Сб.10-3804-1-1/1</t>
  </si>
  <si>
    <t>3</t>
  </si>
  <si>
    <t>1.10-3803-1-2/1</t>
  </si>
  <si>
    <t>Устройство плинтусов неокрашенных из древесины хвойных пород</t>
  </si>
  <si>
    <t>СН-2012.1 Выпуск № 3 (в текущих ценах по состоянию на 01.04.2025 г.). Сб.10-3803-1-2/1</t>
  </si>
  <si>
    <t>3,1</t>
  </si>
  <si>
    <t>цена пост.</t>
  </si>
  <si>
    <t>Плинтус деревянный сращенный ПКС-50 13x50x2200 мм хвоя Экстра (или эквивалент)</t>
  </si>
  <si>
    <t>м</t>
  </si>
  <si>
    <t>[104,55 / 1,2]</t>
  </si>
  <si>
    <t>0</t>
  </si>
  <si>
    <t>3,2</t>
  </si>
  <si>
    <t>21.9-12-58</t>
  </si>
  <si>
    <t>Плинтуса хвойных пород, неокрашенные, сечение 16х36 мм</t>
  </si>
  <si>
    <t>СН-2012.21 Выпуск № 3 (в текущих ценах по состоянию на 01.04.2025 г.). Сб.9-12-58</t>
  </si>
  <si>
    <t>4</t>
  </si>
  <si>
    <t>1.10-3403-5-6/1</t>
  </si>
  <si>
    <t>Покрытие полов лаком по огрунтованной или окрашенной поверхности за 2 раза (покрытие плинтуса морилкой)</t>
  </si>
  <si>
    <t>100 м2</t>
  </si>
  <si>
    <t>СН-2012.1 Выпуск № 3 (в текущих ценах по состоянию на 01.04.2025 г.). Сб.10-3403-5-6/1</t>
  </si>
  <si>
    <t>4,1</t>
  </si>
  <si>
    <t>21.1-8-4</t>
  </si>
  <si>
    <t>Морилка натуральная (в 2 слоя)</t>
  </si>
  <si>
    <t>кг</t>
  </si>
  <si>
    <t>СН-2012.21 Выпуск № 3 (в текущих ценах по состоянию на 01.04.2025 г.). Сб.1-8-4</t>
  </si>
  <si>
    <t>4,2</t>
  </si>
  <si>
    <t>21.1-6-81</t>
  </si>
  <si>
    <t>Лак мочевидный для паркетных полов</t>
  </si>
  <si>
    <t>т</t>
  </si>
  <si>
    <t>СН-2012.21 Выпуск № 3 (в текущих ценах по состоянию на 01.04.2025 г.). Сб.1-6-81</t>
  </si>
  <si>
    <t>5</t>
  </si>
  <si>
    <t>1.10-3405-2-1/1</t>
  </si>
  <si>
    <t>Укладка металлической накладной полосы (порожка)</t>
  </si>
  <si>
    <t>СН-2012.1 Выпуск № 3 (в текущих ценах по состоянию на 01.04.2025 г.). Сб.10-3405-2-1/1</t>
  </si>
  <si>
    <t>6</t>
  </si>
  <si>
    <t>1.10-3504-1-1/1</t>
  </si>
  <si>
    <t>Разборка покрытий из линолеума и релина</t>
  </si>
  <si>
    <t>СН-2012.1 Выпуск № 3 (в текущих ценах по состоянию на 01.04.2025 г.). Сб.10-3504-1-1/1</t>
  </si>
  <si>
    <t>7</t>
  </si>
  <si>
    <t>1.10-3103-2-11/1</t>
  </si>
  <si>
    <t>Устройство самовыравнивающихся стяжек из специализированных сухих смесей толщиной 5 мм</t>
  </si>
  <si>
    <t>СН-2012.1 Выпуск № 3 (в текущих ценах по состоянию на 01.04.2025 г.). Сб.10-3103-2-11/1</t>
  </si>
  <si>
    <t>8</t>
  </si>
  <si>
    <t>1.10-3203-5-1/2</t>
  </si>
  <si>
    <t>Устройство тепло - и звукоизоляции сплошной из вспененных рулонных материалов на клее под ковровые покрытия (с предварительным грунтованием поверхности, монтаж на клей)</t>
  </si>
  <si>
    <t>СН-2012.1 Выпуск № 3 (в текущих ценах по состоянию на 01.04.2025 г.). Сб.10-3203-5-1/2</t>
  </si>
  <si>
    <t>8,1</t>
  </si>
  <si>
    <t>Утеплитель односторонний фольгированный 2 мм (или эквивалент)</t>
  </si>
  <si>
    <t>м2</t>
  </si>
  <si>
    <t>[27,33 / 1,2]</t>
  </si>
  <si>
    <t>8,2</t>
  </si>
  <si>
    <t>21.1-14-38</t>
  </si>
  <si>
    <t>Материал рулонный неокрашенный, "Изолон", из вспененного полиэтилена, марка НПЭ-0,2, толщина 2 мм</t>
  </si>
  <si>
    <t>СН-2012.21 Выпуск № 3 (в текущих ценах по состоянию на 01.04.2025 г.). Сб.1-14-38</t>
  </si>
  <si>
    <t>9</t>
  </si>
  <si>
    <t>1.10-3503-1-5/2</t>
  </si>
  <si>
    <t>Устройство покрытий на клее из линолеума высокой износостойкости толщиной 2 мм, истираемостью группы Р со сваркой стыков</t>
  </si>
  <si>
    <t>СН-2012.1 Выпуск № 3 (в текущих ценах по состоянию на 01.04.2025 г.). Сб.10-3503-1-5/2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</si>
  <si>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</si>
  <si>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</si>
  <si>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</si>
  <si>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</si>
  <si>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</si>
  <si>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</si>
  <si>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</si>
  <si>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</si>
  <si>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</si>
  <si>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</si>
  <si>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</si>
  <si>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</si>
  <si>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</si>
  <si>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</si>
  <si>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</si>
  <si>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</si>
  <si>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</si>
  <si>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</si>
  <si>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</si>
  <si>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</si>
  <si>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</si>
  <si>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</si>
  <si>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</si>
  <si>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</si>
  <si>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</si>
  <si>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</si>
  <si>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</si>
  <si>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</si>
  <si>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</si>
  <si>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</si>
  <si>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</si>
  <si>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</si>
  <si>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</si>
  <si>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</si>
  <si>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</si>
  <si>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</si>
  <si>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</si>
  <si>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</si>
  <si>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</si>
  <si>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</si>
  <si>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</si>
  <si>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</si>
  <si>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</si>
  <si>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</si>
  <si>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</si>
  <si>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</si>
  <si>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</si>
  <si>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</si>
  <si>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</si>
  <si>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</si>
  <si>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</si>
  <si>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</si>
  <si>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</si>
  <si>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</si>
  <si>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Стены</t>
  </si>
  <si>
    <t>10</t>
  </si>
  <si>
    <t>1.13-3201-23-2/3</t>
  </si>
  <si>
    <t>Внутренняя окраска водно-дисперсионными акриловыми красками по ранее окрашенным поверхностям стен - с расчисткой старой краски до 35% / краска моющаяся типа ВД-АК-210</t>
  </si>
  <si>
    <t>СН-2012.1 Выпуск № 3 (в текущих ценах по состоянию на 01.04.2025 г.). Сб.13-3201-23-2/3</t>
  </si>
  <si>
    <t>10,1</t>
  </si>
  <si>
    <t>21.1-6-103</t>
  </si>
  <si>
    <t>Пигменты сухие для красок, охра золотистая (цвет по согласованию)</t>
  </si>
  <si>
    <t>СН-2012.21 Выпуск № 3 (в текущих ценах по состоянию на 01.04.2025 г.). Сб.1-6-103</t>
  </si>
  <si>
    <t>Потолок</t>
  </si>
  <si>
    <t>11</t>
  </si>
  <si>
    <t>1.13-3201-23-5/2</t>
  </si>
  <si>
    <t>Внутренняя окраска водно-дисперсионными акриловыми красками по ранее окрашенным поверхностям потолков - с расчисткой старой краски до 35% / краска влагостойкая типа ВД-АК-120</t>
  </si>
  <si>
    <t>СН-2012.1 Выпуск № 3 (в текущих ценах по состоянию на 01.04.2025 г.). Сб.13-3201-23-5/2</t>
  </si>
  <si>
    <t>Окна</t>
  </si>
  <si>
    <t>12</t>
  </si>
  <si>
    <t>1.13-3703-3-1/1</t>
  </si>
  <si>
    <t>Демонтаж Обрамление углов стен, откосов уголком ПВХ - вертикальные</t>
  </si>
  <si>
    <t>СН-2012.1 Выпуск № 3 (в текущих ценах по состоянию на 01.04.2025 г.). Сб.13-3703-3-1/1</t>
  </si>
  <si>
    <t>*0</t>
  </si>
  <si>
    <t>*0,2</t>
  </si>
  <si>
    <t>Поправка: СН-2012 О.П. п.22</t>
  </si>
  <si>
    <t>13</t>
  </si>
  <si>
    <t>1.13-3703-3-2/1</t>
  </si>
  <si>
    <t>Демонтаж Обрамление углов стен, откосов уголком ПВХ - горизонтальные</t>
  </si>
  <si>
    <t>СН-2012.1 Выпуск № 3 (в текущих ценах по состоянию на 01.04.2025 г.). Сб.13-3703-3-2/1</t>
  </si>
  <si>
    <t>14</t>
  </si>
  <si>
    <t>Обрамление углов стен, откосов уголком ПВХ - вертикальные</t>
  </si>
  <si>
    <t>14,1</t>
  </si>
  <si>
    <t>21.1-25-1068</t>
  </si>
  <si>
    <t>Уголки поливинилхлоридные декоративные для внутренней облицовки, внешние, размеры 40х40 мм, белые</t>
  </si>
  <si>
    <t>СН-2012.21 Выпуск № 3 (в текущих ценах по состоянию на 01.04.2025 г.). Сб.1-25-1068</t>
  </si>
  <si>
    <t>15</t>
  </si>
  <si>
    <t>Обрамление углов стен, откосов уголком ПВХ - горизонтальные</t>
  </si>
  <si>
    <t>15,1</t>
  </si>
  <si>
    <t>Инженерные сети</t>
  </si>
  <si>
    <t>16</t>
  </si>
  <si>
    <t>1.16-3204-1-1/1</t>
  </si>
  <si>
    <t>Демонтаж санитарно-технических приборов умывальников или раковин</t>
  </si>
  <si>
    <t>100 компл.</t>
  </si>
  <si>
    <t>СН-2012.1 Выпуск № 3 (в текущих ценах по состоянию на 01.04.2025 г.). Сб.16-3204-1-1/1</t>
  </si>
  <si>
    <t>17</t>
  </si>
  <si>
    <t>1.26-3103-3-1/2</t>
  </si>
  <si>
    <t>Демонтаж Установка штучных изделий столов, шкафов под мойки, холодильных шкафов и др. (без стоимости изделий)</t>
  </si>
  <si>
    <t>100 шт.</t>
  </si>
  <si>
    <t>СН-2012.1 Выпуск № 3 (в текущих ценах по состоянию на 01.04.2025 г.). Сб.26-3103-3-1/2</t>
  </si>
  <si>
    <t>)*0</t>
  </si>
  <si>
    <t>)*0,2</t>
  </si>
  <si>
    <t>18</t>
  </si>
  <si>
    <t>1.16-3203-1-6/1</t>
  </si>
  <si>
    <t>Установка умывальников одиночных с подводкой холодной и горячей воды / умывальник керамический полукруглый второй величины с переливом</t>
  </si>
  <si>
    <t>компл.</t>
  </si>
  <si>
    <t>СН-2012.1 Выпуск № 3 (в текущих ценах по состоянию на 01.04.2025 г.). Сб.16-3203-1-6/1</t>
  </si>
  <si>
    <t>18,1</t>
  </si>
  <si>
    <t>21.17-2-19</t>
  </si>
  <si>
    <t>Смесители для умывальников и моек двухрукояточные центральные набортные, излив с аэратором тип См-УмДЦБА</t>
  </si>
  <si>
    <t>шт.</t>
  </si>
  <si>
    <t>СН-2012.21 Выпуск № 3 (в текущих ценах по состоянию на 01.04.2025 г.). Сб.17-2-19</t>
  </si>
  <si>
    <t>18,2</t>
  </si>
  <si>
    <t>Цена пост.</t>
  </si>
  <si>
    <t>Сантехническая манжета для канализации MPF 50x25 (или эквивалент)</t>
  </si>
  <si>
    <t>[45 / 1,2]</t>
  </si>
  <si>
    <t>18,3</t>
  </si>
  <si>
    <t>18,4</t>
  </si>
  <si>
    <t>21.17-1-21</t>
  </si>
  <si>
    <t>Умывальники керамические полукруглые второй величины с переливом 1 отверстие</t>
  </si>
  <si>
    <t>СН-2012.21 Выпуск № 3 (в текущих ценах по состоянию на 01.04.2025 г.). Сб.17-1-21</t>
  </si>
  <si>
    <t>19</t>
  </si>
  <si>
    <t>Установка штучных изделий столов, шкафов под мойки, холодильных шкафов и др. (без стоимости изделий)</t>
  </si>
  <si>
    <t>19,1</t>
  </si>
  <si>
    <t>Тумба под раковину напольная SanStar Квадро 50см с раковиной цвет белый (или эквивалент)</t>
  </si>
  <si>
    <t>[12 061 / 1,2]</t>
  </si>
  <si>
    <t>20</t>
  </si>
  <si>
    <t>1.15-3103-4-1/1</t>
  </si>
  <si>
    <t>Монтаж гибких подводок к водогазоразборной арматуре / подводки с двумя латунными накидными гайками длиной 500 мм</t>
  </si>
  <si>
    <t>СН-2012.1 Выпуск № 3 (в текущих ценах по состоянию на 01.04.2025 г.). Сб.15-3103-4-1/1</t>
  </si>
  <si>
    <t>21</t>
  </si>
  <si>
    <t>1.15-3204-2-2/1</t>
  </si>
  <si>
    <t>Демонтаж муфтовой арматуры диаметром 20 мм</t>
  </si>
  <si>
    <t>10 шт.</t>
  </si>
  <si>
    <t>СН-2012.1 Выпуск № 3 (в текущих ценах по состоянию на 01.04.2025 г.). Сб.15-3204-2-2/1</t>
  </si>
  <si>
    <t>22</t>
  </si>
  <si>
    <t>1.15-3203-5-2/1</t>
  </si>
  <si>
    <t>Установка муфтовой арматуры диаметром 20 мм</t>
  </si>
  <si>
    <t>СН-2012.1 Выпуск № 3 (в текущих ценах по состоянию на 01.04.2025 г.). Сб.15-3203-5-2/1</t>
  </si>
  <si>
    <t>22,1</t>
  </si>
  <si>
    <t>21.13-4-40</t>
  </si>
  <si>
    <t>Краны латунные шаровые муфтовые проходные, марка 11б27п, диаметр 20 мм</t>
  </si>
  <si>
    <t>СН-2012.21 Выпуск № 3 (в текущих ценах по состоянию на 01.04.2025 г.). Сб.13-4-40</t>
  </si>
  <si>
    <t>Электрика</t>
  </si>
  <si>
    <t>23</t>
  </si>
  <si>
    <t>1.21-3102-8-2/1</t>
  </si>
  <si>
    <t>Замена электроустановочных изделий, открытая проводка, выключатель, розетка (без стоимости материалов)</t>
  </si>
  <si>
    <t>СН-2012.1 Выпуск № 3 (в текущих ценах по состоянию на 01.04.2025 г.). Сб.21-3102-8-2/1</t>
  </si>
  <si>
    <t>23,1</t>
  </si>
  <si>
    <t>Розетка 2х2P+E Schuko со шторками, 16A-250В, IP20 (или эквивалент)</t>
  </si>
  <si>
    <t>[342 / 1,2]</t>
  </si>
  <si>
    <t>23,2</t>
  </si>
  <si>
    <t>21.21-5-24</t>
  </si>
  <si>
    <t>Выключатели, серия "Прима", напряжение 250 В, сила тока 6 А, тип: А16-051, одноклавишный, открытой установки</t>
  </si>
  <si>
    <t>СН-2012.21 Выпуск № 3 (в текущих ценах по состоянию на 01.04.2025 г.). Сб.21-5-24</t>
  </si>
  <si>
    <t>Прочее</t>
  </si>
  <si>
    <t>24</t>
  </si>
  <si>
    <t>1.18-3202-1-1/1</t>
  </si>
  <si>
    <t>Смена вентиляционных решеток стальных штампованных, тип РШ, размеры 200х200 мм</t>
  </si>
  <si>
    <t>СН-2012.1 Выпуск № 3 (в текущих ценах по состоянию на 01.04.2025 г.). Сб.18-3202-1-1/1</t>
  </si>
  <si>
    <t>24,1</t>
  </si>
  <si>
    <t>21.19-11-52</t>
  </si>
  <si>
    <t>Решетки вентиляционные, жалюзийные, регулируемые, стальные, марка РС-Г, размер 625х225 мм (600х300 мм)</t>
  </si>
  <si>
    <t>СН-2012.21 Выпуск № 3 (в текущих ценах по состоянию на 01.04.2025 г.). Сб.19-11-52</t>
  </si>
  <si>
    <t>24,2</t>
  </si>
  <si>
    <t>21.19-11-22</t>
  </si>
  <si>
    <t>Решетки вентиляционные стальные штампованные, тип РШ, размеры 200х200 мм</t>
  </si>
  <si>
    <t>СН-2012.21 Выпуск № 3 (в текущих ценах по состоянию на 01.04.2025 г.). Сб.19-11-22</t>
  </si>
  <si>
    <t>Мусор</t>
  </si>
  <si>
    <t>25</t>
  </si>
  <si>
    <t>1.49-9101-7-1/1</t>
  </si>
  <si>
    <t>Механизированная погрузка строительного мусора в автомобили-самосвалы</t>
  </si>
  <si>
    <t>СН-2012.1 Выпуск № 3 (в текущих ценах по состоянию на 01.04.2025 г.). Сб.49-9101-7-1/1</t>
  </si>
  <si>
    <t>26</t>
  </si>
  <si>
    <t>1.49-9201-1-2/1</t>
  </si>
  <si>
    <t>Перевозка строительного мусора автосамосвалами грузоподъемностью до 10 т на расстояние 1 км - при механизированной погрузке</t>
  </si>
  <si>
    <t>СН-2012.1 Выпуск № 3 (в текущих ценах по состоянию на 01.04.2025 г.). Сб.49-9201-1-2/1</t>
  </si>
  <si>
    <t>Подрядные работы, гл. 1 перевозка мусора</t>
  </si>
  <si>
    <t>27</t>
  </si>
  <si>
    <t>1.49-9201-1-3/1</t>
  </si>
  <si>
    <t>Перевозка строительного мусора автосамосвалами грузоподъемностью до 10 т - добавляется на каждый последующий 1 км до 100 км</t>
  </si>
  <si>
    <t>СН-2012.1 Выпуск № 3 (в текущих ценах по состоянию на 01.04.2025 г.). Сб.49-9201-1-3/1</t>
  </si>
  <si>
    <t>*48</t>
  </si>
  <si>
    <t>НДС</t>
  </si>
  <si>
    <t>НДС 20%</t>
  </si>
  <si>
    <t>Итого</t>
  </si>
  <si>
    <t>Итого с НДС</t>
  </si>
  <si>
    <t>В случае указания на товарные знаки, фирменные наименования, патенты, модели, промышленные образцы или наименование производителя, следует читать со словами «или эквивалент»</t>
  </si>
  <si>
    <t>Уровень цен на 01.04.2025 г</t>
  </si>
  <si>
    <t>_OBSM_</t>
  </si>
  <si>
    <t>9999990008</t>
  </si>
  <si>
    <t>Трудозатраты рабочих</t>
  </si>
  <si>
    <t>чел.-ч.</t>
  </si>
  <si>
    <t>22.1-30-56</t>
  </si>
  <si>
    <t>СН-2012.22 Выпуск № 3 (в текущих ценах по состоянию на 01.04.2025 г.). Сб.1-30-56</t>
  </si>
  <si>
    <t>Шуруповерты</t>
  </si>
  <si>
    <t>маш.-ч</t>
  </si>
  <si>
    <t>9999990001</t>
  </si>
  <si>
    <t>Масса мусора</t>
  </si>
  <si>
    <t>21.1-11-46</t>
  </si>
  <si>
    <t>СН-2012.21 Выпуск № 3 (в текущих ценах по состоянию на 01.04.2025 г.). Сб.1-11-46</t>
  </si>
  <si>
    <t>Гвозди строительные</t>
  </si>
  <si>
    <t>22.1-30-102</t>
  </si>
  <si>
    <t>СН-2012.22 Выпуск № 3 (в текущих ценах по состоянию на 01.04.2025 г.). Сб.1-30-102</t>
  </si>
  <si>
    <t>Дрели электрические, двухскоростные, мощностью 600 Вт</t>
  </si>
  <si>
    <t>22.1-30-27</t>
  </si>
  <si>
    <t>СН-2012.22 Выпуск № 3 (в текущих ценах по состоянию на 01.04.2025 г.). Сб.1-30-27</t>
  </si>
  <si>
    <t>Пилы дисковые электрические для резки пиломатериалов</t>
  </si>
  <si>
    <t>21.1-11-32</t>
  </si>
  <si>
    <t>СН-2012.21 Выпуск № 3 (в текущих ценах по состоянию на 01.04.2025 г.). Сб.1-11-32</t>
  </si>
  <si>
    <t>Винты самонарезающие оцинкованные, длина 25 мм</t>
  </si>
  <si>
    <t>21.7-12-1</t>
  </si>
  <si>
    <t>СН-2012.21 Выпуск № 3 (в текущих ценах по состоянию на 01.04.2025 г.). Сб.7-12-1</t>
  </si>
  <si>
    <t>Профили алюминиевые, ширина 40 мм, марка СПА 3505</t>
  </si>
  <si>
    <t>22.1-14-13</t>
  </si>
  <si>
    <t>СН-2012.22 Выпуск № 3 (в текущих ценах по состоянию на 01.04.2025 г.). Сб.1-14-13</t>
  </si>
  <si>
    <t>Пылесосы, потребляемая мощность 350-1200 Вт</t>
  </si>
  <si>
    <t>22.1-30-103</t>
  </si>
  <si>
    <t>СН-2012.22 Выпуск № 3 (в текущих ценах по состоянию на 01.04.2025 г.). Сб.1-30-103</t>
  </si>
  <si>
    <t>Перфораторы электрические, мощность до 800 Вт</t>
  </si>
  <si>
    <t>22.1-4-1</t>
  </si>
  <si>
    <t>СН-2012.22 Выпуск № 3 (в текущих ценах по состоянию на 01.04.2025 г.). Сб.1-4-1</t>
  </si>
  <si>
    <t>Погрузчики универсальные на пневмоколесном ходу, грузоподъемность до 1 т</t>
  </si>
  <si>
    <t>21.1-25-13</t>
  </si>
  <si>
    <t>СН-2012.21 Выпуск № 3 (в текущих ценах по состоянию на 01.04.2025 г.). Сб.1-25-13</t>
  </si>
  <si>
    <t>Вода</t>
  </si>
  <si>
    <t>м3</t>
  </si>
  <si>
    <t>21.1-25-257</t>
  </si>
  <si>
    <t>СН-2012.21 Выпуск № 3 (в текущих ценах по состоянию на 01.04.2025 г.). Сб.1-25-257</t>
  </si>
  <si>
    <t>Пленка полиэтиленовая, толщина 80 мкм</t>
  </si>
  <si>
    <t>21.1-6-183</t>
  </si>
  <si>
    <t>СН-2012.21 Выпуск № 3 (в текущих ценах по состоянию на 01.04.2025 г.). Сб.1-6-183</t>
  </si>
  <si>
    <t>Грунтовка водно-дисперсионная на акриловых сополимерах с токопроводящими добавками</t>
  </si>
  <si>
    <t>21.3-2-120</t>
  </si>
  <si>
    <t>СН-2012.21 Выпуск № 3 (в текущих ценах по состоянию на 01.04.2025 г.). Сб.3-2-120</t>
  </si>
  <si>
    <t>Смеси сухие цементно-песчаные для устройства стяжки, самовыравнивающиеся: В15 (М200), F50</t>
  </si>
  <si>
    <t>21.1-25-100</t>
  </si>
  <si>
    <t>СН-2012.21 Выпуск № 3 (в текущих ценах по состоянию на 01.04.2025 г.). Сб.1-25-100</t>
  </si>
  <si>
    <t>Клей водно-дисперсионный акриловый, универсальный для укладки поливинилхлоридных и текстильных покрытий</t>
  </si>
  <si>
    <t>21.1-6-165</t>
  </si>
  <si>
    <t>СН-2012.21 Выпуск № 3 (в текущих ценах по состоянию на 01.04.2025 г.). Сб.1-6-165</t>
  </si>
  <si>
    <t>Грунтовка водно-дисперсионная высококонцентрированная глубокопроникающая универсальная</t>
  </si>
  <si>
    <t>22.1-17-156</t>
  </si>
  <si>
    <t>СН-2012.22 Выпуск № 3 (в текущих ценах по состоянию на 01.04.2025 г.). Сб.1-17-156</t>
  </si>
  <si>
    <t>Фены строительные, мощность 2 кВт</t>
  </si>
  <si>
    <t>22.1-30-23</t>
  </si>
  <si>
    <t>СН-2012.22 Выпуск № 3 (в текущих ценах по состоянию на 01.04.2025 г.). Сб.1-30-23</t>
  </si>
  <si>
    <t>Приспособления для снятия фасок</t>
  </si>
  <si>
    <t>21.1-25-736</t>
  </si>
  <si>
    <t>СН-2012.21 Выпуск № 3 (в текущих ценах по состоянию на 01.04.2025 г.). Сб.1-25-736</t>
  </si>
  <si>
    <t>Линолеум поливинилхлоридный высокой износостойкости, класс 34/43, истираемость 110 (86) мкм (Р), группа горючести Г1, толщина 2 мм</t>
  </si>
  <si>
    <t>21.1-25-748</t>
  </si>
  <si>
    <t>СН-2012.21 Выпуск № 3 (в текущих ценах по состоянию на 01.04.2025 г.). Сб.1-25-748</t>
  </si>
  <si>
    <t>Шнур для сварки швов поливинилхлоридного линолеума</t>
  </si>
  <si>
    <t>21.1-20-7</t>
  </si>
  <si>
    <t>СН-2012.21 Выпуск № 3 (в текущих ценах по состоянию на 01.04.2025 г.). Сб.1-20-7</t>
  </si>
  <si>
    <t>Ветошь</t>
  </si>
  <si>
    <t>21.1-25-388</t>
  </si>
  <si>
    <t>СН-2012.21 Выпуск № 3 (в текущих ценах по состоянию на 01.04.2025 г.). Сб.1-25-388</t>
  </si>
  <si>
    <t>Шкурка шлифовальная на бумажной основе</t>
  </si>
  <si>
    <t>21.1-25-404</t>
  </si>
  <si>
    <t>СН-2012.21 Выпуск № 3 (в текущих ценах по состоянию на 01.04.2025 г.). Сб.1-25-404</t>
  </si>
  <si>
    <t>Шпатлевка водно-дисперсионная акриловая</t>
  </si>
  <si>
    <t>21.1-6-219</t>
  </si>
  <si>
    <t>СН-2012.21 Выпуск № 3 (в текущих ценах по состоянию на 01.04.2025 г.). Сб.1-6-219</t>
  </si>
  <si>
    <t>Краски водно-дисперсионные акриловые износостойкие, интерьерные, моющиеся, типа ВД-АК-210, белые</t>
  </si>
  <si>
    <t>21.1-6-221</t>
  </si>
  <si>
    <t>СН-2012.21 Выпуск № 3 (в текущих ценах по состоянию на 01.04.2025 г.). Сб.1-6-221</t>
  </si>
  <si>
    <t>Грунтовка водно-дисперсионная акриловая укрепляющая для минеральных поверхностей, типа ВД-АК-0110</t>
  </si>
  <si>
    <t>21.1-6-218</t>
  </si>
  <si>
    <t>СН-2012.21 Выпуск № 3 (в текущих ценах по состоянию на 01.04.2025 г.). Сб.1-6-218</t>
  </si>
  <si>
    <t>Краски водно-дисперсионные акриловые износостойкие, интерьерные и фасадные, влагостойкие, типа ВД-АК-120, белые</t>
  </si>
  <si>
    <t>21.1-25-152</t>
  </si>
  <si>
    <t>СН-2012.21 Выпуск № 3 (в текущих ценах по состоянию на 01.04.2025 г.). Сб.1-25-152</t>
  </si>
  <si>
    <t>Лента-скотч малярный, ширина 50 мм</t>
  </si>
  <si>
    <t>21.1-25-85</t>
  </si>
  <si>
    <t>СН-2012.21 Выпуск № 3 (в текущих ценах по состоянию на 01.04.2025 г.). Сб.1-25-85</t>
  </si>
  <si>
    <t>Клей акриловый универсальный, водостойкий</t>
  </si>
  <si>
    <t>л</t>
  </si>
  <si>
    <t>21.1-11-84</t>
  </si>
  <si>
    <t>СН-2012.21 Выпуск № 3 (в текущих ценах по состоянию на 01.04.2025 г.). Сб.1-11-84</t>
  </si>
  <si>
    <t>Поковки строительные (скобы, закрепы, хомуты) простые, масса 1,8 кг</t>
  </si>
  <si>
    <t>21.9-12-46</t>
  </si>
  <si>
    <t>СН-2012.21 Выпуск № 3 (в текущих ценах по состоянию на 01.04.2025 г.). Сб.9-12-46</t>
  </si>
  <si>
    <t>Раскладки хвойных пород, окрашенные, сечение 19х13(24) мм</t>
  </si>
  <si>
    <t>21.1-11-125</t>
  </si>
  <si>
    <t>СН-2012.21 Выпуск № 3 (в текущих ценах по состоянию на 01.04.2025 г.). Сб.1-11-125</t>
  </si>
  <si>
    <t>Шурупы с потайной головкой, черные, размер 8,0х100 мм</t>
  </si>
  <si>
    <t>21.1-11-198</t>
  </si>
  <si>
    <t>СН-2012.21 Выпуск № 3 (в текущих ценах по состоянию на 01.04.2025 г.). Сб.1-11-198</t>
  </si>
  <si>
    <t>Дюбели пластмассовые</t>
  </si>
  <si>
    <t>21.1-25-16</t>
  </si>
  <si>
    <t>СН-2012.21 Выпуск № 3 (в текущих ценах по состоянию на 01.04.2025 г.). Сб.1-25-16</t>
  </si>
  <si>
    <t>Волокно льняное №11 для уплотнения резьбовых соединений при монтаже систем водоснабжения и отопления</t>
  </si>
  <si>
    <t>21.1-25-56</t>
  </si>
  <si>
    <t>СН-2012.21 Выпуск № 3 (в текущих ценах по состоянию на 01.04.2025 г.). Сб.1-25-56</t>
  </si>
  <si>
    <t>Замазка суриковая</t>
  </si>
  <si>
    <t>21.1-6-46</t>
  </si>
  <si>
    <t>СН-2012.21 Выпуск № 3 (в текущих ценах по состоянию на 01.04.2025 г.). Сб.1-6-46</t>
  </si>
  <si>
    <t>Краски масляные жидкотертые цветные (готовые к употреблению) для наружных и внутренних работ, марка МА-15, сурик железный для окраски по металлу</t>
  </si>
  <si>
    <t>21.1-6-90</t>
  </si>
  <si>
    <t>СН-2012.21 Выпуск № 3 (в текущих ценах по состоянию на 01.04.2025 г.). Сб.1-6-90</t>
  </si>
  <si>
    <t>Олифа для окраски комбинированная оксоль</t>
  </si>
  <si>
    <t>21.17-2-12</t>
  </si>
  <si>
    <t>СН-2012.21 Выпуск № 3 (в текущих ценах по состоянию на 01.04.2025 г.). Сб.17-2-12</t>
  </si>
  <si>
    <t>Кронштейны чугунные для умывальников и моек скрытый большой КСБ, длина 320 мм</t>
  </si>
  <si>
    <t>21.17-2-15</t>
  </si>
  <si>
    <t>СН-2012.21 Выпуск № 3 (в текущих ценах по состоянию на 01.04.2025 г.). Сб.17-2-15</t>
  </si>
  <si>
    <t>Сифоны бутылочные из цветных металлов, латунные</t>
  </si>
  <si>
    <t>21.12-5-61</t>
  </si>
  <si>
    <t>СН-2012.21 Выпуск № 3 (в текущих ценах по состоянию на 01.04.2025 г.). Сб.12-5-61</t>
  </si>
  <si>
    <t>Подводки к водоразборной арматуре, с двумя латунными накидными гайками, длина 500 мм</t>
  </si>
  <si>
    <t>21.1-2-2</t>
  </si>
  <si>
    <t>СН-2012.21 Выпуск № 3 (в текущих ценах по состоянию на 01.04.2025 г.). Сб.1-2-2</t>
  </si>
  <si>
    <t>Гипсовые вяжущие (гипс) для штукатурных работ</t>
  </si>
  <si>
    <t>22.1-1-5</t>
  </si>
  <si>
    <t>СН-2012.22 Выпуск № 3 (в текущих ценах по состоянию на 01.04.2025 г.). Сб.1-1-5</t>
  </si>
  <si>
    <t>Экскаваторы на гусеничном ходу гидравлические, объем ковша до 0,65 м3</t>
  </si>
  <si>
    <t>22.1-18-12</t>
  </si>
  <si>
    <t>СН-2012.22 Выпуск № 3 (в текущих ценах по состоянию на 01.04.2025 г.). Сб.1-18-12</t>
  </si>
  <si>
    <t>Автомобили-самосвалы, грузоподъемность до 7 т</t>
  </si>
  <si>
    <t>22.1-18-13</t>
  </si>
  <si>
    <t>СН-2012.22 Выпуск № 3 (в текущих ценах по состоянию на 01.04.2025 г.). Сб.1-18-13</t>
  </si>
  <si>
    <t>Автомобили-самосвалы, грузоподъемность до 10 т</t>
  </si>
  <si>
    <t>5772115000</t>
  </si>
  <si>
    <t>Уголки поливинилхлоридные декоративные для внутренней облицовки</t>
  </si>
  <si>
    <t>СН-2012 О.П. п.22</t>
  </si>
  <si>
    <t>О.П.</t>
  </si>
  <si>
    <t>Демонтаж, разборка отдельных бетонных, железобетонных, металлических, деревянных, пластмассовых конструктивных элементов зданий и сооружений, внутренних и наружных инженерных систем и коммуникаций при отсутствии необходимых стоимостных нормативов в сборниках СН-2012</t>
  </si>
  <si>
    <t>Поправка: СН-2012 О.П. п.22 Наименование: Демонтаж, разборка отдельных бетонных, железобетонных, металлических, деревянных, пластмассовых конструктивных элементов зданий и сооружений, внутренних и наружных инженерных систем и коммуникаций при отсутствии необходимых стоимостных нормативов в сборниках СН-2012</t>
  </si>
  <si>
    <t>Поправка: СН-2012 О.П. п.22  Наименование: Демонтаж, разборка отдельных бетонных, железобетонных, металлических, деревянных, пластмассовых конструктивных элементов зданий и сооружений, внутренних и наружных инженерных систем и коммуникаций при отсутствии необходимых стоимостных нормативов в сборниках СН-2012</t>
  </si>
  <si>
    <t>"СОГЛАСОВАНО"</t>
  </si>
  <si>
    <t>"УТВЕРЖДАЮ"</t>
  </si>
  <si>
    <t>Форма № 1а (глава 1-5)</t>
  </si>
  <si>
    <t>"_____"________________ 2025 г.</t>
  </si>
  <si>
    <t>(локальный сметный расчет)</t>
  </si>
  <si>
    <t>(наименование работ и затрат, наименование объекта)</t>
  </si>
  <si>
    <t>Сметная стоимость</t>
  </si>
  <si>
    <t>тыс.руб</t>
  </si>
  <si>
    <t>Строительные работы</t>
  </si>
  <si>
    <t>Монтажные работы</t>
  </si>
  <si>
    <t>Оборудование</t>
  </si>
  <si>
    <t>Прочие работы</t>
  </si>
  <si>
    <t>Средства на оплату труда</t>
  </si>
  <si>
    <t>№№ п/п</t>
  </si>
  <si>
    <t>Шифр расценки и коды ресурсов</t>
  </si>
  <si>
    <t>Наименование работ и затрат</t>
  </si>
  <si>
    <t>Единица измерения</t>
  </si>
  <si>
    <t>Кол-во единиц</t>
  </si>
  <si>
    <t>Цена на ед. изм. руб.</t>
  </si>
  <si>
    <t>Попра-вочные коэфф.</t>
  </si>
  <si>
    <t>Коэфф. зимних удоро-жаний</t>
  </si>
  <si>
    <t>Коэфф. пересчета</t>
  </si>
  <si>
    <t>ВСЕГО затрат, руб.</t>
  </si>
  <si>
    <t>Справочно</t>
  </si>
  <si>
    <t>ЗТР, всего чел.-час</t>
  </si>
  <si>
    <t>Ст-ть ед. с начислен.</t>
  </si>
  <si>
    <t>Составлен(а) в уровне текущих (прогнозных) цен на II квартал 2025 года</t>
  </si>
  <si>
    <t>ЗП</t>
  </si>
  <si>
    <t>ЭМ</t>
  </si>
  <si>
    <t>НР от ЗП</t>
  </si>
  <si>
    <t>%</t>
  </si>
  <si>
    <t>СП от ЗП</t>
  </si>
  <si>
    <t>ЗТР</t>
  </si>
  <si>
    <t>чел-ч</t>
  </si>
  <si>
    <t>МР</t>
  </si>
  <si>
    <r>
      <t>Плинтус деревянный сращенный ПКС-50 13x50x2200 мм хвоя Экстра (или эквивалент)</t>
    </r>
    <r>
      <rPr>
        <i/>
        <sz val="10"/>
        <rFont val="Arial"/>
        <family val="2"/>
        <charset val="204"/>
      </rPr>
      <t xml:space="preserve">
87,13 = [104,55 / 1,2]</t>
    </r>
  </si>
  <si>
    <t>Исключен
Плинтуса хвойных пород, неокрашенные, сечение 16х36 мм</t>
  </si>
  <si>
    <t>Исключен
Лак мочевидный для паркетных полов</t>
  </si>
  <si>
    <t>в т.ч. ЗПМ</t>
  </si>
  <si>
    <t>НР и СП от ЗПМ</t>
  </si>
  <si>
    <r>
      <t>Утеплитель односторонний фольгированный 2 мм (или эквивалент)</t>
    </r>
    <r>
      <rPr>
        <i/>
        <sz val="10"/>
        <rFont val="Arial"/>
        <family val="2"/>
        <charset val="204"/>
      </rPr>
      <t xml:space="preserve">
22,78 = [27,33 / 1,2]</t>
    </r>
  </si>
  <si>
    <t>Исключен
Материал рулонный неокрашенный, "Изолон", из вспененного полиэтилена, марка НПЭ-0,2, толщина 2 мм</t>
  </si>
  <si>
    <r>
      <t>1.13-3703-3-1/1</t>
    </r>
    <r>
      <rPr>
        <i/>
        <sz val="10"/>
        <rFont val="Arial"/>
        <family val="2"/>
        <charset val="204"/>
      </rPr>
      <t xml:space="preserve">
Поправка: СН-2012 О.П. п.22</t>
    </r>
  </si>
  <si>
    <r>
      <t>Демонтаж Обрамление углов стен, откосов уголком ПВХ - вертикальные</t>
    </r>
    <r>
      <rPr>
        <i/>
        <sz val="10"/>
        <rFont val="Arial"/>
        <family val="2"/>
        <charset val="204"/>
      </rPr>
      <t xml:space="preserve">
Поправка: СН-2012 О.П. п.22 Наименование: Демонтаж, разборка отдельных бетонных, железобетонных, металлических, деревянных, пластмассовых конструктивных элементов зданий и сооружений, внутренних и наружных инженерных систем и коммуникаций при отсутствии необходимых стоимостных нормативов в сборниках СН-2012</t>
    </r>
  </si>
  <si>
    <r>
      <t>1.13-3703-3-2/1</t>
    </r>
    <r>
      <rPr>
        <i/>
        <sz val="10"/>
        <rFont val="Arial"/>
        <family val="2"/>
        <charset val="204"/>
      </rPr>
      <t xml:space="preserve">
Поправка: СН-2012 О.П. п.22</t>
    </r>
  </si>
  <si>
    <r>
      <t>Демонтаж Обрамление углов стен, откосов уголком ПВХ - горизонтальные</t>
    </r>
    <r>
      <rPr>
        <i/>
        <sz val="10"/>
        <rFont val="Arial"/>
        <family val="2"/>
        <charset val="204"/>
      </rPr>
      <t xml:space="preserve">
Поправка: СН-2012 О.П. п.22 Наименование: Демонтаж, разборка отдельных бетонных, железобетонных, металлических, деревянных, пластмассовых конструктивных элементов зданий и сооружений, внутренних и наружных инженерных систем и коммуникаций при отсутствии необходимых стоимостных нормативов в сборниках СН-2012</t>
    </r>
  </si>
  <si>
    <r>
      <t>1.26-3103-3-1/2</t>
    </r>
    <r>
      <rPr>
        <i/>
        <sz val="10"/>
        <rFont val="Arial"/>
        <family val="2"/>
        <charset val="204"/>
      </rPr>
      <t xml:space="preserve">
Поправка: СН-2012 О.П. п.22</t>
    </r>
  </si>
  <si>
    <r>
      <t>Демонтаж Установка штучных изделий столов, шкафов под мойки, холодильных шкафов и др. (без стоимости изделий)</t>
    </r>
    <r>
      <rPr>
        <i/>
        <sz val="10"/>
        <rFont val="Arial"/>
        <family val="2"/>
        <charset val="204"/>
      </rPr>
      <t xml:space="preserve">
Поправка: СН-2012 О.П. п.22  Наименование: Демонтаж, разборка отдельных бетонных, железобетонных, металлических, деревянных, пластмассовых конструктивных элементов зданий и сооружений, внутренних и наружных инженерных систем и коммуникаций при отсутствии необходимых стоимостных нормативов в сборниках СН-2012</t>
    </r>
  </si>
  <si>
    <r>
      <t>Сантехническая манжета для канализации MPF 50x25 (или эквивалент)</t>
    </r>
    <r>
      <rPr>
        <i/>
        <sz val="10"/>
        <rFont val="Arial"/>
        <family val="2"/>
        <charset val="204"/>
      </rPr>
      <t xml:space="preserve">
37,50 = [45 / 1,2]</t>
    </r>
  </si>
  <si>
    <t>Исключен
Смесители для умывальников и моек двухрукояточные центральные набортные, излив с аэратором тип См-УмДЦБА</t>
  </si>
  <si>
    <t>Исключен
Умывальники керамические полукруглые второй величины с переливом 1 отверстие</t>
  </si>
  <si>
    <r>
      <t>Тумба под раковину напольная SanStar Квадро 50см с раковиной цвет белый (или эквивалент)</t>
    </r>
    <r>
      <rPr>
        <i/>
        <sz val="10"/>
        <rFont val="Arial"/>
        <family val="2"/>
        <charset val="204"/>
      </rPr>
      <t xml:space="preserve">
10 050,83 = [12 061 / 1,2]</t>
    </r>
  </si>
  <si>
    <r>
      <t>Розетка 2х2P+E Schuko со шторками, 16A-250В, IP20 (или эквивалент)</t>
    </r>
    <r>
      <rPr>
        <i/>
        <sz val="10"/>
        <rFont val="Arial"/>
        <family val="2"/>
        <charset val="204"/>
      </rPr>
      <t xml:space="preserve">
285,00 = [342 / 1,2]</t>
    </r>
  </si>
  <si>
    <t>Исключен
Решетки вентиляционные стальные штампованные, тип РШ, размеры 200х200 мм</t>
  </si>
  <si>
    <t xml:space="preserve">Составил   </t>
  </si>
  <si>
    <t>[должность,подпись(инициалы,фамилия)]</t>
  </si>
  <si>
    <t xml:space="preserve">Проверил   </t>
  </si>
  <si>
    <t>" ___ " ___________ 20 ___ г.</t>
  </si>
  <si>
    <t xml:space="preserve">Мы, нижеподписавшиеся, произвели осмотр объекта </t>
  </si>
  <si>
    <t xml:space="preserve">и постановили произвести ремонт объекта в </t>
  </si>
  <si>
    <t>следующем объеме:</t>
  </si>
  <si>
    <t>№ п/п</t>
  </si>
  <si>
    <t>Количество</t>
  </si>
  <si>
    <t>Примечание</t>
  </si>
  <si>
    <t>Заказчик _________________</t>
  </si>
  <si>
    <t>Подрядчик _________________</t>
  </si>
  <si>
    <t>TYPE</t>
  </si>
  <si>
    <t>SOURCE_LINK</t>
  </si>
  <si>
    <t>RABMAT_EX</t>
  </si>
  <si>
    <t>TIP_RAB</t>
  </si>
  <si>
    <t>TYPE_TRUD</t>
  </si>
  <si>
    <t>TAB</t>
  </si>
  <si>
    <t>NAME</t>
  </si>
  <si>
    <t>EDIZM</t>
  </si>
  <si>
    <t>KOLL</t>
  </si>
  <si>
    <t>UCH</t>
  </si>
  <si>
    <t>PRICE_B</t>
  </si>
  <si>
    <t>PRICE_ED</t>
  </si>
  <si>
    <t>STOIM_B</t>
  </si>
  <si>
    <t>PRICE_C</t>
  </si>
  <si>
    <t>STOIM_C</t>
  </si>
  <si>
    <t>ZPM_B</t>
  </si>
  <si>
    <t>ZPM_ED</t>
  </si>
  <si>
    <t>STOIM_ZPM_B</t>
  </si>
  <si>
    <t>ZPM_C</t>
  </si>
  <si>
    <t>STOIM_ZPM_C</t>
  </si>
  <si>
    <t>CRC_GR_RES</t>
  </si>
  <si>
    <t>CRC_B</t>
  </si>
  <si>
    <t>CRC_C</t>
  </si>
  <si>
    <t>RABMAT</t>
  </si>
  <si>
    <t>WBS</t>
  </si>
  <si>
    <t>CBSI</t>
  </si>
  <si>
    <t>CBSII</t>
  </si>
  <si>
    <t>TechSpecCVORPP</t>
  </si>
  <si>
    <t>BuildingFinished</t>
  </si>
  <si>
    <t>PEREVOZKA</t>
  </si>
  <si>
    <t>Trud</t>
  </si>
  <si>
    <t>Mash</t>
  </si>
  <si>
    <t>Mat</t>
  </si>
  <si>
    <t>MatZak</t>
  </si>
  <si>
    <t>Oborud</t>
  </si>
  <si>
    <t>OborudZak</t>
  </si>
  <si>
    <t>ZeroStoim</t>
  </si>
  <si>
    <t>NegativeKoll</t>
  </si>
  <si>
    <t>ReUnionKollResurcy</t>
  </si>
  <si>
    <t>UnionOneUchRes</t>
  </si>
  <si>
    <t>IdLevel</t>
  </si>
  <si>
    <t>ViewCodes</t>
  </si>
  <si>
    <t>UnionCodes</t>
  </si>
  <si>
    <t>Ресурсная ведомость на</t>
  </si>
  <si>
    <t>Объект: ГБОУ Школа №1440. Крылатские холмы д. 23 (в ценах на 01.04.2025 г)</t>
  </si>
  <si>
    <t>Обоснование</t>
  </si>
  <si>
    <t>Наименование</t>
  </si>
  <si>
    <t>Объем</t>
  </si>
  <si>
    <t>Базовая</t>
  </si>
  <si>
    <t>цена</t>
  </si>
  <si>
    <t>стоимость</t>
  </si>
  <si>
    <t xml:space="preserve">Машины и механизмы </t>
  </si>
  <si>
    <t xml:space="preserve">Итого машины и механизмы </t>
  </si>
  <si>
    <t xml:space="preserve">Материальные ресурсы </t>
  </si>
  <si>
    <t xml:space="preserve">Итого материальные ресурсы </t>
  </si>
  <si>
    <t>Заместитель директора ГБОУ Школа №1440</t>
  </si>
  <si>
    <t>_____________________________А.Г. Абалян</t>
  </si>
  <si>
    <t>_____________________А.Г. Абалян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</si>
</sst>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mm"/>
    <numFmt numFmtId="165" formatCode="#,##0.00;[Red]\-\ #,##0.00"/>
  </numFmts>
  <fonts count="19" x14ac:knownFonts="1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b/>
      <sz val="10"/>
      <color indexed="14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i/>
      <sz val="11"/>
      <name val="Arial"/>
      <family val="2"/>
      <charset val="204"/>
    </font>
    <font>
      <sz val="13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9" fillId="0" borderId="0" xfId="0" applyFont="1"/>
    <xf numFmtId="0" fontId="10" fillId="0" borderId="0" xfId="0" applyFont="1" applyAlignment="1">
      <alignment horizontal="right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wrapText="1"/>
    </xf>
    <xf numFmtId="164" fontId="10" fillId="0" borderId="0" xfId="0" applyNumberFormat="1" applyFont="1"/>
    <xf numFmtId="1" fontId="10" fillId="0" borderId="0" xfId="0" applyNumberFormat="1" applyFont="1"/>
    <xf numFmtId="0" fontId="10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15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165" fontId="10" fillId="0" borderId="0" xfId="0" applyNumberFormat="1" applyFont="1" applyAlignment="1">
      <alignment horizontal="right"/>
    </xf>
    <xf numFmtId="0" fontId="8" fillId="0" borderId="0" xfId="0" applyFont="1" applyAlignment="1">
      <alignment vertical="top" wrapText="1"/>
    </xf>
    <xf numFmtId="165" fontId="0" fillId="0" borderId="0" xfId="0" applyNumberFormat="1"/>
    <xf numFmtId="0" fontId="17" fillId="0" borderId="0" xfId="0" applyFont="1" applyAlignment="1">
      <alignment horizontal="right"/>
    </xf>
    <xf numFmtId="0" fontId="0" fillId="0" borderId="6" xfId="0" applyBorder="1"/>
    <xf numFmtId="165" fontId="17" fillId="0" borderId="6" xfId="0" applyNumberFormat="1" applyFont="1" applyBorder="1" applyAlignment="1">
      <alignment horizontal="right"/>
    </xf>
    <xf numFmtId="0" fontId="10" fillId="0" borderId="0" xfId="0" quotePrefix="1" applyFont="1" applyAlignment="1">
      <alignment horizontal="right" wrapText="1"/>
    </xf>
    <xf numFmtId="165" fontId="15" fillId="0" borderId="0" xfId="0" applyNumberFormat="1" applyFont="1" applyAlignment="1">
      <alignment horizontal="right"/>
    </xf>
    <xf numFmtId="0" fontId="17" fillId="0" borderId="0" xfId="0" applyFont="1"/>
    <xf numFmtId="0" fontId="17" fillId="0" borderId="0" xfId="0" applyFont="1" applyAlignment="1">
      <alignment horizontal="left" wrapText="1"/>
    </xf>
    <xf numFmtId="0" fontId="10" fillId="0" borderId="0" xfId="0" quotePrefix="1" applyFont="1" applyAlignment="1">
      <alignment horizontal="left" wrapText="1"/>
    </xf>
    <xf numFmtId="0" fontId="10" fillId="0" borderId="1" xfId="0" applyFont="1" applyBorder="1"/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horizontal="left" vertical="top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wrapText="1"/>
    </xf>
    <xf numFmtId="0" fontId="10" fillId="0" borderId="3" xfId="0" applyFont="1" applyBorder="1" applyAlignment="1">
      <alignment horizontal="right" wrapText="1"/>
    </xf>
    <xf numFmtId="0" fontId="10" fillId="0" borderId="3" xfId="0" applyFont="1" applyBorder="1" applyAlignment="1">
      <alignment horizontal="right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wrapText="1"/>
    </xf>
    <xf numFmtId="0" fontId="10" fillId="0" borderId="2" xfId="0" applyFont="1" applyBorder="1" applyAlignment="1">
      <alignment horizontal="right" wrapText="1"/>
    </xf>
    <xf numFmtId="0" fontId="10" fillId="0" borderId="2" xfId="0" applyFont="1" applyBorder="1" applyAlignment="1">
      <alignment horizontal="right"/>
    </xf>
    <xf numFmtId="0" fontId="11" fillId="0" borderId="3" xfId="0" quotePrefix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left" vertical="top" wrapText="1"/>
    </xf>
    <xf numFmtId="165" fontId="10" fillId="0" borderId="3" xfId="0" applyNumberFormat="1" applyFont="1" applyBorder="1" applyAlignment="1">
      <alignment horizontal="right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right"/>
    </xf>
    <xf numFmtId="0" fontId="12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14" fillId="0" borderId="0" xfId="0" applyFont="1" applyAlignment="1">
      <alignment horizontal="center" wrapText="1"/>
    </xf>
    <xf numFmtId="0" fontId="12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165" fontId="10" fillId="0" borderId="0" xfId="0" applyNumberFormat="1" applyFont="1" applyAlignment="1">
      <alignment horizontal="right"/>
    </xf>
    <xf numFmtId="0" fontId="14" fillId="0" borderId="1" xfId="0" applyFont="1" applyBorder="1" applyAlignment="1">
      <alignment horizontal="center" wrapText="1"/>
    </xf>
    <xf numFmtId="0" fontId="0" fillId="0" borderId="0" xfId="0"/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65" fontId="17" fillId="0" borderId="6" xfId="0" applyNumberFormat="1" applyFont="1" applyBorder="1" applyAlignment="1">
      <alignment horizontal="right"/>
    </xf>
    <xf numFmtId="0" fontId="11" fillId="0" borderId="0" xfId="0" applyFont="1" applyAlignment="1">
      <alignment horizontal="center" wrapText="1"/>
    </xf>
    <xf numFmtId="165" fontId="17" fillId="0" borderId="0" xfId="0" applyNumberFormat="1" applyFont="1" applyAlignment="1">
      <alignment horizontal="right"/>
    </xf>
    <xf numFmtId="0" fontId="17" fillId="0" borderId="0" xfId="0" applyFont="1" applyAlignment="1">
      <alignment horizontal="right"/>
    </xf>
    <xf numFmtId="0" fontId="17" fillId="0" borderId="0" xfId="0" applyFont="1" applyAlignment="1">
      <alignment horizontal="left" wrapText="1"/>
    </xf>
    <xf numFmtId="0" fontId="10" fillId="0" borderId="0" xfId="0" applyFont="1" applyAlignment="1">
      <alignment horizontal="right" vertical="center"/>
    </xf>
    <xf numFmtId="0" fontId="9" fillId="0" borderId="5" xfId="0" applyFont="1" applyBorder="1" applyAlignment="1">
      <alignment horizontal="center"/>
    </xf>
    <xf numFmtId="0" fontId="11" fillId="0" borderId="2" xfId="0" applyFont="1" applyBorder="1" applyAlignment="1">
      <alignment horizontal="center" wrapText="1"/>
    </xf>
    <xf numFmtId="0" fontId="12" fillId="0" borderId="0" xfId="0" applyFont="1" applyAlignment="1">
      <alignment horizontal="center" wrapText="1"/>
    </xf>
    <xf numFmtId="0" fontId="17" fillId="0" borderId="0" xfId="0" applyFont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right"/>
    </xf>
    <xf numFmtId="165" fontId="17" fillId="0" borderId="3" xfId="0" applyNumberFormat="1" applyFont="1" applyBorder="1" applyAlignment="1">
      <alignment horizontal="right"/>
    </xf>
    <xf numFmtId="0" fontId="1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322"/>
  <sheetViews>
    <sheetView tabSelected="1" zoomScaleNormal="100" workbookViewId="0">
      <selection activeCell="A11" sqref="A11:K11"/>
    </sheetView>
  </sheetViews>
  <sheetFormatPr defaultRowHeight="12.75" x14ac:dyDescent="0.2"/>
  <cols>
    <col min="1" max="1" width="5.7109375" customWidth="1"/>
    <col min="2" max="2" width="11.7109375" customWidth="1"/>
    <col min="3" max="3" width="40.7109375" customWidth="1"/>
    <col min="4" max="6" width="11.7109375" customWidth="1"/>
    <col min="7" max="11" width="12.7109375" customWidth="1"/>
    <col min="15" max="31" width="0" hidden="1" customWidth="1"/>
    <col min="32" max="32" width="116.7109375" hidden="1" customWidth="1"/>
    <col min="33" max="33" width="0" hidden="1" customWidth="1"/>
    <col min="34" max="34" width="100.7109375" hidden="1" customWidth="1"/>
    <col min="35" max="36" width="0" hidden="1" customWidth="1"/>
  </cols>
  <sheetData>
    <row r="1" spans="1:11" x14ac:dyDescent="0.2">
      <c r="A1" s="8" t="str">
        <f>CONCATENATE(Source!B1, "     СН-2012 (© ОАО МЦЦС 'Мосстройцены', ", "2025", ")")</f>
        <v>Smeta.RU  (495) 974-1589     СН-2012 (© ОАО МЦЦС 'Мосстройцены', 2025)</v>
      </c>
    </row>
    <row r="2" spans="1:11" ht="14.25" x14ac:dyDescent="0.2">
      <c r="A2" s="9"/>
      <c r="B2" s="9"/>
      <c r="C2" s="9"/>
      <c r="D2" s="9"/>
      <c r="E2" s="9"/>
      <c r="F2" s="9"/>
      <c r="G2" s="9"/>
      <c r="H2" s="9"/>
      <c r="I2" s="9"/>
      <c r="J2" s="49" t="s">
        <v>419</v>
      </c>
      <c r="K2" s="49"/>
    </row>
    <row r="3" spans="1:11" ht="16.5" x14ac:dyDescent="0.25">
      <c r="A3" s="11"/>
      <c r="B3" s="54" t="s">
        <v>417</v>
      </c>
      <c r="C3" s="54"/>
      <c r="D3" s="54"/>
      <c r="E3" s="54"/>
      <c r="F3" s="10"/>
      <c r="G3" s="54" t="s">
        <v>418</v>
      </c>
      <c r="H3" s="54"/>
      <c r="I3" s="54"/>
      <c r="J3" s="54"/>
      <c r="K3" s="54"/>
    </row>
    <row r="4" spans="1:11" ht="14.25" x14ac:dyDescent="0.2">
      <c r="A4" s="10"/>
      <c r="B4" s="55"/>
      <c r="C4" s="55"/>
      <c r="D4" s="55"/>
      <c r="E4" s="55"/>
      <c r="F4" s="10"/>
      <c r="G4" s="55" t="s">
        <v>538</v>
      </c>
      <c r="H4" s="55"/>
      <c r="I4" s="55"/>
      <c r="J4" s="55"/>
      <c r="K4" s="55"/>
    </row>
    <row r="5" spans="1:11" ht="14.25" x14ac:dyDescent="0.2">
      <c r="A5" s="10"/>
      <c r="B5" s="10"/>
      <c r="C5" s="12"/>
      <c r="D5" s="12"/>
      <c r="E5" s="12"/>
      <c r="F5" s="10"/>
      <c r="G5" s="12"/>
      <c r="H5" s="12"/>
      <c r="I5" s="12"/>
      <c r="J5" s="12"/>
      <c r="K5" s="12"/>
    </row>
    <row r="6" spans="1:11" ht="14.25" x14ac:dyDescent="0.2">
      <c r="A6" s="12"/>
      <c r="B6" s="55" t="str">
        <f>CONCATENATE("______________________ ", IF(Source!AL12&lt;&gt;"", Source!AL12, ""))</f>
        <v xml:space="preserve">______________________ </v>
      </c>
      <c r="C6" s="55"/>
      <c r="D6" s="55"/>
      <c r="E6" s="55"/>
      <c r="F6" s="10"/>
      <c r="G6" s="55" t="s">
        <v>539</v>
      </c>
      <c r="H6" s="55"/>
      <c r="I6" s="55"/>
      <c r="J6" s="55"/>
      <c r="K6" s="55"/>
    </row>
    <row r="7" spans="1:11" ht="14.25" x14ac:dyDescent="0.2">
      <c r="A7" s="13"/>
      <c r="B7" s="48" t="s">
        <v>420</v>
      </c>
      <c r="C7" s="48"/>
      <c r="D7" s="48"/>
      <c r="E7" s="48"/>
      <c r="F7" s="10"/>
      <c r="G7" s="48" t="s">
        <v>420</v>
      </c>
      <c r="H7" s="48"/>
      <c r="I7" s="48"/>
      <c r="J7" s="48"/>
      <c r="K7" s="48"/>
    </row>
    <row r="9" spans="1:11" ht="14.25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</row>
    <row r="10" spans="1:11" ht="15.75" x14ac:dyDescent="0.25">
      <c r="A10" s="50" t="str">
        <f>CONCATENATE( "ЛОКАЛЬНАЯ СМЕТА № ",IF(Source!F12&lt;&gt;"Новый объект", Source!F12, ""))</f>
        <v xml:space="preserve">ЛОКАЛЬНАЯ СМЕТА № 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</row>
    <row r="11" spans="1:11" x14ac:dyDescent="0.2">
      <c r="A11" s="52" t="s">
        <v>421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</row>
    <row r="12" spans="1:11" ht="14.25" x14ac:dyDescent="0.2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</row>
    <row r="13" spans="1:11" ht="18" hidden="1" x14ac:dyDescent="0.25">
      <c r="A13" s="53"/>
      <c r="B13" s="53"/>
      <c r="C13" s="53"/>
      <c r="D13" s="53"/>
      <c r="E13" s="53"/>
      <c r="F13" s="53"/>
      <c r="G13" s="53"/>
      <c r="H13" s="53"/>
      <c r="I13" s="53"/>
      <c r="J13" s="53"/>
      <c r="K13" s="53"/>
    </row>
    <row r="14" spans="1:11" ht="14.25" hidden="1" x14ac:dyDescent="0.2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</row>
    <row r="15" spans="1:11" ht="18" x14ac:dyDescent="0.25">
      <c r="A15" s="57" t="str">
        <f>IF(Source!G12&lt;&gt;"Новый объект", Source!G12, "")</f>
        <v>ГБОУ Школа №1440. Крылатские холмы д. 23 (в ценах на 01.04.2025 г)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</row>
    <row r="16" spans="1:11" x14ac:dyDescent="0.2">
      <c r="A16" s="52" t="s">
        <v>422</v>
      </c>
      <c r="B16" s="58"/>
      <c r="C16" s="58"/>
      <c r="D16" s="58"/>
      <c r="E16" s="58"/>
      <c r="F16" s="58"/>
      <c r="G16" s="58"/>
      <c r="H16" s="58"/>
      <c r="I16" s="58"/>
      <c r="J16" s="58"/>
      <c r="K16" s="58"/>
    </row>
    <row r="17" spans="1:11" ht="14.25" x14ac:dyDescent="0.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</row>
    <row r="18" spans="1:11" ht="14.25" x14ac:dyDescent="0.2">
      <c r="A18" s="48" t="str">
        <f>CONCATENATE( "Основание: чертежи № ", Source!J12)</f>
        <v xml:space="preserve">Основание: чертежи № 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</row>
    <row r="19" spans="1:11" ht="14.25" x14ac:dyDescent="0.2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</row>
    <row r="20" spans="1:11" ht="14.25" x14ac:dyDescent="0.2">
      <c r="A20" s="10"/>
      <c r="B20" s="10"/>
      <c r="C20" s="10"/>
      <c r="D20" s="10"/>
      <c r="E20" s="10"/>
      <c r="F20" s="55" t="s">
        <v>423</v>
      </c>
      <c r="G20" s="55"/>
      <c r="H20" s="55"/>
      <c r="I20" s="56">
        <f>I21+I22+I23+I24</f>
        <v>244.35</v>
      </c>
      <c r="J20" s="49"/>
      <c r="K20" s="10" t="s">
        <v>424</v>
      </c>
    </row>
    <row r="21" spans="1:11" ht="14.25" hidden="1" x14ac:dyDescent="0.2">
      <c r="A21" s="10"/>
      <c r="B21" s="10"/>
      <c r="C21" s="10"/>
      <c r="D21" s="10"/>
      <c r="E21" s="10"/>
      <c r="F21" s="55" t="s">
        <v>425</v>
      </c>
      <c r="G21" s="55"/>
      <c r="H21" s="55"/>
      <c r="I21" s="56">
        <f>ROUND((Source!F431)/1000, 2)</f>
        <v>0</v>
      </c>
      <c r="J21" s="49"/>
      <c r="K21" s="10" t="s">
        <v>424</v>
      </c>
    </row>
    <row r="22" spans="1:11" ht="14.25" hidden="1" x14ac:dyDescent="0.2">
      <c r="A22" s="10"/>
      <c r="B22" s="10"/>
      <c r="C22" s="10"/>
      <c r="D22" s="10"/>
      <c r="E22" s="10"/>
      <c r="F22" s="55" t="s">
        <v>426</v>
      </c>
      <c r="G22" s="55"/>
      <c r="H22" s="55"/>
      <c r="I22" s="56">
        <f>ROUND((Source!F432)/1000, 2)</f>
        <v>0</v>
      </c>
      <c r="J22" s="49"/>
      <c r="K22" s="10" t="s">
        <v>424</v>
      </c>
    </row>
    <row r="23" spans="1:11" ht="14.25" hidden="1" x14ac:dyDescent="0.2">
      <c r="A23" s="10"/>
      <c r="B23" s="10"/>
      <c r="C23" s="10"/>
      <c r="D23" s="10"/>
      <c r="E23" s="10"/>
      <c r="F23" s="55" t="s">
        <v>427</v>
      </c>
      <c r="G23" s="55"/>
      <c r="H23" s="55"/>
      <c r="I23" s="56">
        <f>ROUND((Source!F423)/1000, 2)</f>
        <v>0</v>
      </c>
      <c r="J23" s="49"/>
      <c r="K23" s="10" t="s">
        <v>424</v>
      </c>
    </row>
    <row r="24" spans="1:11" ht="14.25" hidden="1" x14ac:dyDescent="0.2">
      <c r="A24" s="10"/>
      <c r="B24" s="10"/>
      <c r="C24" s="10"/>
      <c r="D24" s="10"/>
      <c r="E24" s="10"/>
      <c r="F24" s="55" t="s">
        <v>428</v>
      </c>
      <c r="G24" s="55"/>
      <c r="H24" s="55"/>
      <c r="I24" s="56">
        <f>ROUND((Source!F433+Source!F434)/1000, 2)</f>
        <v>244.35</v>
      </c>
      <c r="J24" s="49"/>
      <c r="K24" s="10" t="s">
        <v>424</v>
      </c>
    </row>
    <row r="25" spans="1:11" ht="14.25" x14ac:dyDescent="0.2">
      <c r="A25" s="10"/>
      <c r="B25" s="10"/>
      <c r="C25" s="10"/>
      <c r="D25" s="10"/>
      <c r="E25" s="10"/>
      <c r="F25" s="55" t="s">
        <v>429</v>
      </c>
      <c r="G25" s="55"/>
      <c r="H25" s="55"/>
      <c r="I25" s="56">
        <f>(Source!F429+ Source!F428)/1000</f>
        <v>58.086409999999994</v>
      </c>
      <c r="J25" s="49"/>
      <c r="K25" s="10" t="s">
        <v>424</v>
      </c>
    </row>
    <row r="26" spans="1:11" ht="14.25" x14ac:dyDescent="0.2">
      <c r="A26" s="10" t="s">
        <v>443</v>
      </c>
      <c r="B26" s="10"/>
      <c r="C26" s="10"/>
      <c r="D26" s="14"/>
      <c r="E26" s="15"/>
      <c r="F26" s="10"/>
      <c r="G26" s="10"/>
      <c r="H26" s="10"/>
      <c r="I26" s="10"/>
      <c r="J26" s="10"/>
      <c r="K26" s="10"/>
    </row>
    <row r="27" spans="1:11" ht="14.25" x14ac:dyDescent="0.2">
      <c r="A27" s="59" t="s">
        <v>430</v>
      </c>
      <c r="B27" s="59" t="s">
        <v>431</v>
      </c>
      <c r="C27" s="59" t="s">
        <v>432</v>
      </c>
      <c r="D27" s="59" t="s">
        <v>433</v>
      </c>
      <c r="E27" s="59" t="s">
        <v>434</v>
      </c>
      <c r="F27" s="59" t="s">
        <v>435</v>
      </c>
      <c r="G27" s="59" t="s">
        <v>436</v>
      </c>
      <c r="H27" s="59" t="s">
        <v>437</v>
      </c>
      <c r="I27" s="59" t="s">
        <v>438</v>
      </c>
      <c r="J27" s="59" t="s">
        <v>439</v>
      </c>
      <c r="K27" s="17" t="s">
        <v>440</v>
      </c>
    </row>
    <row r="28" spans="1:11" ht="28.5" x14ac:dyDescent="0.2">
      <c r="A28" s="60"/>
      <c r="B28" s="60"/>
      <c r="C28" s="60"/>
      <c r="D28" s="60"/>
      <c r="E28" s="60"/>
      <c r="F28" s="60"/>
      <c r="G28" s="60"/>
      <c r="H28" s="60"/>
      <c r="I28" s="60"/>
      <c r="J28" s="60"/>
      <c r="K28" s="18" t="s">
        <v>441</v>
      </c>
    </row>
    <row r="29" spans="1:11" ht="28.5" x14ac:dyDescent="0.2">
      <c r="A29" s="60"/>
      <c r="B29" s="60"/>
      <c r="C29" s="60"/>
      <c r="D29" s="60"/>
      <c r="E29" s="60"/>
      <c r="F29" s="60"/>
      <c r="G29" s="60"/>
      <c r="H29" s="60"/>
      <c r="I29" s="60"/>
      <c r="J29" s="60"/>
      <c r="K29" s="18" t="s">
        <v>442</v>
      </c>
    </row>
    <row r="30" spans="1:11" ht="14.25" x14ac:dyDescent="0.2">
      <c r="A30" s="18">
        <v>1</v>
      </c>
      <c r="B30" s="18">
        <v>2</v>
      </c>
      <c r="C30" s="18">
        <v>3</v>
      </c>
      <c r="D30" s="18">
        <v>4</v>
      </c>
      <c r="E30" s="18">
        <v>5</v>
      </c>
      <c r="F30" s="18">
        <v>6</v>
      </c>
      <c r="G30" s="18">
        <v>7</v>
      </c>
      <c r="H30" s="18">
        <v>8</v>
      </c>
      <c r="I30" s="18">
        <v>9</v>
      </c>
      <c r="J30" s="18">
        <v>10</v>
      </c>
      <c r="K30" s="18">
        <v>11</v>
      </c>
    </row>
    <row r="32" spans="1:11" ht="16.5" x14ac:dyDescent="0.25">
      <c r="A32" s="62" t="str">
        <f>CONCATENATE("Локальная смета: ",IF(Source!G20&lt;&gt;"Новая локальная смета", Source!G20, ""))</f>
        <v xml:space="preserve">Локальная смета: </v>
      </c>
      <c r="B32" s="62"/>
      <c r="C32" s="62"/>
      <c r="D32" s="62"/>
      <c r="E32" s="62"/>
      <c r="F32" s="62"/>
      <c r="G32" s="62"/>
      <c r="H32" s="62"/>
      <c r="I32" s="62"/>
      <c r="J32" s="62"/>
      <c r="K32" s="62"/>
    </row>
    <row r="34" spans="1:22" ht="16.5" x14ac:dyDescent="0.25">
      <c r="A34" s="62" t="str">
        <f>CONCATENATE("Раздел: ",IF(Source!G24&lt;&gt;"Новый раздел", Source!G24, ""))</f>
        <v>Раздел: Второй этаж, кабинет № 204</v>
      </c>
      <c r="B34" s="62"/>
      <c r="C34" s="62"/>
      <c r="D34" s="62"/>
      <c r="E34" s="62"/>
      <c r="F34" s="62"/>
      <c r="G34" s="62"/>
      <c r="H34" s="62"/>
      <c r="I34" s="62"/>
      <c r="J34" s="62"/>
      <c r="K34" s="62"/>
    </row>
    <row r="36" spans="1:22" ht="16.5" x14ac:dyDescent="0.25">
      <c r="A36" s="62" t="str">
        <f>CONCATENATE("Подраздел: ",IF(Source!G28&lt;&gt;"Новый подраздел", Source!G28, ""))</f>
        <v>Подраздел: Полы</v>
      </c>
      <c r="B36" s="62"/>
      <c r="C36" s="62"/>
      <c r="D36" s="62"/>
      <c r="E36" s="62"/>
      <c r="F36" s="62"/>
      <c r="G36" s="62"/>
      <c r="H36" s="62"/>
      <c r="I36" s="62"/>
      <c r="J36" s="62"/>
      <c r="K36" s="62"/>
    </row>
    <row r="37" spans="1:22" ht="28.5" x14ac:dyDescent="0.2">
      <c r="A37" s="19">
        <v>1</v>
      </c>
      <c r="B37" s="19" t="str">
        <f>Source!F32</f>
        <v>1.10-3404-5-1/1</v>
      </c>
      <c r="C37" s="19" t="str">
        <f>Source!G32</f>
        <v>Разборка (снятие) металлической накладной полосы (порожка)</v>
      </c>
      <c r="D37" s="20" t="str">
        <f>Source!H32</f>
        <v>100 м</v>
      </c>
      <c r="E37" s="9">
        <f>Source!I32</f>
        <v>8.9999999999999993E-3</v>
      </c>
      <c r="F37" s="22"/>
      <c r="G37" s="21"/>
      <c r="H37" s="9"/>
      <c r="I37" s="9"/>
      <c r="J37" s="22"/>
      <c r="K37" s="22"/>
      <c r="Q37">
        <f>ROUND((Source!BZ32/100)*ROUND((Source!AF32*Source!AV32)*Source!I32, 2), 2)</f>
        <v>7.97</v>
      </c>
      <c r="R37">
        <f>Source!X32</f>
        <v>7.97</v>
      </c>
      <c r="S37">
        <f>ROUND((Source!CA32/100)*ROUND((Source!AF32*Source!AV32)*Source!I32, 2), 2)</f>
        <v>1.1399999999999999</v>
      </c>
      <c r="T37">
        <f>Source!Y32</f>
        <v>1.1399999999999999</v>
      </c>
      <c r="U37">
        <f>ROUND((175/100)*ROUND((Source!AE32*Source!AV32)*Source!I32, 2), 2)</f>
        <v>0</v>
      </c>
      <c r="V37">
        <f>ROUND((108/100)*ROUND(Source!CS32*Source!I32, 2), 2)</f>
        <v>0</v>
      </c>
    </row>
    <row r="38" spans="1:22" x14ac:dyDescent="0.2">
      <c r="C38" s="23" t="str">
        <f>"Объем: "&amp;Source!I32&amp;"=0,9/"&amp;"100"</f>
        <v>Объем: 0,009=0,9/100</v>
      </c>
    </row>
    <row r="39" spans="1:22" ht="14.25" x14ac:dyDescent="0.2">
      <c r="A39" s="19"/>
      <c r="B39" s="19"/>
      <c r="C39" s="19" t="s">
        <v>444</v>
      </c>
      <c r="D39" s="20"/>
      <c r="E39" s="9"/>
      <c r="F39" s="22">
        <f>Source!AO32</f>
        <v>1265.9000000000001</v>
      </c>
      <c r="G39" s="21" t="str">
        <f>Source!DG32</f>
        <v/>
      </c>
      <c r="H39" s="9">
        <f>Source!AV32</f>
        <v>1</v>
      </c>
      <c r="I39" s="9">
        <f>IF(Source!BA32&lt;&gt; 0, Source!BA32, 1)</f>
        <v>1</v>
      </c>
      <c r="J39" s="22">
        <f>Source!S32</f>
        <v>11.39</v>
      </c>
      <c r="K39" s="22"/>
    </row>
    <row r="40" spans="1:22" ht="14.25" x14ac:dyDescent="0.2">
      <c r="A40" s="19"/>
      <c r="B40" s="19"/>
      <c r="C40" s="19" t="s">
        <v>445</v>
      </c>
      <c r="D40" s="20"/>
      <c r="E40" s="9"/>
      <c r="F40" s="22">
        <f>Source!AM32</f>
        <v>7.44</v>
      </c>
      <c r="G40" s="21" t="str">
        <f>Source!DE32</f>
        <v/>
      </c>
      <c r="H40" s="9">
        <f>Source!AV32</f>
        <v>1</v>
      </c>
      <c r="I40" s="9">
        <f>IF(Source!BB32&lt;&gt; 0, Source!BB32, 1)</f>
        <v>1</v>
      </c>
      <c r="J40" s="22">
        <f>Source!Q32</f>
        <v>7.0000000000000007E-2</v>
      </c>
      <c r="K40" s="22"/>
    </row>
    <row r="41" spans="1:22" ht="14.25" x14ac:dyDescent="0.2">
      <c r="A41" s="19"/>
      <c r="B41" s="19"/>
      <c r="C41" s="19" t="s">
        <v>446</v>
      </c>
      <c r="D41" s="20" t="s">
        <v>447</v>
      </c>
      <c r="E41" s="9">
        <f>Source!AT32</f>
        <v>70</v>
      </c>
      <c r="F41" s="22"/>
      <c r="G41" s="21"/>
      <c r="H41" s="9"/>
      <c r="I41" s="9"/>
      <c r="J41" s="22">
        <f>SUM(R37:R40)</f>
        <v>7.97</v>
      </c>
      <c r="K41" s="22"/>
    </row>
    <row r="42" spans="1:22" ht="14.25" x14ac:dyDescent="0.2">
      <c r="A42" s="19"/>
      <c r="B42" s="19"/>
      <c r="C42" s="19" t="s">
        <v>448</v>
      </c>
      <c r="D42" s="20" t="s">
        <v>447</v>
      </c>
      <c r="E42" s="9">
        <f>Source!AU32</f>
        <v>10</v>
      </c>
      <c r="F42" s="22"/>
      <c r="G42" s="21"/>
      <c r="H42" s="9"/>
      <c r="I42" s="9"/>
      <c r="J42" s="22">
        <f>SUM(T37:T41)</f>
        <v>1.1399999999999999</v>
      </c>
      <c r="K42" s="22"/>
    </row>
    <row r="43" spans="1:22" ht="14.25" x14ac:dyDescent="0.2">
      <c r="A43" s="19"/>
      <c r="B43" s="19"/>
      <c r="C43" s="19" t="s">
        <v>449</v>
      </c>
      <c r="D43" s="20" t="s">
        <v>450</v>
      </c>
      <c r="E43" s="9">
        <f>Source!AQ32</f>
        <v>3.13</v>
      </c>
      <c r="F43" s="22"/>
      <c r="G43" s="21" t="str">
        <f>Source!DI32</f>
        <v/>
      </c>
      <c r="H43" s="9">
        <f>Source!AV32</f>
        <v>1</v>
      </c>
      <c r="I43" s="9"/>
      <c r="J43" s="22"/>
      <c r="K43" s="22">
        <f>Source!U32</f>
        <v>2.8169999999999997E-2</v>
      </c>
    </row>
    <row r="44" spans="1:22" ht="15" x14ac:dyDescent="0.25">
      <c r="A44" s="26"/>
      <c r="B44" s="26"/>
      <c r="C44" s="26"/>
      <c r="D44" s="26"/>
      <c r="E44" s="26"/>
      <c r="F44" s="26"/>
      <c r="G44" s="26"/>
      <c r="H44" s="26"/>
      <c r="I44" s="61">
        <f>J39+J40+J41+J42</f>
        <v>20.57</v>
      </c>
      <c r="J44" s="61"/>
      <c r="K44" s="27">
        <f>IF(Source!I32&lt;&gt;0, ROUND(I44/Source!I32, 2), 0)</f>
        <v>2285.56</v>
      </c>
      <c r="P44" s="24">
        <f>I44</f>
        <v>20.57</v>
      </c>
    </row>
    <row r="45" spans="1:22" ht="28.5" x14ac:dyDescent="0.2">
      <c r="A45" s="19">
        <v>2</v>
      </c>
      <c r="B45" s="19" t="str">
        <f>Source!F33</f>
        <v>1.10-3804-1-1/1</v>
      </c>
      <c r="C45" s="19" t="str">
        <f>Source!G33</f>
        <v>Разборка деревянных плинтусов</v>
      </c>
      <c r="D45" s="20" t="str">
        <f>Source!H33</f>
        <v>100 м</v>
      </c>
      <c r="E45" s="9">
        <f>Source!I33</f>
        <v>0.3095</v>
      </c>
      <c r="F45" s="22"/>
      <c r="G45" s="21"/>
      <c r="H45" s="9"/>
      <c r="I45" s="9"/>
      <c r="J45" s="22"/>
      <c r="K45" s="22"/>
      <c r="Q45">
        <f>ROUND((Source!BZ33/100)*ROUND((Source!AF33*Source!AV33)*Source!I33, 2), 2)</f>
        <v>317.93</v>
      </c>
      <c r="R45">
        <f>Source!X33</f>
        <v>317.93</v>
      </c>
      <c r="S45">
        <f>ROUND((Source!CA33/100)*ROUND((Source!AF33*Source!AV33)*Source!I33, 2), 2)</f>
        <v>45.42</v>
      </c>
      <c r="T45">
        <f>Source!Y33</f>
        <v>45.42</v>
      </c>
      <c r="U45">
        <f>ROUND((175/100)*ROUND((Source!AE33*Source!AV33)*Source!I33, 2), 2)</f>
        <v>0</v>
      </c>
      <c r="V45">
        <f>ROUND((108/100)*ROUND(Source!CS33*Source!I33, 2), 2)</f>
        <v>0</v>
      </c>
    </row>
    <row r="46" spans="1:22" x14ac:dyDescent="0.2">
      <c r="C46" s="23" t="str">
        <f>"Объем: "&amp;Source!I33&amp;"=30,95/"&amp;"100"</f>
        <v>Объем: 0,3095=30,95/100</v>
      </c>
    </row>
    <row r="47" spans="1:22" ht="14.25" x14ac:dyDescent="0.2">
      <c r="A47" s="19"/>
      <c r="B47" s="19"/>
      <c r="C47" s="19" t="s">
        <v>444</v>
      </c>
      <c r="D47" s="20"/>
      <c r="E47" s="9"/>
      <c r="F47" s="22">
        <f>Source!AO33</f>
        <v>1467.51</v>
      </c>
      <c r="G47" s="21" t="str">
        <f>Source!DG33</f>
        <v/>
      </c>
      <c r="H47" s="9">
        <f>Source!AV33</f>
        <v>1</v>
      </c>
      <c r="I47" s="9">
        <f>IF(Source!BA33&lt;&gt; 0, Source!BA33, 1)</f>
        <v>1</v>
      </c>
      <c r="J47" s="22">
        <f>Source!S33</f>
        <v>454.19</v>
      </c>
      <c r="K47" s="22"/>
    </row>
    <row r="48" spans="1:22" ht="14.25" x14ac:dyDescent="0.2">
      <c r="A48" s="19"/>
      <c r="B48" s="19"/>
      <c r="C48" s="19" t="s">
        <v>446</v>
      </c>
      <c r="D48" s="20" t="s">
        <v>447</v>
      </c>
      <c r="E48" s="9">
        <f>Source!AT33</f>
        <v>70</v>
      </c>
      <c r="F48" s="22"/>
      <c r="G48" s="21"/>
      <c r="H48" s="9"/>
      <c r="I48" s="9"/>
      <c r="J48" s="22">
        <f>SUM(R45:R47)</f>
        <v>317.93</v>
      </c>
      <c r="K48" s="22"/>
    </row>
    <row r="49" spans="1:22" ht="14.25" x14ac:dyDescent="0.2">
      <c r="A49" s="19"/>
      <c r="B49" s="19"/>
      <c r="C49" s="19" t="s">
        <v>448</v>
      </c>
      <c r="D49" s="20" t="s">
        <v>447</v>
      </c>
      <c r="E49" s="9">
        <f>Source!AU33</f>
        <v>10</v>
      </c>
      <c r="F49" s="22"/>
      <c r="G49" s="21"/>
      <c r="H49" s="9"/>
      <c r="I49" s="9"/>
      <c r="J49" s="22">
        <f>SUM(T45:T48)</f>
        <v>45.42</v>
      </c>
      <c r="K49" s="22"/>
    </row>
    <row r="50" spans="1:22" ht="14.25" x14ac:dyDescent="0.2">
      <c r="A50" s="19"/>
      <c r="B50" s="19"/>
      <c r="C50" s="19" t="s">
        <v>449</v>
      </c>
      <c r="D50" s="20" t="s">
        <v>450</v>
      </c>
      <c r="E50" s="9">
        <f>Source!AQ33</f>
        <v>3.77</v>
      </c>
      <c r="F50" s="22"/>
      <c r="G50" s="21" t="str">
        <f>Source!DI33</f>
        <v/>
      </c>
      <c r="H50" s="9">
        <f>Source!AV33</f>
        <v>1</v>
      </c>
      <c r="I50" s="9"/>
      <c r="J50" s="22"/>
      <c r="K50" s="22">
        <f>Source!U33</f>
        <v>1.1668149999999999</v>
      </c>
    </row>
    <row r="51" spans="1:22" ht="15" x14ac:dyDescent="0.25">
      <c r="A51" s="26"/>
      <c r="B51" s="26"/>
      <c r="C51" s="26"/>
      <c r="D51" s="26"/>
      <c r="E51" s="26"/>
      <c r="F51" s="26"/>
      <c r="G51" s="26"/>
      <c r="H51" s="26"/>
      <c r="I51" s="61">
        <f>J47+J48+J49</f>
        <v>817.54</v>
      </c>
      <c r="J51" s="61"/>
      <c r="K51" s="27">
        <f>IF(Source!I33&lt;&gt;0, ROUND(I51/Source!I33, 2), 0)</f>
        <v>2641.49</v>
      </c>
      <c r="P51" s="24">
        <f>I51</f>
        <v>817.54</v>
      </c>
    </row>
    <row r="52" spans="1:22" ht="28.5" x14ac:dyDescent="0.2">
      <c r="A52" s="19">
        <v>3</v>
      </c>
      <c r="B52" s="19" t="str">
        <f>Source!F34</f>
        <v>1.10-3803-1-2/1</v>
      </c>
      <c r="C52" s="19" t="str">
        <f>Source!G34</f>
        <v>Устройство плинтусов неокрашенных из древесины хвойных пород</v>
      </c>
      <c r="D52" s="20" t="str">
        <f>Source!H34</f>
        <v>100 м</v>
      </c>
      <c r="E52" s="9">
        <f>Source!I34</f>
        <v>0.315</v>
      </c>
      <c r="F52" s="22"/>
      <c r="G52" s="21"/>
      <c r="H52" s="9"/>
      <c r="I52" s="9"/>
      <c r="J52" s="22"/>
      <c r="K52" s="22"/>
      <c r="Q52">
        <f>ROUND((Source!BZ34/100)*ROUND((Source!AF34*Source!AV34)*Source!I34, 2), 2)</f>
        <v>844.83</v>
      </c>
      <c r="R52">
        <f>Source!X34</f>
        <v>844.83</v>
      </c>
      <c r="S52">
        <f>ROUND((Source!CA34/100)*ROUND((Source!AF34*Source!AV34)*Source!I34, 2), 2)</f>
        <v>120.69</v>
      </c>
      <c r="T52">
        <f>Source!Y34</f>
        <v>120.69</v>
      </c>
      <c r="U52">
        <f>ROUND((175/100)*ROUND((Source!AE34*Source!AV34)*Source!I34, 2), 2)</f>
        <v>0</v>
      </c>
      <c r="V52">
        <f>ROUND((108/100)*ROUND(Source!CS34*Source!I34, 2), 2)</f>
        <v>0</v>
      </c>
    </row>
    <row r="53" spans="1:22" x14ac:dyDescent="0.2">
      <c r="C53" s="23" t="str">
        <f>"Объем: "&amp;Source!I34&amp;"=31,5/"&amp;"100"</f>
        <v>Объем: 0,315=31,5/100</v>
      </c>
    </row>
    <row r="54" spans="1:22" ht="14.25" x14ac:dyDescent="0.2">
      <c r="A54" s="19"/>
      <c r="B54" s="19"/>
      <c r="C54" s="19" t="s">
        <v>444</v>
      </c>
      <c r="D54" s="20"/>
      <c r="E54" s="9"/>
      <c r="F54" s="22">
        <f>Source!AO34</f>
        <v>3831.43</v>
      </c>
      <c r="G54" s="21" t="str">
        <f>Source!DG34</f>
        <v/>
      </c>
      <c r="H54" s="9">
        <f>Source!AV34</f>
        <v>1</v>
      </c>
      <c r="I54" s="9">
        <f>IF(Source!BA34&lt;&gt; 0, Source!BA34, 1)</f>
        <v>1</v>
      </c>
      <c r="J54" s="22">
        <f>Source!S34</f>
        <v>1206.9000000000001</v>
      </c>
      <c r="K54" s="22"/>
    </row>
    <row r="55" spans="1:22" ht="14.25" x14ac:dyDescent="0.2">
      <c r="A55" s="19"/>
      <c r="B55" s="19"/>
      <c r="C55" s="19" t="s">
        <v>451</v>
      </c>
      <c r="D55" s="20"/>
      <c r="E55" s="9"/>
      <c r="F55" s="22">
        <f>Source!AL34</f>
        <v>3955.76</v>
      </c>
      <c r="G55" s="21" t="str">
        <f>Source!DD34</f>
        <v/>
      </c>
      <c r="H55" s="9">
        <f>Source!AW34</f>
        <v>1</v>
      </c>
      <c r="I55" s="9">
        <f>IF(Source!BC34&lt;&gt; 0, Source!BC34, 1)</f>
        <v>1</v>
      </c>
      <c r="J55" s="22">
        <f>Source!P34</f>
        <v>1246.06</v>
      </c>
      <c r="K55" s="22"/>
    </row>
    <row r="56" spans="1:22" ht="55.5" x14ac:dyDescent="0.2">
      <c r="A56" s="19" t="s">
        <v>33</v>
      </c>
      <c r="B56" s="19" t="str">
        <f>Source!F35</f>
        <v>цена пост.</v>
      </c>
      <c r="C56" s="19" t="s">
        <v>452</v>
      </c>
      <c r="D56" s="20" t="str">
        <f>Source!H35</f>
        <v>м</v>
      </c>
      <c r="E56" s="9">
        <f>Source!I35</f>
        <v>33.075000000000003</v>
      </c>
      <c r="F56" s="22">
        <f>Source!AK35</f>
        <v>87.13</v>
      </c>
      <c r="G56" s="28" t="s">
        <v>3</v>
      </c>
      <c r="H56" s="9">
        <f>Source!AW35</f>
        <v>1</v>
      </c>
      <c r="I56" s="9">
        <f>IF(Source!BC35&lt;&gt; 0, Source!BC35, 1)</f>
        <v>1</v>
      </c>
      <c r="J56" s="22">
        <f>Source!O35</f>
        <v>2881.82</v>
      </c>
      <c r="K56" s="22"/>
      <c r="Q56">
        <f>ROUND((Source!BZ35/100)*ROUND((Source!AF35*Source!AV35)*Source!I35, 2), 2)</f>
        <v>0</v>
      </c>
      <c r="R56">
        <f>Source!X35</f>
        <v>0</v>
      </c>
      <c r="S56">
        <f>ROUND((Source!CA35/100)*ROUND((Source!AF35*Source!AV35)*Source!I35, 2), 2)</f>
        <v>0</v>
      </c>
      <c r="T56">
        <f>Source!Y35</f>
        <v>0</v>
      </c>
      <c r="U56">
        <f>ROUND((175/100)*ROUND((Source!AE35*Source!AV35)*Source!I35, 2), 2)</f>
        <v>0</v>
      </c>
      <c r="V56">
        <f>ROUND((108/100)*ROUND(Source!CS35*Source!I35, 2), 2)</f>
        <v>0</v>
      </c>
    </row>
    <row r="57" spans="1:22" ht="42.75" x14ac:dyDescent="0.2">
      <c r="A57" s="19" t="s">
        <v>39</v>
      </c>
      <c r="B57" s="19" t="str">
        <f>Source!F36</f>
        <v>21.9-12-58</v>
      </c>
      <c r="C57" s="19" t="s">
        <v>453</v>
      </c>
      <c r="D57" s="20" t="str">
        <f>Source!H36</f>
        <v>м</v>
      </c>
      <c r="E57" s="9">
        <f>Source!I36</f>
        <v>-33.075000000000003</v>
      </c>
      <c r="F57" s="22">
        <f>Source!AK36</f>
        <v>37.29</v>
      </c>
      <c r="G57" s="28" t="s">
        <v>3</v>
      </c>
      <c r="H57" s="9">
        <f>Source!AW36</f>
        <v>1</v>
      </c>
      <c r="I57" s="9">
        <f>IF(Source!BC36&lt;&gt; 0, Source!BC36, 1)</f>
        <v>1</v>
      </c>
      <c r="J57" s="22">
        <f>Source!O36</f>
        <v>-1233.3699999999999</v>
      </c>
      <c r="K57" s="22"/>
      <c r="Q57">
        <f>ROUND((Source!BZ36/100)*ROUND((Source!AF36*Source!AV36)*Source!I36, 2), 2)</f>
        <v>0</v>
      </c>
      <c r="R57">
        <f>Source!X36</f>
        <v>0</v>
      </c>
      <c r="S57">
        <f>ROUND((Source!CA36/100)*ROUND((Source!AF36*Source!AV36)*Source!I36, 2), 2)</f>
        <v>0</v>
      </c>
      <c r="T57">
        <f>Source!Y36</f>
        <v>0</v>
      </c>
      <c r="U57">
        <f>ROUND((175/100)*ROUND((Source!AE36*Source!AV36)*Source!I36, 2), 2)</f>
        <v>0</v>
      </c>
      <c r="V57">
        <f>ROUND((108/100)*ROUND(Source!CS36*Source!I36, 2), 2)</f>
        <v>0</v>
      </c>
    </row>
    <row r="58" spans="1:22" ht="14.25" x14ac:dyDescent="0.2">
      <c r="A58" s="19"/>
      <c r="B58" s="19"/>
      <c r="C58" s="19" t="s">
        <v>446</v>
      </c>
      <c r="D58" s="20" t="s">
        <v>447</v>
      </c>
      <c r="E58" s="9">
        <f>Source!AT34</f>
        <v>70</v>
      </c>
      <c r="F58" s="22"/>
      <c r="G58" s="21"/>
      <c r="H58" s="9"/>
      <c r="I58" s="9"/>
      <c r="J58" s="22">
        <f>SUM(R52:R57)</f>
        <v>844.83</v>
      </c>
      <c r="K58" s="22"/>
    </row>
    <row r="59" spans="1:22" ht="14.25" x14ac:dyDescent="0.2">
      <c r="A59" s="19"/>
      <c r="B59" s="19"/>
      <c r="C59" s="19" t="s">
        <v>448</v>
      </c>
      <c r="D59" s="20" t="s">
        <v>447</v>
      </c>
      <c r="E59" s="9">
        <f>Source!AU34</f>
        <v>10</v>
      </c>
      <c r="F59" s="22"/>
      <c r="G59" s="21"/>
      <c r="H59" s="9"/>
      <c r="I59" s="9"/>
      <c r="J59" s="22">
        <f>SUM(T52:T58)</f>
        <v>120.69</v>
      </c>
      <c r="K59" s="22"/>
    </row>
    <row r="60" spans="1:22" ht="14.25" x14ac:dyDescent="0.2">
      <c r="A60" s="19"/>
      <c r="B60" s="19"/>
      <c r="C60" s="19" t="s">
        <v>449</v>
      </c>
      <c r="D60" s="20" t="s">
        <v>450</v>
      </c>
      <c r="E60" s="9">
        <f>Source!AQ34</f>
        <v>8.8000000000000007</v>
      </c>
      <c r="F60" s="22"/>
      <c r="G60" s="21" t="str">
        <f>Source!DI34</f>
        <v/>
      </c>
      <c r="H60" s="9">
        <f>Source!AV34</f>
        <v>1</v>
      </c>
      <c r="I60" s="9"/>
      <c r="J60" s="22"/>
      <c r="K60" s="22">
        <f>Source!U34</f>
        <v>2.7720000000000002</v>
      </c>
    </row>
    <row r="61" spans="1:22" ht="15" x14ac:dyDescent="0.25">
      <c r="A61" s="26"/>
      <c r="B61" s="26"/>
      <c r="C61" s="26"/>
      <c r="D61" s="26"/>
      <c r="E61" s="26"/>
      <c r="F61" s="26"/>
      <c r="G61" s="26"/>
      <c r="H61" s="26"/>
      <c r="I61" s="61">
        <f>J54+J55+J58+J59+SUM(J56:J57)</f>
        <v>5066.93</v>
      </c>
      <c r="J61" s="61"/>
      <c r="K61" s="27">
        <f>IF(Source!I34&lt;&gt;0, ROUND(I61/Source!I34, 2), 0)</f>
        <v>16085.49</v>
      </c>
      <c r="P61" s="24">
        <f>I61</f>
        <v>5066.93</v>
      </c>
    </row>
    <row r="62" spans="1:22" ht="57" x14ac:dyDescent="0.2">
      <c r="A62" s="19">
        <v>4</v>
      </c>
      <c r="B62" s="19" t="str">
        <f>Source!F37</f>
        <v>1.10-3403-5-6/1</v>
      </c>
      <c r="C62" s="19" t="str">
        <f>Source!G37</f>
        <v>Покрытие полов лаком по огрунтованной или окрашенной поверхности за 2 раза (покрытие плинтуса морилкой)</v>
      </c>
      <c r="D62" s="20" t="str">
        <f>Source!H37</f>
        <v>100 м2</v>
      </c>
      <c r="E62" s="9">
        <f>Source!I37</f>
        <v>1.5800000000000002E-2</v>
      </c>
      <c r="F62" s="22"/>
      <c r="G62" s="21"/>
      <c r="H62" s="9"/>
      <c r="I62" s="9"/>
      <c r="J62" s="22"/>
      <c r="K62" s="22"/>
      <c r="Q62">
        <f>ROUND((Source!BZ37/100)*ROUND((Source!AF37*Source!AV37)*Source!I37, 2), 2)</f>
        <v>78.95</v>
      </c>
      <c r="R62">
        <f>Source!X37</f>
        <v>78.95</v>
      </c>
      <c r="S62">
        <f>ROUND((Source!CA37/100)*ROUND((Source!AF37*Source!AV37)*Source!I37, 2), 2)</f>
        <v>11.28</v>
      </c>
      <c r="T62">
        <f>Source!Y37</f>
        <v>11.28</v>
      </c>
      <c r="U62">
        <f>ROUND((175/100)*ROUND((Source!AE37*Source!AV37)*Source!I37, 2), 2)</f>
        <v>0</v>
      </c>
      <c r="V62">
        <f>ROUND((108/100)*ROUND(Source!CS37*Source!I37, 2), 2)</f>
        <v>0</v>
      </c>
    </row>
    <row r="63" spans="1:22" x14ac:dyDescent="0.2">
      <c r="C63" s="23" t="str">
        <f>"Объем: "&amp;Source!I37&amp;"=1,58/"&amp;"100"</f>
        <v>Объем: 0,0158=1,58/100</v>
      </c>
    </row>
    <row r="64" spans="1:22" ht="14.25" x14ac:dyDescent="0.2">
      <c r="A64" s="19"/>
      <c r="B64" s="19"/>
      <c r="C64" s="19" t="s">
        <v>444</v>
      </c>
      <c r="D64" s="20"/>
      <c r="E64" s="9"/>
      <c r="F64" s="22">
        <f>Source!AO37</f>
        <v>7138.1</v>
      </c>
      <c r="G64" s="21" t="str">
        <f>Source!DG37</f>
        <v/>
      </c>
      <c r="H64" s="9">
        <f>Source!AV37</f>
        <v>1</v>
      </c>
      <c r="I64" s="9">
        <f>IF(Source!BA37&lt;&gt; 0, Source!BA37, 1)</f>
        <v>1</v>
      </c>
      <c r="J64" s="22">
        <f>Source!S37</f>
        <v>112.78</v>
      </c>
      <c r="K64" s="22"/>
    </row>
    <row r="65" spans="1:22" ht="14.25" x14ac:dyDescent="0.2">
      <c r="A65" s="19"/>
      <c r="B65" s="19"/>
      <c r="C65" s="19" t="s">
        <v>451</v>
      </c>
      <c r="D65" s="20"/>
      <c r="E65" s="9"/>
      <c r="F65" s="22">
        <f>Source!AL37</f>
        <v>5145.8599999999997</v>
      </c>
      <c r="G65" s="21" t="str">
        <f>Source!DD37</f>
        <v/>
      </c>
      <c r="H65" s="9">
        <f>Source!AW37</f>
        <v>1</v>
      </c>
      <c r="I65" s="9">
        <f>IF(Source!BC37&lt;&gt; 0, Source!BC37, 1)</f>
        <v>1</v>
      </c>
      <c r="J65" s="22">
        <f>Source!P37</f>
        <v>81.3</v>
      </c>
      <c r="K65" s="22"/>
    </row>
    <row r="66" spans="1:22" ht="14.25" x14ac:dyDescent="0.2">
      <c r="A66" s="19" t="s">
        <v>48</v>
      </c>
      <c r="B66" s="19" t="str">
        <f>Source!F38</f>
        <v>21.1-8-4</v>
      </c>
      <c r="C66" s="19" t="str">
        <f>Source!G38</f>
        <v>Морилка натуральная (в 2 слоя)</v>
      </c>
      <c r="D66" s="20" t="str">
        <f>Source!H38</f>
        <v>кг</v>
      </c>
      <c r="E66" s="9">
        <f>Source!I38</f>
        <v>0.39500000000000002</v>
      </c>
      <c r="F66" s="22">
        <f>Source!AK38</f>
        <v>309.42</v>
      </c>
      <c r="G66" s="28" t="s">
        <v>3</v>
      </c>
      <c r="H66" s="9">
        <f>Source!AW38</f>
        <v>1</v>
      </c>
      <c r="I66" s="9">
        <f>IF(Source!BC38&lt;&gt; 0, Source!BC38, 1)</f>
        <v>1</v>
      </c>
      <c r="J66" s="22">
        <f>Source!O38</f>
        <v>122.22</v>
      </c>
      <c r="K66" s="22"/>
      <c r="Q66">
        <f>ROUND((Source!BZ38/100)*ROUND((Source!AF38*Source!AV38)*Source!I38, 2), 2)</f>
        <v>0</v>
      </c>
      <c r="R66">
        <f>Source!X38</f>
        <v>0</v>
      </c>
      <c r="S66">
        <f>ROUND((Source!CA38/100)*ROUND((Source!AF38*Source!AV38)*Source!I38, 2), 2)</f>
        <v>0</v>
      </c>
      <c r="T66">
        <f>Source!Y38</f>
        <v>0</v>
      </c>
      <c r="U66">
        <f>ROUND((175/100)*ROUND((Source!AE38*Source!AV38)*Source!I38, 2), 2)</f>
        <v>0</v>
      </c>
      <c r="V66">
        <f>ROUND((108/100)*ROUND(Source!CS38*Source!I38, 2), 2)</f>
        <v>0</v>
      </c>
    </row>
    <row r="67" spans="1:22" ht="28.5" x14ac:dyDescent="0.2">
      <c r="A67" s="19" t="s">
        <v>53</v>
      </c>
      <c r="B67" s="19" t="str">
        <f>Source!F39</f>
        <v>21.1-6-81</v>
      </c>
      <c r="C67" s="19" t="s">
        <v>454</v>
      </c>
      <c r="D67" s="20" t="str">
        <f>Source!H39</f>
        <v>т</v>
      </c>
      <c r="E67" s="9">
        <f>Source!I39</f>
        <v>-3.2899999999999997E-4</v>
      </c>
      <c r="F67" s="22">
        <f>Source!AK39</f>
        <v>247397.04</v>
      </c>
      <c r="G67" s="28" t="s">
        <v>3</v>
      </c>
      <c r="H67" s="9">
        <f>Source!AW39</f>
        <v>1</v>
      </c>
      <c r="I67" s="9">
        <f>IF(Source!BC39&lt;&gt; 0, Source!BC39, 1)</f>
        <v>1</v>
      </c>
      <c r="J67" s="22">
        <f>Source!O39</f>
        <v>-81.39</v>
      </c>
      <c r="K67" s="22"/>
      <c r="Q67">
        <f>ROUND((Source!BZ39/100)*ROUND((Source!AF39*Source!AV39)*Source!I39, 2), 2)</f>
        <v>0</v>
      </c>
      <c r="R67">
        <f>Source!X39</f>
        <v>0</v>
      </c>
      <c r="S67">
        <f>ROUND((Source!CA39/100)*ROUND((Source!AF39*Source!AV39)*Source!I39, 2), 2)</f>
        <v>0</v>
      </c>
      <c r="T67">
        <f>Source!Y39</f>
        <v>0</v>
      </c>
      <c r="U67">
        <f>ROUND((175/100)*ROUND((Source!AE39*Source!AV39)*Source!I39, 2), 2)</f>
        <v>0</v>
      </c>
      <c r="V67">
        <f>ROUND((108/100)*ROUND(Source!CS39*Source!I39, 2), 2)</f>
        <v>0</v>
      </c>
    </row>
    <row r="68" spans="1:22" ht="14.25" x14ac:dyDescent="0.2">
      <c r="A68" s="19"/>
      <c r="B68" s="19"/>
      <c r="C68" s="19" t="s">
        <v>446</v>
      </c>
      <c r="D68" s="20" t="s">
        <v>447</v>
      </c>
      <c r="E68" s="9">
        <f>Source!AT37</f>
        <v>70</v>
      </c>
      <c r="F68" s="22"/>
      <c r="G68" s="21"/>
      <c r="H68" s="9"/>
      <c r="I68" s="9"/>
      <c r="J68" s="22">
        <f>SUM(R62:R67)</f>
        <v>78.95</v>
      </c>
      <c r="K68" s="22"/>
    </row>
    <row r="69" spans="1:22" ht="14.25" x14ac:dyDescent="0.2">
      <c r="A69" s="19"/>
      <c r="B69" s="19"/>
      <c r="C69" s="19" t="s">
        <v>448</v>
      </c>
      <c r="D69" s="20" t="s">
        <v>447</v>
      </c>
      <c r="E69" s="9">
        <f>Source!AU37</f>
        <v>10</v>
      </c>
      <c r="F69" s="22"/>
      <c r="G69" s="21"/>
      <c r="H69" s="9"/>
      <c r="I69" s="9"/>
      <c r="J69" s="22">
        <f>SUM(T62:T68)</f>
        <v>11.28</v>
      </c>
      <c r="K69" s="22"/>
    </row>
    <row r="70" spans="1:22" ht="14.25" x14ac:dyDescent="0.2">
      <c r="A70" s="19"/>
      <c r="B70" s="19"/>
      <c r="C70" s="19" t="s">
        <v>449</v>
      </c>
      <c r="D70" s="20" t="s">
        <v>450</v>
      </c>
      <c r="E70" s="9">
        <f>Source!AQ37</f>
        <v>12.88</v>
      </c>
      <c r="F70" s="22"/>
      <c r="G70" s="21" t="str">
        <f>Source!DI37</f>
        <v/>
      </c>
      <c r="H70" s="9">
        <f>Source!AV37</f>
        <v>1</v>
      </c>
      <c r="I70" s="9"/>
      <c r="J70" s="22"/>
      <c r="K70" s="22">
        <f>Source!U37</f>
        <v>0.20350400000000005</v>
      </c>
    </row>
    <row r="71" spans="1:22" ht="15" x14ac:dyDescent="0.25">
      <c r="A71" s="26"/>
      <c r="B71" s="26"/>
      <c r="C71" s="26"/>
      <c r="D71" s="26"/>
      <c r="E71" s="26"/>
      <c r="F71" s="26"/>
      <c r="G71" s="26"/>
      <c r="H71" s="26"/>
      <c r="I71" s="61">
        <f>J64+J65+J68+J69+SUM(J66:J67)</f>
        <v>325.13999999999993</v>
      </c>
      <c r="J71" s="61"/>
      <c r="K71" s="27">
        <f>IF(Source!I37&lt;&gt;0, ROUND(I71/Source!I37, 2), 0)</f>
        <v>20578.48</v>
      </c>
      <c r="P71" s="24">
        <f>I71</f>
        <v>325.13999999999993</v>
      </c>
    </row>
    <row r="72" spans="1:22" ht="28.5" x14ac:dyDescent="0.2">
      <c r="A72" s="19">
        <v>5</v>
      </c>
      <c r="B72" s="19" t="str">
        <f>Source!F40</f>
        <v>1.10-3405-2-1/1</v>
      </c>
      <c r="C72" s="19" t="str">
        <f>Source!G40</f>
        <v>Укладка металлической накладной полосы (порожка)</v>
      </c>
      <c r="D72" s="20" t="str">
        <f>Source!H40</f>
        <v>100 м</v>
      </c>
      <c r="E72" s="9">
        <f>Source!I40</f>
        <v>8.9999999999999993E-3</v>
      </c>
      <c r="F72" s="22"/>
      <c r="G72" s="21"/>
      <c r="H72" s="9"/>
      <c r="I72" s="9"/>
      <c r="J72" s="22"/>
      <c r="K72" s="22"/>
      <c r="Q72">
        <f>ROUND((Source!BZ40/100)*ROUND((Source!AF40*Source!AV40)*Source!I40, 2), 2)</f>
        <v>54.4</v>
      </c>
      <c r="R72">
        <f>Source!X40</f>
        <v>54.4</v>
      </c>
      <c r="S72">
        <f>ROUND((Source!CA40/100)*ROUND((Source!AF40*Source!AV40)*Source!I40, 2), 2)</f>
        <v>7.77</v>
      </c>
      <c r="T72">
        <f>Source!Y40</f>
        <v>7.77</v>
      </c>
      <c r="U72">
        <f>ROUND((175/100)*ROUND((Source!AE40*Source!AV40)*Source!I40, 2), 2)</f>
        <v>0.16</v>
      </c>
      <c r="V72">
        <f>ROUND((108/100)*ROUND(Source!CS40*Source!I40, 2), 2)</f>
        <v>0.1</v>
      </c>
    </row>
    <row r="73" spans="1:22" x14ac:dyDescent="0.2">
      <c r="C73" s="23" t="str">
        <f>"Объем: "&amp;Source!I40&amp;"=0,9/"&amp;"100"</f>
        <v>Объем: 0,009=0,9/100</v>
      </c>
    </row>
    <row r="74" spans="1:22" ht="14.25" x14ac:dyDescent="0.2">
      <c r="A74" s="19"/>
      <c r="B74" s="19"/>
      <c r="C74" s="19" t="s">
        <v>444</v>
      </c>
      <c r="D74" s="20"/>
      <c r="E74" s="9"/>
      <c r="F74" s="22">
        <f>Source!AO40</f>
        <v>8635</v>
      </c>
      <c r="G74" s="21" t="str">
        <f>Source!DG40</f>
        <v/>
      </c>
      <c r="H74" s="9">
        <f>Source!AV40</f>
        <v>1</v>
      </c>
      <c r="I74" s="9">
        <f>IF(Source!BA40&lt;&gt; 0, Source!BA40, 1)</f>
        <v>1</v>
      </c>
      <c r="J74" s="22">
        <f>Source!S40</f>
        <v>77.72</v>
      </c>
      <c r="K74" s="22"/>
    </row>
    <row r="75" spans="1:22" ht="14.25" x14ac:dyDescent="0.2">
      <c r="A75" s="19"/>
      <c r="B75" s="19"/>
      <c r="C75" s="19" t="s">
        <v>445</v>
      </c>
      <c r="D75" s="20"/>
      <c r="E75" s="9"/>
      <c r="F75" s="22">
        <f>Source!AM40</f>
        <v>89.91</v>
      </c>
      <c r="G75" s="21" t="str">
        <f>Source!DE40</f>
        <v/>
      </c>
      <c r="H75" s="9">
        <f>Source!AV40</f>
        <v>1</v>
      </c>
      <c r="I75" s="9">
        <f>IF(Source!BB40&lt;&gt; 0, Source!BB40, 1)</f>
        <v>1</v>
      </c>
      <c r="J75" s="22">
        <f>Source!Q40</f>
        <v>0.81</v>
      </c>
      <c r="K75" s="22"/>
    </row>
    <row r="76" spans="1:22" ht="14.25" x14ac:dyDescent="0.2">
      <c r="A76" s="19"/>
      <c r="B76" s="19"/>
      <c r="C76" s="19" t="s">
        <v>455</v>
      </c>
      <c r="D76" s="20"/>
      <c r="E76" s="9"/>
      <c r="F76" s="22">
        <f>Source!AN40</f>
        <v>10.32</v>
      </c>
      <c r="G76" s="21" t="str">
        <f>Source!DF40</f>
        <v/>
      </c>
      <c r="H76" s="9">
        <f>Source!AV40</f>
        <v>1</v>
      </c>
      <c r="I76" s="9">
        <f>IF(Source!BS40&lt;&gt; 0, Source!BS40, 1)</f>
        <v>1</v>
      </c>
      <c r="J76" s="29">
        <f>Source!R40</f>
        <v>0.09</v>
      </c>
      <c r="K76" s="22"/>
    </row>
    <row r="77" spans="1:22" ht="14.25" x14ac:dyDescent="0.2">
      <c r="A77" s="19"/>
      <c r="B77" s="19"/>
      <c r="C77" s="19" t="s">
        <v>451</v>
      </c>
      <c r="D77" s="20"/>
      <c r="E77" s="9"/>
      <c r="F77" s="22">
        <f>Source!AL40</f>
        <v>16476.439999999999</v>
      </c>
      <c r="G77" s="21" t="str">
        <f>Source!DD40</f>
        <v/>
      </c>
      <c r="H77" s="9">
        <f>Source!AW40</f>
        <v>1</v>
      </c>
      <c r="I77" s="9">
        <f>IF(Source!BC40&lt;&gt; 0, Source!BC40, 1)</f>
        <v>1</v>
      </c>
      <c r="J77" s="22">
        <f>Source!P40</f>
        <v>148.29</v>
      </c>
      <c r="K77" s="22"/>
    </row>
    <row r="78" spans="1:22" ht="14.25" x14ac:dyDescent="0.2">
      <c r="A78" s="19"/>
      <c r="B78" s="19"/>
      <c r="C78" s="19" t="s">
        <v>446</v>
      </c>
      <c r="D78" s="20" t="s">
        <v>447</v>
      </c>
      <c r="E78" s="9">
        <f>Source!AT40</f>
        <v>70</v>
      </c>
      <c r="F78" s="22"/>
      <c r="G78" s="21"/>
      <c r="H78" s="9"/>
      <c r="I78" s="9"/>
      <c r="J78" s="22">
        <f>SUM(R72:R77)</f>
        <v>54.4</v>
      </c>
      <c r="K78" s="22"/>
    </row>
    <row r="79" spans="1:22" ht="14.25" x14ac:dyDescent="0.2">
      <c r="A79" s="19"/>
      <c r="B79" s="19"/>
      <c r="C79" s="19" t="s">
        <v>448</v>
      </c>
      <c r="D79" s="20" t="s">
        <v>447</v>
      </c>
      <c r="E79" s="9">
        <f>Source!AU40</f>
        <v>10</v>
      </c>
      <c r="F79" s="22"/>
      <c r="G79" s="21"/>
      <c r="H79" s="9"/>
      <c r="I79" s="9"/>
      <c r="J79" s="22">
        <f>SUM(T72:T78)</f>
        <v>7.77</v>
      </c>
      <c r="K79" s="22"/>
    </row>
    <row r="80" spans="1:22" ht="14.25" x14ac:dyDescent="0.2">
      <c r="A80" s="19"/>
      <c r="B80" s="19"/>
      <c r="C80" s="19" t="s">
        <v>456</v>
      </c>
      <c r="D80" s="20" t="s">
        <v>447</v>
      </c>
      <c r="E80" s="9">
        <f>108</f>
        <v>108</v>
      </c>
      <c r="F80" s="22"/>
      <c r="G80" s="21"/>
      <c r="H80" s="9"/>
      <c r="I80" s="9"/>
      <c r="J80" s="22">
        <f>SUM(V72:V79)</f>
        <v>0.1</v>
      </c>
      <c r="K80" s="22"/>
    </row>
    <row r="81" spans="1:22" ht="14.25" x14ac:dyDescent="0.2">
      <c r="A81" s="19"/>
      <c r="B81" s="19"/>
      <c r="C81" s="19" t="s">
        <v>449</v>
      </c>
      <c r="D81" s="20" t="s">
        <v>450</v>
      </c>
      <c r="E81" s="9">
        <f>Source!AQ40</f>
        <v>19.14</v>
      </c>
      <c r="F81" s="22"/>
      <c r="G81" s="21" t="str">
        <f>Source!DI40</f>
        <v/>
      </c>
      <c r="H81" s="9">
        <f>Source!AV40</f>
        <v>1</v>
      </c>
      <c r="I81" s="9"/>
      <c r="J81" s="22"/>
      <c r="K81" s="22">
        <f>Source!U40</f>
        <v>0.17226</v>
      </c>
    </row>
    <row r="82" spans="1:22" ht="15" x14ac:dyDescent="0.25">
      <c r="A82" s="26"/>
      <c r="B82" s="26"/>
      <c r="C82" s="26"/>
      <c r="D82" s="26"/>
      <c r="E82" s="26"/>
      <c r="F82" s="26"/>
      <c r="G82" s="26"/>
      <c r="H82" s="26"/>
      <c r="I82" s="61">
        <f>J74+J75+J77+J78+J79+J80</f>
        <v>289.08999999999997</v>
      </c>
      <c r="J82" s="61"/>
      <c r="K82" s="27">
        <f>IF(Source!I40&lt;&gt;0, ROUND(I82/Source!I40, 2), 0)</f>
        <v>32121.11</v>
      </c>
      <c r="P82" s="24">
        <f>I82</f>
        <v>289.08999999999997</v>
      </c>
    </row>
    <row r="83" spans="1:22" ht="28.5" x14ac:dyDescent="0.2">
      <c r="A83" s="19">
        <v>6</v>
      </c>
      <c r="B83" s="19" t="str">
        <f>Source!F41</f>
        <v>1.10-3504-1-1/1</v>
      </c>
      <c r="C83" s="19" t="str">
        <f>Source!G41</f>
        <v>Разборка покрытий из линолеума и релина</v>
      </c>
      <c r="D83" s="20" t="str">
        <f>Source!H41</f>
        <v>100 м2</v>
      </c>
      <c r="E83" s="9">
        <f>Source!I41</f>
        <v>0.55000000000000004</v>
      </c>
      <c r="F83" s="22"/>
      <c r="G83" s="21"/>
      <c r="H83" s="9"/>
      <c r="I83" s="9"/>
      <c r="J83" s="22"/>
      <c r="K83" s="22"/>
      <c r="Q83">
        <f>ROUND((Source!BZ41/100)*ROUND((Source!AF41*Source!AV41)*Source!I41, 2), 2)</f>
        <v>1706.96</v>
      </c>
      <c r="R83">
        <f>Source!X41</f>
        <v>1706.96</v>
      </c>
      <c r="S83">
        <f>ROUND((Source!CA41/100)*ROUND((Source!AF41*Source!AV41)*Source!I41, 2), 2)</f>
        <v>243.85</v>
      </c>
      <c r="T83">
        <f>Source!Y41</f>
        <v>243.85</v>
      </c>
      <c r="U83">
        <f>ROUND((175/100)*ROUND((Source!AE41*Source!AV41)*Source!I41, 2), 2)</f>
        <v>0</v>
      </c>
      <c r="V83">
        <f>ROUND((108/100)*ROUND(Source!CS41*Source!I41, 2), 2)</f>
        <v>0</v>
      </c>
    </row>
    <row r="84" spans="1:22" x14ac:dyDescent="0.2">
      <c r="C84" s="23" t="str">
        <f>"Объем: "&amp;Source!I41&amp;"=55/"&amp;"100"</f>
        <v>Объем: 0,55=55/100</v>
      </c>
    </row>
    <row r="85" spans="1:22" ht="14.25" x14ac:dyDescent="0.2">
      <c r="A85" s="19"/>
      <c r="B85" s="19"/>
      <c r="C85" s="19" t="s">
        <v>444</v>
      </c>
      <c r="D85" s="20"/>
      <c r="E85" s="9"/>
      <c r="F85" s="22">
        <f>Source!AO41</f>
        <v>4433.67</v>
      </c>
      <c r="G85" s="21" t="str">
        <f>Source!DG41</f>
        <v/>
      </c>
      <c r="H85" s="9">
        <f>Source!AV41</f>
        <v>1</v>
      </c>
      <c r="I85" s="9">
        <f>IF(Source!BA41&lt;&gt; 0, Source!BA41, 1)</f>
        <v>1</v>
      </c>
      <c r="J85" s="22">
        <f>Source!S41</f>
        <v>2438.52</v>
      </c>
      <c r="K85" s="22"/>
    </row>
    <row r="86" spans="1:22" ht="14.25" x14ac:dyDescent="0.2">
      <c r="A86" s="19"/>
      <c r="B86" s="19"/>
      <c r="C86" s="19" t="s">
        <v>446</v>
      </c>
      <c r="D86" s="20" t="s">
        <v>447</v>
      </c>
      <c r="E86" s="9">
        <f>Source!AT41</f>
        <v>70</v>
      </c>
      <c r="F86" s="22"/>
      <c r="G86" s="21"/>
      <c r="H86" s="9"/>
      <c r="I86" s="9"/>
      <c r="J86" s="22">
        <f>SUM(R83:R85)</f>
        <v>1706.96</v>
      </c>
      <c r="K86" s="22"/>
    </row>
    <row r="87" spans="1:22" ht="14.25" x14ac:dyDescent="0.2">
      <c r="A87" s="19"/>
      <c r="B87" s="19"/>
      <c r="C87" s="19" t="s">
        <v>448</v>
      </c>
      <c r="D87" s="20" t="s">
        <v>447</v>
      </c>
      <c r="E87" s="9">
        <f>Source!AU41</f>
        <v>10</v>
      </c>
      <c r="F87" s="22"/>
      <c r="G87" s="21"/>
      <c r="H87" s="9"/>
      <c r="I87" s="9"/>
      <c r="J87" s="22">
        <f>SUM(T83:T86)</f>
        <v>243.85</v>
      </c>
      <c r="K87" s="22"/>
    </row>
    <row r="88" spans="1:22" ht="14.25" x14ac:dyDescent="0.2">
      <c r="A88" s="19"/>
      <c r="B88" s="19"/>
      <c r="C88" s="19" t="s">
        <v>449</v>
      </c>
      <c r="D88" s="20" t="s">
        <v>450</v>
      </c>
      <c r="E88" s="9">
        <f>Source!AQ41</f>
        <v>11.39</v>
      </c>
      <c r="F88" s="22"/>
      <c r="G88" s="21" t="str">
        <f>Source!DI41</f>
        <v/>
      </c>
      <c r="H88" s="9">
        <f>Source!AV41</f>
        <v>1</v>
      </c>
      <c r="I88" s="9"/>
      <c r="J88" s="22"/>
      <c r="K88" s="22">
        <f>Source!U41</f>
        <v>6.2645000000000008</v>
      </c>
    </row>
    <row r="89" spans="1:22" ht="15" x14ac:dyDescent="0.25">
      <c r="A89" s="26"/>
      <c r="B89" s="26"/>
      <c r="C89" s="26"/>
      <c r="D89" s="26"/>
      <c r="E89" s="26"/>
      <c r="F89" s="26"/>
      <c r="G89" s="26"/>
      <c r="H89" s="26"/>
      <c r="I89" s="61">
        <f>J85+J86+J87</f>
        <v>4389.33</v>
      </c>
      <c r="J89" s="61"/>
      <c r="K89" s="27">
        <f>IF(Source!I41&lt;&gt;0, ROUND(I89/Source!I41, 2), 0)</f>
        <v>7980.6</v>
      </c>
      <c r="P89" s="24">
        <f>I89</f>
        <v>4389.33</v>
      </c>
    </row>
    <row r="90" spans="1:22" ht="42.75" x14ac:dyDescent="0.2">
      <c r="A90" s="19">
        <v>7</v>
      </c>
      <c r="B90" s="19" t="str">
        <f>Source!F42</f>
        <v>1.10-3103-2-11/1</v>
      </c>
      <c r="C90" s="19" t="str">
        <f>Source!G42</f>
        <v>Устройство самовыравнивающихся стяжек из специализированных сухих смесей толщиной 5 мм</v>
      </c>
      <c r="D90" s="20" t="str">
        <f>Source!H42</f>
        <v>100 м2</v>
      </c>
      <c r="E90" s="9">
        <f>Source!I42</f>
        <v>0.55000000000000004</v>
      </c>
      <c r="F90" s="22"/>
      <c r="G90" s="21"/>
      <c r="H90" s="9"/>
      <c r="I90" s="9"/>
      <c r="J90" s="22"/>
      <c r="K90" s="22"/>
      <c r="Q90">
        <f>ROUND((Source!BZ42/100)*ROUND((Source!AF42*Source!AV42)*Source!I42, 2), 2)</f>
        <v>6882.11</v>
      </c>
      <c r="R90">
        <f>Source!X42</f>
        <v>6882.11</v>
      </c>
      <c r="S90">
        <f>ROUND((Source!CA42/100)*ROUND((Source!AF42*Source!AV42)*Source!I42, 2), 2)</f>
        <v>983.16</v>
      </c>
      <c r="T90">
        <f>Source!Y42</f>
        <v>983.16</v>
      </c>
      <c r="U90">
        <f>ROUND((175/100)*ROUND((Source!AE42*Source!AV42)*Source!I42, 2), 2)</f>
        <v>25.73</v>
      </c>
      <c r="V90">
        <f>ROUND((108/100)*ROUND(Source!CS42*Source!I42, 2), 2)</f>
        <v>15.88</v>
      </c>
    </row>
    <row r="91" spans="1:22" x14ac:dyDescent="0.2">
      <c r="C91" s="23" t="str">
        <f>"Объем: "&amp;Source!I42&amp;"=55/"&amp;"100"</f>
        <v>Объем: 0,55=55/100</v>
      </c>
    </row>
    <row r="92" spans="1:22" ht="14.25" x14ac:dyDescent="0.2">
      <c r="A92" s="19"/>
      <c r="B92" s="19"/>
      <c r="C92" s="19" t="s">
        <v>444</v>
      </c>
      <c r="D92" s="20"/>
      <c r="E92" s="9"/>
      <c r="F92" s="22">
        <f>Source!AO42</f>
        <v>17875.61</v>
      </c>
      <c r="G92" s="21" t="str">
        <f>Source!DG42</f>
        <v/>
      </c>
      <c r="H92" s="9">
        <f>Source!AV42</f>
        <v>1</v>
      </c>
      <c r="I92" s="9">
        <f>IF(Source!BA42&lt;&gt; 0, Source!BA42, 1)</f>
        <v>1</v>
      </c>
      <c r="J92" s="22">
        <f>Source!S42</f>
        <v>9831.59</v>
      </c>
      <c r="K92" s="22"/>
    </row>
    <row r="93" spans="1:22" ht="14.25" x14ac:dyDescent="0.2">
      <c r="A93" s="19"/>
      <c r="B93" s="19"/>
      <c r="C93" s="19" t="s">
        <v>445</v>
      </c>
      <c r="D93" s="20"/>
      <c r="E93" s="9"/>
      <c r="F93" s="22">
        <f>Source!AM42</f>
        <v>242.43</v>
      </c>
      <c r="G93" s="21" t="str">
        <f>Source!DE42</f>
        <v/>
      </c>
      <c r="H93" s="9">
        <f>Source!AV42</f>
        <v>1</v>
      </c>
      <c r="I93" s="9">
        <f>IF(Source!BB42&lt;&gt; 0, Source!BB42, 1)</f>
        <v>1</v>
      </c>
      <c r="J93" s="22">
        <f>Source!Q42</f>
        <v>133.34</v>
      </c>
      <c r="K93" s="22"/>
    </row>
    <row r="94" spans="1:22" ht="14.25" x14ac:dyDescent="0.2">
      <c r="A94" s="19"/>
      <c r="B94" s="19"/>
      <c r="C94" s="19" t="s">
        <v>455</v>
      </c>
      <c r="D94" s="20"/>
      <c r="E94" s="9"/>
      <c r="F94" s="22">
        <f>Source!AN42</f>
        <v>26.72</v>
      </c>
      <c r="G94" s="21" t="str">
        <f>Source!DF42</f>
        <v/>
      </c>
      <c r="H94" s="9">
        <f>Source!AV42</f>
        <v>1</v>
      </c>
      <c r="I94" s="9">
        <f>IF(Source!BS42&lt;&gt; 0, Source!BS42, 1)</f>
        <v>1</v>
      </c>
      <c r="J94" s="29">
        <f>Source!R42</f>
        <v>14.7</v>
      </c>
      <c r="K94" s="22"/>
    </row>
    <row r="95" spans="1:22" ht="14.25" x14ac:dyDescent="0.2">
      <c r="A95" s="19"/>
      <c r="B95" s="19"/>
      <c r="C95" s="19" t="s">
        <v>451</v>
      </c>
      <c r="D95" s="20"/>
      <c r="E95" s="9"/>
      <c r="F95" s="22">
        <f>Source!AL42</f>
        <v>50429.440000000002</v>
      </c>
      <c r="G95" s="21" t="str">
        <f>Source!DD42</f>
        <v/>
      </c>
      <c r="H95" s="9">
        <f>Source!AW42</f>
        <v>1</v>
      </c>
      <c r="I95" s="9">
        <f>IF(Source!BC42&lt;&gt; 0, Source!BC42, 1)</f>
        <v>1</v>
      </c>
      <c r="J95" s="22">
        <f>Source!P42</f>
        <v>27736.19</v>
      </c>
      <c r="K95" s="22"/>
    </row>
    <row r="96" spans="1:22" ht="14.25" x14ac:dyDescent="0.2">
      <c r="A96" s="19"/>
      <c r="B96" s="19"/>
      <c r="C96" s="19" t="s">
        <v>446</v>
      </c>
      <c r="D96" s="20" t="s">
        <v>447</v>
      </c>
      <c r="E96" s="9">
        <f>Source!AT42</f>
        <v>70</v>
      </c>
      <c r="F96" s="22"/>
      <c r="G96" s="21"/>
      <c r="H96" s="9"/>
      <c r="I96" s="9"/>
      <c r="J96" s="22">
        <f>SUM(R90:R95)</f>
        <v>6882.11</v>
      </c>
      <c r="K96" s="22"/>
    </row>
    <row r="97" spans="1:22" ht="14.25" x14ac:dyDescent="0.2">
      <c r="A97" s="19"/>
      <c r="B97" s="19"/>
      <c r="C97" s="19" t="s">
        <v>448</v>
      </c>
      <c r="D97" s="20" t="s">
        <v>447</v>
      </c>
      <c r="E97" s="9">
        <f>Source!AU42</f>
        <v>10</v>
      </c>
      <c r="F97" s="22"/>
      <c r="G97" s="21"/>
      <c r="H97" s="9"/>
      <c r="I97" s="9"/>
      <c r="J97" s="22">
        <f>SUM(T90:T96)</f>
        <v>983.16</v>
      </c>
      <c r="K97" s="22"/>
    </row>
    <row r="98" spans="1:22" ht="14.25" x14ac:dyDescent="0.2">
      <c r="A98" s="19"/>
      <c r="B98" s="19"/>
      <c r="C98" s="19" t="s">
        <v>456</v>
      </c>
      <c r="D98" s="20" t="s">
        <v>447</v>
      </c>
      <c r="E98" s="9">
        <f>108</f>
        <v>108</v>
      </c>
      <c r="F98" s="22"/>
      <c r="G98" s="21"/>
      <c r="H98" s="9"/>
      <c r="I98" s="9"/>
      <c r="J98" s="22">
        <f>SUM(V90:V97)</f>
        <v>15.88</v>
      </c>
      <c r="K98" s="22"/>
    </row>
    <row r="99" spans="1:22" ht="14.25" x14ac:dyDescent="0.2">
      <c r="A99" s="19"/>
      <c r="B99" s="19"/>
      <c r="C99" s="19" t="s">
        <v>449</v>
      </c>
      <c r="D99" s="20" t="s">
        <v>450</v>
      </c>
      <c r="E99" s="9">
        <f>Source!AQ42</f>
        <v>37.97</v>
      </c>
      <c r="F99" s="22"/>
      <c r="G99" s="21" t="str">
        <f>Source!DI42</f>
        <v/>
      </c>
      <c r="H99" s="9">
        <f>Source!AV42</f>
        <v>1</v>
      </c>
      <c r="I99" s="9"/>
      <c r="J99" s="22"/>
      <c r="K99" s="22">
        <f>Source!U42</f>
        <v>20.883500000000002</v>
      </c>
    </row>
    <row r="100" spans="1:22" ht="15" x14ac:dyDescent="0.25">
      <c r="A100" s="26"/>
      <c r="B100" s="26"/>
      <c r="C100" s="26"/>
      <c r="D100" s="26"/>
      <c r="E100" s="26"/>
      <c r="F100" s="26"/>
      <c r="G100" s="26"/>
      <c r="H100" s="26"/>
      <c r="I100" s="61">
        <f>J92+J93+J95+J96+J97+J98</f>
        <v>45582.27</v>
      </c>
      <c r="J100" s="61"/>
      <c r="K100" s="27">
        <f>IF(Source!I42&lt;&gt;0, ROUND(I100/Source!I42, 2), 0)</f>
        <v>82876.850000000006</v>
      </c>
      <c r="P100" s="24">
        <f>I100</f>
        <v>45582.27</v>
      </c>
    </row>
    <row r="101" spans="1:22" ht="85.5" x14ac:dyDescent="0.2">
      <c r="A101" s="19">
        <v>8</v>
      </c>
      <c r="B101" s="19" t="str">
        <f>Source!F43</f>
        <v>1.10-3203-5-1/2</v>
      </c>
      <c r="C101" s="19" t="str">
        <f>Source!G43</f>
        <v>Устройство тепло - и звукоизоляции сплошной из вспененных рулонных материалов на клее под ковровые покрытия (с предварительным грунтованием поверхности, монтаж на клей)</v>
      </c>
      <c r="D101" s="20" t="str">
        <f>Source!H43</f>
        <v>100 м2</v>
      </c>
      <c r="E101" s="9">
        <f>Source!I43</f>
        <v>0.55000000000000004</v>
      </c>
      <c r="F101" s="22"/>
      <c r="G101" s="21"/>
      <c r="H101" s="9"/>
      <c r="I101" s="9"/>
      <c r="J101" s="22"/>
      <c r="K101" s="22"/>
      <c r="Q101">
        <f>ROUND((Source!BZ43/100)*ROUND((Source!AF43*Source!AV43)*Source!I43, 2), 2)</f>
        <v>5226.37</v>
      </c>
      <c r="R101">
        <f>Source!X43</f>
        <v>5226.37</v>
      </c>
      <c r="S101">
        <f>ROUND((Source!CA43/100)*ROUND((Source!AF43*Source!AV43)*Source!I43, 2), 2)</f>
        <v>746.62</v>
      </c>
      <c r="T101">
        <f>Source!Y43</f>
        <v>746.62</v>
      </c>
      <c r="U101">
        <f>ROUND((175/100)*ROUND((Source!AE43*Source!AV43)*Source!I43, 2), 2)</f>
        <v>1.98</v>
      </c>
      <c r="V101">
        <f>ROUND((108/100)*ROUND(Source!CS43*Source!I43, 2), 2)</f>
        <v>1.22</v>
      </c>
    </row>
    <row r="102" spans="1:22" x14ac:dyDescent="0.2">
      <c r="C102" s="23" t="str">
        <f>"Объем: "&amp;Source!I43&amp;"=55/"&amp;"100"</f>
        <v>Объем: 0,55=55/100</v>
      </c>
    </row>
    <row r="103" spans="1:22" ht="14.25" x14ac:dyDescent="0.2">
      <c r="A103" s="19"/>
      <c r="B103" s="19"/>
      <c r="C103" s="19" t="s">
        <v>444</v>
      </c>
      <c r="D103" s="20"/>
      <c r="E103" s="9"/>
      <c r="F103" s="22">
        <f>Source!AO43</f>
        <v>13574.99</v>
      </c>
      <c r="G103" s="21" t="str">
        <f>Source!DG43</f>
        <v/>
      </c>
      <c r="H103" s="9">
        <f>Source!AV43</f>
        <v>1</v>
      </c>
      <c r="I103" s="9">
        <f>IF(Source!BA43&lt;&gt; 0, Source!BA43, 1)</f>
        <v>1</v>
      </c>
      <c r="J103" s="22">
        <f>Source!S43</f>
        <v>7466.24</v>
      </c>
      <c r="K103" s="22"/>
    </row>
    <row r="104" spans="1:22" ht="14.25" x14ac:dyDescent="0.2">
      <c r="A104" s="19"/>
      <c r="B104" s="19"/>
      <c r="C104" s="19" t="s">
        <v>445</v>
      </c>
      <c r="D104" s="20"/>
      <c r="E104" s="9"/>
      <c r="F104" s="22">
        <f>Source!AM43</f>
        <v>373.1</v>
      </c>
      <c r="G104" s="21" t="str">
        <f>Source!DE43</f>
        <v/>
      </c>
      <c r="H104" s="9">
        <f>Source!AV43</f>
        <v>1</v>
      </c>
      <c r="I104" s="9">
        <f>IF(Source!BB43&lt;&gt; 0, Source!BB43, 1)</f>
        <v>1</v>
      </c>
      <c r="J104" s="22">
        <f>Source!Q43</f>
        <v>205.21</v>
      </c>
      <c r="K104" s="22"/>
    </row>
    <row r="105" spans="1:22" ht="14.25" x14ac:dyDescent="0.2">
      <c r="A105" s="19"/>
      <c r="B105" s="19"/>
      <c r="C105" s="19" t="s">
        <v>455</v>
      </c>
      <c r="D105" s="20"/>
      <c r="E105" s="9"/>
      <c r="F105" s="22">
        <f>Source!AN43</f>
        <v>2.06</v>
      </c>
      <c r="G105" s="21" t="str">
        <f>Source!DF43</f>
        <v/>
      </c>
      <c r="H105" s="9">
        <f>Source!AV43</f>
        <v>1</v>
      </c>
      <c r="I105" s="9">
        <f>IF(Source!BS43&lt;&gt; 0, Source!BS43, 1)</f>
        <v>1</v>
      </c>
      <c r="J105" s="29">
        <f>Source!R43</f>
        <v>1.1299999999999999</v>
      </c>
      <c r="K105" s="22"/>
    </row>
    <row r="106" spans="1:22" ht="14.25" x14ac:dyDescent="0.2">
      <c r="A106" s="19"/>
      <c r="B106" s="19"/>
      <c r="C106" s="19" t="s">
        <v>451</v>
      </c>
      <c r="D106" s="20"/>
      <c r="E106" s="9"/>
      <c r="F106" s="22">
        <f>Source!AL43</f>
        <v>10363.959999999999</v>
      </c>
      <c r="G106" s="21" t="str">
        <f>Source!DD43</f>
        <v/>
      </c>
      <c r="H106" s="9">
        <f>Source!AW43</f>
        <v>1</v>
      </c>
      <c r="I106" s="9">
        <f>IF(Source!BC43&lt;&gt; 0, Source!BC43, 1)</f>
        <v>1</v>
      </c>
      <c r="J106" s="22">
        <f>Source!P43</f>
        <v>5700.18</v>
      </c>
      <c r="K106" s="22"/>
    </row>
    <row r="107" spans="1:22" ht="41.25" x14ac:dyDescent="0.2">
      <c r="A107" s="19" t="s">
        <v>74</v>
      </c>
      <c r="B107" s="19" t="str">
        <f>Source!F44</f>
        <v>цена пост.</v>
      </c>
      <c r="C107" s="19" t="s">
        <v>457</v>
      </c>
      <c r="D107" s="20" t="str">
        <f>Source!H44</f>
        <v>м2</v>
      </c>
      <c r="E107" s="9">
        <f>Source!I44</f>
        <v>56.65</v>
      </c>
      <c r="F107" s="22">
        <f>Source!AK44</f>
        <v>22.78</v>
      </c>
      <c r="G107" s="28" t="s">
        <v>3</v>
      </c>
      <c r="H107" s="9">
        <f>Source!AW44</f>
        <v>1</v>
      </c>
      <c r="I107" s="9">
        <f>IF(Source!BC44&lt;&gt; 0, Source!BC44, 1)</f>
        <v>1</v>
      </c>
      <c r="J107" s="22">
        <f>Source!O44</f>
        <v>1290.49</v>
      </c>
      <c r="K107" s="22"/>
      <c r="Q107">
        <f>ROUND((Source!BZ44/100)*ROUND((Source!AF44*Source!AV44)*Source!I44, 2), 2)</f>
        <v>0</v>
      </c>
      <c r="R107">
        <f>Source!X44</f>
        <v>0</v>
      </c>
      <c r="S107">
        <f>ROUND((Source!CA44/100)*ROUND((Source!AF44*Source!AV44)*Source!I44, 2), 2)</f>
        <v>0</v>
      </c>
      <c r="T107">
        <f>Source!Y44</f>
        <v>0</v>
      </c>
      <c r="U107">
        <f>ROUND((175/100)*ROUND((Source!AE44*Source!AV44)*Source!I44, 2), 2)</f>
        <v>0</v>
      </c>
      <c r="V107">
        <f>ROUND((108/100)*ROUND(Source!CS44*Source!I44, 2), 2)</f>
        <v>0</v>
      </c>
    </row>
    <row r="108" spans="1:22" ht="57" x14ac:dyDescent="0.2">
      <c r="A108" s="19" t="s">
        <v>78</v>
      </c>
      <c r="B108" s="19" t="str">
        <f>Source!F45</f>
        <v>21.1-14-38</v>
      </c>
      <c r="C108" s="19" t="s">
        <v>458</v>
      </c>
      <c r="D108" s="20" t="str">
        <f>Source!H45</f>
        <v>м2</v>
      </c>
      <c r="E108" s="9">
        <f>Source!I45</f>
        <v>-56.65</v>
      </c>
      <c r="F108" s="22">
        <f>Source!AK45</f>
        <v>20.420000000000002</v>
      </c>
      <c r="G108" s="28" t="s">
        <v>3</v>
      </c>
      <c r="H108" s="9">
        <f>Source!AW45</f>
        <v>1</v>
      </c>
      <c r="I108" s="9">
        <f>IF(Source!BC45&lt;&gt; 0, Source!BC45, 1)</f>
        <v>1</v>
      </c>
      <c r="J108" s="22">
        <f>Source!O45</f>
        <v>-1156.79</v>
      </c>
      <c r="K108" s="22"/>
      <c r="Q108">
        <f>ROUND((Source!BZ45/100)*ROUND((Source!AF45*Source!AV45)*Source!I45, 2), 2)</f>
        <v>0</v>
      </c>
      <c r="R108">
        <f>Source!X45</f>
        <v>0</v>
      </c>
      <c r="S108">
        <f>ROUND((Source!CA45/100)*ROUND((Source!AF45*Source!AV45)*Source!I45, 2), 2)</f>
        <v>0</v>
      </c>
      <c r="T108">
        <f>Source!Y45</f>
        <v>0</v>
      </c>
      <c r="U108">
        <f>ROUND((175/100)*ROUND((Source!AE45*Source!AV45)*Source!I45, 2), 2)</f>
        <v>0</v>
      </c>
      <c r="V108">
        <f>ROUND((108/100)*ROUND(Source!CS45*Source!I45, 2), 2)</f>
        <v>0</v>
      </c>
    </row>
    <row r="109" spans="1:22" ht="14.25" x14ac:dyDescent="0.2">
      <c r="A109" s="19"/>
      <c r="B109" s="19"/>
      <c r="C109" s="19" t="s">
        <v>446</v>
      </c>
      <c r="D109" s="20" t="s">
        <v>447</v>
      </c>
      <c r="E109" s="9">
        <f>Source!AT43</f>
        <v>70</v>
      </c>
      <c r="F109" s="22"/>
      <c r="G109" s="21"/>
      <c r="H109" s="9"/>
      <c r="I109" s="9"/>
      <c r="J109" s="22">
        <f>SUM(R101:R108)</f>
        <v>5226.37</v>
      </c>
      <c r="K109" s="22"/>
    </row>
    <row r="110" spans="1:22" ht="14.25" x14ac:dyDescent="0.2">
      <c r="A110" s="19"/>
      <c r="B110" s="19"/>
      <c r="C110" s="19" t="s">
        <v>448</v>
      </c>
      <c r="D110" s="20" t="s">
        <v>447</v>
      </c>
      <c r="E110" s="9">
        <f>Source!AU43</f>
        <v>10</v>
      </c>
      <c r="F110" s="22"/>
      <c r="G110" s="21"/>
      <c r="H110" s="9"/>
      <c r="I110" s="9"/>
      <c r="J110" s="22">
        <f>SUM(T101:T109)</f>
        <v>746.62</v>
      </c>
      <c r="K110" s="22"/>
    </row>
    <row r="111" spans="1:22" ht="14.25" x14ac:dyDescent="0.2">
      <c r="A111" s="19"/>
      <c r="B111" s="19"/>
      <c r="C111" s="19" t="s">
        <v>456</v>
      </c>
      <c r="D111" s="20" t="s">
        <v>447</v>
      </c>
      <c r="E111" s="9">
        <f>108</f>
        <v>108</v>
      </c>
      <c r="F111" s="22"/>
      <c r="G111" s="21"/>
      <c r="H111" s="9"/>
      <c r="I111" s="9"/>
      <c r="J111" s="22">
        <f>SUM(V101:V110)</f>
        <v>1.22</v>
      </c>
      <c r="K111" s="22"/>
    </row>
    <row r="112" spans="1:22" ht="14.25" x14ac:dyDescent="0.2">
      <c r="A112" s="19"/>
      <c r="B112" s="19"/>
      <c r="C112" s="19" t="s">
        <v>449</v>
      </c>
      <c r="D112" s="20" t="s">
        <v>450</v>
      </c>
      <c r="E112" s="9">
        <f>Source!AQ43</f>
        <v>29.59</v>
      </c>
      <c r="F112" s="22"/>
      <c r="G112" s="21" t="str">
        <f>Source!DI43</f>
        <v/>
      </c>
      <c r="H112" s="9">
        <f>Source!AV43</f>
        <v>1</v>
      </c>
      <c r="I112" s="9"/>
      <c r="J112" s="22"/>
      <c r="K112" s="22">
        <f>Source!U43</f>
        <v>16.2745</v>
      </c>
    </row>
    <row r="113" spans="1:22" ht="15" x14ac:dyDescent="0.25">
      <c r="A113" s="26"/>
      <c r="B113" s="26"/>
      <c r="C113" s="26"/>
      <c r="D113" s="26"/>
      <c r="E113" s="26"/>
      <c r="F113" s="26"/>
      <c r="G113" s="26"/>
      <c r="H113" s="26"/>
      <c r="I113" s="61">
        <f>J103+J104+J106+J109+J110+J111+SUM(J107:J108)</f>
        <v>19479.54</v>
      </c>
      <c r="J113" s="61"/>
      <c r="K113" s="27">
        <f>IF(Source!I43&lt;&gt;0, ROUND(I113/Source!I43, 2), 0)</f>
        <v>35417.35</v>
      </c>
      <c r="P113" s="24">
        <f>I113</f>
        <v>19479.54</v>
      </c>
    </row>
    <row r="114" spans="1:22" ht="57" x14ac:dyDescent="0.2">
      <c r="A114" s="19">
        <v>9</v>
      </c>
      <c r="B114" s="19" t="str">
        <f>Source!F46</f>
        <v>1.10-3503-1-5/2</v>
      </c>
      <c r="C114" s="19" t="str">
        <f>Source!G46</f>
        <v>Устройство покрытий на клее из линолеума высокой износостойкости толщиной 2 мм, истираемостью группы Р со сваркой стыков</v>
      </c>
      <c r="D114" s="20" t="str">
        <f>Source!H46</f>
        <v>100 м2</v>
      </c>
      <c r="E114" s="9">
        <f>Source!I46</f>
        <v>0.55000000000000004</v>
      </c>
      <c r="F114" s="22"/>
      <c r="G114" s="21"/>
      <c r="H114" s="9"/>
      <c r="I114" s="9"/>
      <c r="J114" s="22"/>
      <c r="K114" s="22"/>
      <c r="Q114">
        <f>ROUND((Source!BZ46/100)*ROUND((Source!AF46*Source!AV46)*Source!I46, 2), 2)</f>
        <v>10919.62</v>
      </c>
      <c r="R114">
        <f>Source!X46</f>
        <v>10919.62</v>
      </c>
      <c r="S114">
        <f>ROUND((Source!CA46/100)*ROUND((Source!AF46*Source!AV46)*Source!I46, 2), 2)</f>
        <v>1559.95</v>
      </c>
      <c r="T114">
        <f>Source!Y46</f>
        <v>1559.95</v>
      </c>
      <c r="U114">
        <f>ROUND((175/100)*ROUND((Source!AE46*Source!AV46)*Source!I46, 2), 2)</f>
        <v>2</v>
      </c>
      <c r="V114">
        <f>ROUND((108/100)*ROUND(Source!CS46*Source!I46, 2), 2)</f>
        <v>1.23</v>
      </c>
    </row>
    <row r="115" spans="1:22" x14ac:dyDescent="0.2">
      <c r="C115" s="23" t="str">
        <f>"Объем: "&amp;Source!I46&amp;"=55/"&amp;"100"</f>
        <v>Объем: 0,55=55/100</v>
      </c>
    </row>
    <row r="116" spans="1:22" ht="14.25" x14ac:dyDescent="0.2">
      <c r="A116" s="19"/>
      <c r="B116" s="19"/>
      <c r="C116" s="19" t="s">
        <v>444</v>
      </c>
      <c r="D116" s="20"/>
      <c r="E116" s="9"/>
      <c r="F116" s="22">
        <f>Source!AO46</f>
        <v>28362.65</v>
      </c>
      <c r="G116" s="21" t="str">
        <f>Source!DG46</f>
        <v/>
      </c>
      <c r="H116" s="9">
        <f>Source!AV46</f>
        <v>1</v>
      </c>
      <c r="I116" s="9">
        <f>IF(Source!BA46&lt;&gt; 0, Source!BA46, 1)</f>
        <v>1</v>
      </c>
      <c r="J116" s="22">
        <f>Source!S46</f>
        <v>15599.46</v>
      </c>
      <c r="K116" s="22"/>
    </row>
    <row r="117" spans="1:22" ht="14.25" x14ac:dyDescent="0.2">
      <c r="A117" s="19"/>
      <c r="B117" s="19"/>
      <c r="C117" s="19" t="s">
        <v>445</v>
      </c>
      <c r="D117" s="20"/>
      <c r="E117" s="9"/>
      <c r="F117" s="22">
        <f>Source!AM46</f>
        <v>425.55</v>
      </c>
      <c r="G117" s="21" t="str">
        <f>Source!DE46</f>
        <v/>
      </c>
      <c r="H117" s="9">
        <f>Source!AV46</f>
        <v>1</v>
      </c>
      <c r="I117" s="9">
        <f>IF(Source!BB46&lt;&gt; 0, Source!BB46, 1)</f>
        <v>1</v>
      </c>
      <c r="J117" s="22">
        <f>Source!Q46</f>
        <v>234.05</v>
      </c>
      <c r="K117" s="22"/>
    </row>
    <row r="118" spans="1:22" ht="14.25" x14ac:dyDescent="0.2">
      <c r="A118" s="19"/>
      <c r="B118" s="19"/>
      <c r="C118" s="19" t="s">
        <v>455</v>
      </c>
      <c r="D118" s="20"/>
      <c r="E118" s="9"/>
      <c r="F118" s="22">
        <f>Source!AN46</f>
        <v>2.0699999999999998</v>
      </c>
      <c r="G118" s="21" t="str">
        <f>Source!DF46</f>
        <v/>
      </c>
      <c r="H118" s="9">
        <f>Source!AV46</f>
        <v>1</v>
      </c>
      <c r="I118" s="9">
        <f>IF(Source!BS46&lt;&gt; 0, Source!BS46, 1)</f>
        <v>1</v>
      </c>
      <c r="J118" s="29">
        <f>Source!R46</f>
        <v>1.1399999999999999</v>
      </c>
      <c r="K118" s="22"/>
    </row>
    <row r="119" spans="1:22" ht="14.25" x14ac:dyDescent="0.2">
      <c r="A119" s="19"/>
      <c r="B119" s="19"/>
      <c r="C119" s="19" t="s">
        <v>451</v>
      </c>
      <c r="D119" s="20"/>
      <c r="E119" s="9"/>
      <c r="F119" s="22">
        <f>Source!AL46</f>
        <v>132412.01999999999</v>
      </c>
      <c r="G119" s="21" t="str">
        <f>Source!DD46</f>
        <v/>
      </c>
      <c r="H119" s="9">
        <f>Source!AW46</f>
        <v>1</v>
      </c>
      <c r="I119" s="9">
        <f>IF(Source!BC46&lt;&gt; 0, Source!BC46, 1)</f>
        <v>1</v>
      </c>
      <c r="J119" s="22">
        <f>Source!P46</f>
        <v>72826.61</v>
      </c>
      <c r="K119" s="22"/>
    </row>
    <row r="120" spans="1:22" ht="14.25" x14ac:dyDescent="0.2">
      <c r="A120" s="19"/>
      <c r="B120" s="19"/>
      <c r="C120" s="19" t="s">
        <v>446</v>
      </c>
      <c r="D120" s="20" t="s">
        <v>447</v>
      </c>
      <c r="E120" s="9">
        <f>Source!AT46</f>
        <v>70</v>
      </c>
      <c r="F120" s="22"/>
      <c r="G120" s="21"/>
      <c r="H120" s="9"/>
      <c r="I120" s="9"/>
      <c r="J120" s="22">
        <f>SUM(R114:R119)</f>
        <v>10919.62</v>
      </c>
      <c r="K120" s="22"/>
    </row>
    <row r="121" spans="1:22" ht="14.25" x14ac:dyDescent="0.2">
      <c r="A121" s="19"/>
      <c r="B121" s="19"/>
      <c r="C121" s="19" t="s">
        <v>448</v>
      </c>
      <c r="D121" s="20" t="s">
        <v>447</v>
      </c>
      <c r="E121" s="9">
        <f>Source!AU46</f>
        <v>10</v>
      </c>
      <c r="F121" s="22"/>
      <c r="G121" s="21"/>
      <c r="H121" s="9"/>
      <c r="I121" s="9"/>
      <c r="J121" s="22">
        <f>SUM(T114:T120)</f>
        <v>1559.95</v>
      </c>
      <c r="K121" s="22"/>
    </row>
    <row r="122" spans="1:22" ht="14.25" x14ac:dyDescent="0.2">
      <c r="A122" s="19"/>
      <c r="B122" s="19"/>
      <c r="C122" s="19" t="s">
        <v>456</v>
      </c>
      <c r="D122" s="20" t="s">
        <v>447</v>
      </c>
      <c r="E122" s="9">
        <f>108</f>
        <v>108</v>
      </c>
      <c r="F122" s="22"/>
      <c r="G122" s="21"/>
      <c r="H122" s="9"/>
      <c r="I122" s="9"/>
      <c r="J122" s="22">
        <f>SUM(V114:V121)</f>
        <v>1.23</v>
      </c>
      <c r="K122" s="22"/>
    </row>
    <row r="123" spans="1:22" ht="14.25" x14ac:dyDescent="0.2">
      <c r="A123" s="19"/>
      <c r="B123" s="19"/>
      <c r="C123" s="19" t="s">
        <v>449</v>
      </c>
      <c r="D123" s="20" t="s">
        <v>450</v>
      </c>
      <c r="E123" s="9">
        <f>Source!AQ46</f>
        <v>60.04</v>
      </c>
      <c r="F123" s="22"/>
      <c r="G123" s="21" t="str">
        <f>Source!DI46</f>
        <v/>
      </c>
      <c r="H123" s="9">
        <f>Source!AV46</f>
        <v>1</v>
      </c>
      <c r="I123" s="9"/>
      <c r="J123" s="22"/>
      <c r="K123" s="22">
        <f>Source!U46</f>
        <v>33.022000000000006</v>
      </c>
    </row>
    <row r="124" spans="1:22" ht="15" x14ac:dyDescent="0.25">
      <c r="A124" s="26"/>
      <c r="B124" s="26"/>
      <c r="C124" s="26"/>
      <c r="D124" s="26"/>
      <c r="E124" s="26"/>
      <c r="F124" s="26"/>
      <c r="G124" s="26"/>
      <c r="H124" s="26"/>
      <c r="I124" s="61">
        <f>J116+J117+J119+J120+J121+J122</f>
        <v>101140.91999999998</v>
      </c>
      <c r="J124" s="61"/>
      <c r="K124" s="27">
        <f>IF(Source!I46&lt;&gt;0, ROUND(I124/Source!I46, 2), 0)</f>
        <v>183892.58</v>
      </c>
      <c r="P124" s="24">
        <f>I124</f>
        <v>101140.91999999998</v>
      </c>
    </row>
    <row r="126" spans="1:22" ht="15" x14ac:dyDescent="0.25">
      <c r="A126" s="65" t="str">
        <f>CONCATENATE("Итого по подразделу: ",IF(Source!G48&lt;&gt;"Новый подраздел", Source!G48, ""))</f>
        <v>Итого по подразделу: Полы</v>
      </c>
      <c r="B126" s="65"/>
      <c r="C126" s="65"/>
      <c r="D126" s="65"/>
      <c r="E126" s="65"/>
      <c r="F126" s="65"/>
      <c r="G126" s="65"/>
      <c r="H126" s="65"/>
      <c r="I126" s="63">
        <f>SUM(P36:P125)</f>
        <v>177111.33</v>
      </c>
      <c r="J126" s="64"/>
      <c r="K126" s="30"/>
    </row>
    <row r="129" spans="1:22" ht="16.5" x14ac:dyDescent="0.25">
      <c r="A129" s="62" t="str">
        <f>CONCATENATE("Подраздел: ",IF(Source!G78&lt;&gt;"Новый подраздел", Source!G78, ""))</f>
        <v>Подраздел: Стены</v>
      </c>
      <c r="B129" s="62"/>
      <c r="C129" s="62"/>
      <c r="D129" s="62"/>
      <c r="E129" s="62"/>
      <c r="F129" s="62"/>
      <c r="G129" s="62"/>
      <c r="H129" s="62"/>
      <c r="I129" s="62"/>
      <c r="J129" s="62"/>
      <c r="K129" s="62"/>
    </row>
    <row r="130" spans="1:22" ht="85.5" x14ac:dyDescent="0.2">
      <c r="A130" s="19">
        <v>10</v>
      </c>
      <c r="B130" s="19" t="str">
        <f>Source!F82</f>
        <v>1.13-3201-23-2/3</v>
      </c>
      <c r="C130" s="19" t="str">
        <f>Source!G82</f>
        <v>Внутренняя окраска водно-дисперсионными акриловыми красками по ранее окрашенным поверхностям стен - с расчисткой старой краски до 35% / краска моющаяся типа ВД-АК-210</v>
      </c>
      <c r="D130" s="20" t="str">
        <f>Source!H82</f>
        <v>100 м2</v>
      </c>
      <c r="E130" s="9">
        <f>Source!I82</f>
        <v>0.77800000000000002</v>
      </c>
      <c r="F130" s="22"/>
      <c r="G130" s="21"/>
      <c r="H130" s="9"/>
      <c r="I130" s="9"/>
      <c r="J130" s="22"/>
      <c r="K130" s="22"/>
      <c r="Q130">
        <f>ROUND((Source!BZ82/100)*ROUND((Source!AF82*Source!AV82)*Source!I82, 2), 2)</f>
        <v>6135.79</v>
      </c>
      <c r="R130">
        <f>Source!X82</f>
        <v>6135.79</v>
      </c>
      <c r="S130">
        <f>ROUND((Source!CA82/100)*ROUND((Source!AF82*Source!AV82)*Source!I82, 2), 2)</f>
        <v>876.54</v>
      </c>
      <c r="T130">
        <f>Source!Y82</f>
        <v>876.54</v>
      </c>
      <c r="U130">
        <f>ROUND((175/100)*ROUND((Source!AE82*Source!AV82)*Source!I82, 2), 2)</f>
        <v>0</v>
      </c>
      <c r="V130">
        <f>ROUND((108/100)*ROUND(Source!CS82*Source!I82, 2), 2)</f>
        <v>0</v>
      </c>
    </row>
    <row r="131" spans="1:22" x14ac:dyDescent="0.2">
      <c r="C131" s="23" t="str">
        <f>"Объем: "&amp;Source!I82&amp;"=77,8/"&amp;"100"</f>
        <v>Объем: 0,778=77,8/100</v>
      </c>
    </row>
    <row r="132" spans="1:22" ht="14.25" x14ac:dyDescent="0.2">
      <c r="A132" s="19"/>
      <c r="B132" s="19"/>
      <c r="C132" s="19" t="s">
        <v>444</v>
      </c>
      <c r="D132" s="20"/>
      <c r="E132" s="9"/>
      <c r="F132" s="22">
        <f>Source!AO82</f>
        <v>11266.59</v>
      </c>
      <c r="G132" s="21" t="str">
        <f>Source!DG82</f>
        <v/>
      </c>
      <c r="H132" s="9">
        <f>Source!AV82</f>
        <v>1</v>
      </c>
      <c r="I132" s="9">
        <f>IF(Source!BA82&lt;&gt; 0, Source!BA82, 1)</f>
        <v>1</v>
      </c>
      <c r="J132" s="22">
        <f>Source!S82</f>
        <v>8765.41</v>
      </c>
      <c r="K132" s="22"/>
    </row>
    <row r="133" spans="1:22" ht="14.25" x14ac:dyDescent="0.2">
      <c r="A133" s="19"/>
      <c r="B133" s="19"/>
      <c r="C133" s="19" t="s">
        <v>451</v>
      </c>
      <c r="D133" s="20"/>
      <c r="E133" s="9"/>
      <c r="F133" s="22">
        <f>Source!AL82</f>
        <v>7258.13</v>
      </c>
      <c r="G133" s="21" t="str">
        <f>Source!DD82</f>
        <v/>
      </c>
      <c r="H133" s="9">
        <f>Source!AW82</f>
        <v>1</v>
      </c>
      <c r="I133" s="9">
        <f>IF(Source!BC82&lt;&gt; 0, Source!BC82, 1)</f>
        <v>1</v>
      </c>
      <c r="J133" s="22">
        <f>Source!P82</f>
        <v>5646.83</v>
      </c>
      <c r="K133" s="22"/>
    </row>
    <row r="134" spans="1:22" ht="28.5" x14ac:dyDescent="0.2">
      <c r="A134" s="19" t="s">
        <v>145</v>
      </c>
      <c r="B134" s="19" t="str">
        <f>Source!F83</f>
        <v>21.1-6-103</v>
      </c>
      <c r="C134" s="19" t="str">
        <f>Source!G83</f>
        <v>Пигменты сухие для красок, охра золотистая (цвет по согласованию)</v>
      </c>
      <c r="D134" s="20" t="str">
        <f>Source!H83</f>
        <v>т</v>
      </c>
      <c r="E134" s="9">
        <f>Source!I83</f>
        <v>1.323E-3</v>
      </c>
      <c r="F134" s="22">
        <f>Source!AK83</f>
        <v>198992.34</v>
      </c>
      <c r="G134" s="28" t="s">
        <v>3</v>
      </c>
      <c r="H134" s="9">
        <f>Source!AW83</f>
        <v>1</v>
      </c>
      <c r="I134" s="9">
        <f>IF(Source!BC83&lt;&gt; 0, Source!BC83, 1)</f>
        <v>1</v>
      </c>
      <c r="J134" s="22">
        <f>Source!O83</f>
        <v>263.27</v>
      </c>
      <c r="K134" s="22"/>
      <c r="Q134">
        <f>ROUND((Source!BZ83/100)*ROUND((Source!AF83*Source!AV83)*Source!I83, 2), 2)</f>
        <v>0</v>
      </c>
      <c r="R134">
        <f>Source!X83</f>
        <v>0</v>
      </c>
      <c r="S134">
        <f>ROUND((Source!CA83/100)*ROUND((Source!AF83*Source!AV83)*Source!I83, 2), 2)</f>
        <v>0</v>
      </c>
      <c r="T134">
        <f>Source!Y83</f>
        <v>0</v>
      </c>
      <c r="U134">
        <f>ROUND((175/100)*ROUND((Source!AE83*Source!AV83)*Source!I83, 2), 2)</f>
        <v>0</v>
      </c>
      <c r="V134">
        <f>ROUND((108/100)*ROUND(Source!CS83*Source!I83, 2), 2)</f>
        <v>0</v>
      </c>
    </row>
    <row r="135" spans="1:22" ht="14.25" x14ac:dyDescent="0.2">
      <c r="A135" s="19"/>
      <c r="B135" s="19"/>
      <c r="C135" s="19" t="s">
        <v>446</v>
      </c>
      <c r="D135" s="20" t="s">
        <v>447</v>
      </c>
      <c r="E135" s="9">
        <f>Source!AT82</f>
        <v>70</v>
      </c>
      <c r="F135" s="22"/>
      <c r="G135" s="21"/>
      <c r="H135" s="9"/>
      <c r="I135" s="9"/>
      <c r="J135" s="22">
        <f>SUM(R130:R134)</f>
        <v>6135.79</v>
      </c>
      <c r="K135" s="22"/>
    </row>
    <row r="136" spans="1:22" ht="14.25" x14ac:dyDescent="0.2">
      <c r="A136" s="19"/>
      <c r="B136" s="19"/>
      <c r="C136" s="19" t="s">
        <v>448</v>
      </c>
      <c r="D136" s="20" t="s">
        <v>447</v>
      </c>
      <c r="E136" s="9">
        <f>Source!AU82</f>
        <v>10</v>
      </c>
      <c r="F136" s="22"/>
      <c r="G136" s="21"/>
      <c r="H136" s="9"/>
      <c r="I136" s="9"/>
      <c r="J136" s="22">
        <f>SUM(T130:T135)</f>
        <v>876.54</v>
      </c>
      <c r="K136" s="22"/>
    </row>
    <row r="137" spans="1:22" ht="14.25" x14ac:dyDescent="0.2">
      <c r="A137" s="19"/>
      <c r="B137" s="19"/>
      <c r="C137" s="19" t="s">
        <v>449</v>
      </c>
      <c r="D137" s="20" t="s">
        <v>450</v>
      </c>
      <c r="E137" s="9">
        <f>Source!AQ82</f>
        <v>24.52</v>
      </c>
      <c r="F137" s="22"/>
      <c r="G137" s="21" t="str">
        <f>Source!DI82</f>
        <v/>
      </c>
      <c r="H137" s="9">
        <f>Source!AV82</f>
        <v>1</v>
      </c>
      <c r="I137" s="9"/>
      <c r="J137" s="22"/>
      <c r="K137" s="22">
        <f>Source!U82</f>
        <v>19.076560000000001</v>
      </c>
    </row>
    <row r="138" spans="1:22" ht="15" x14ac:dyDescent="0.25">
      <c r="A138" s="26"/>
      <c r="B138" s="26"/>
      <c r="C138" s="26"/>
      <c r="D138" s="26"/>
      <c r="E138" s="26"/>
      <c r="F138" s="26"/>
      <c r="G138" s="26"/>
      <c r="H138" s="26"/>
      <c r="I138" s="61">
        <f>J132+J133+J135+J136+SUM(J134:J134)</f>
        <v>21687.84</v>
      </c>
      <c r="J138" s="61"/>
      <c r="K138" s="27">
        <f>IF(Source!I82&lt;&gt;0, ROUND(I138/Source!I82, 2), 0)</f>
        <v>27876.400000000001</v>
      </c>
      <c r="P138" s="24">
        <f>I138</f>
        <v>21687.84</v>
      </c>
    </row>
    <row r="140" spans="1:22" ht="15" x14ac:dyDescent="0.25">
      <c r="A140" s="65" t="str">
        <f>CONCATENATE("Итого по подразделу: ",IF(Source!G85&lt;&gt;"Новый подраздел", Source!G85, ""))</f>
        <v>Итого по подразделу: Стены</v>
      </c>
      <c r="B140" s="65"/>
      <c r="C140" s="65"/>
      <c r="D140" s="65"/>
      <c r="E140" s="65"/>
      <c r="F140" s="65"/>
      <c r="G140" s="65"/>
      <c r="H140" s="65"/>
      <c r="I140" s="63">
        <f>SUM(P129:P139)</f>
        <v>21687.84</v>
      </c>
      <c r="J140" s="64"/>
      <c r="K140" s="30"/>
    </row>
    <row r="143" spans="1:22" ht="16.5" x14ac:dyDescent="0.25">
      <c r="A143" s="62" t="str">
        <f>CONCATENATE("Подраздел: ",IF(Source!G115&lt;&gt;"Новый подраздел", Source!G115, ""))</f>
        <v>Подраздел: Потолок</v>
      </c>
      <c r="B143" s="62"/>
      <c r="C143" s="62"/>
      <c r="D143" s="62"/>
      <c r="E143" s="62"/>
      <c r="F143" s="62"/>
      <c r="G143" s="62"/>
      <c r="H143" s="62"/>
      <c r="I143" s="62"/>
      <c r="J143" s="62"/>
      <c r="K143" s="62"/>
    </row>
    <row r="144" spans="1:22" ht="85.5" x14ac:dyDescent="0.2">
      <c r="A144" s="19">
        <v>11</v>
      </c>
      <c r="B144" s="19" t="str">
        <f>Source!F119</f>
        <v>1.13-3201-23-5/2</v>
      </c>
      <c r="C144" s="19" t="str">
        <f>Source!G119</f>
        <v>Внутренняя окраска водно-дисперсионными акриловыми красками по ранее окрашенным поверхностям потолков - с расчисткой старой краски до 35% / краска влагостойкая типа ВД-АК-120</v>
      </c>
      <c r="D144" s="20" t="str">
        <f>Source!H119</f>
        <v>100 м2</v>
      </c>
      <c r="E144" s="9">
        <f>Source!I119</f>
        <v>0.55000000000000004</v>
      </c>
      <c r="F144" s="22"/>
      <c r="G144" s="21"/>
      <c r="H144" s="9"/>
      <c r="I144" s="9"/>
      <c r="J144" s="22"/>
      <c r="K144" s="22"/>
      <c r="Q144">
        <f>ROUND((Source!BZ119/100)*ROUND((Source!AF119*Source!AV119)*Source!I119, 2), 2)</f>
        <v>5426.79</v>
      </c>
      <c r="R144">
        <f>Source!X119</f>
        <v>5426.79</v>
      </c>
      <c r="S144">
        <f>ROUND((Source!CA119/100)*ROUND((Source!AF119*Source!AV119)*Source!I119, 2), 2)</f>
        <v>775.26</v>
      </c>
      <c r="T144">
        <f>Source!Y119</f>
        <v>775.26</v>
      </c>
      <c r="U144">
        <f>ROUND((175/100)*ROUND((Source!AE119*Source!AV119)*Source!I119, 2), 2)</f>
        <v>0</v>
      </c>
      <c r="V144">
        <f>ROUND((108/100)*ROUND(Source!CS119*Source!I119, 2), 2)</f>
        <v>0</v>
      </c>
    </row>
    <row r="145" spans="1:22" x14ac:dyDescent="0.2">
      <c r="C145" s="23" t="str">
        <f>"Объем: "&amp;Source!I119&amp;"=55/"&amp;"100"</f>
        <v>Объем: 0,55=55/100</v>
      </c>
    </row>
    <row r="146" spans="1:22" ht="14.25" x14ac:dyDescent="0.2">
      <c r="A146" s="19"/>
      <c r="B146" s="19"/>
      <c r="C146" s="19" t="s">
        <v>444</v>
      </c>
      <c r="D146" s="20"/>
      <c r="E146" s="9"/>
      <c r="F146" s="22">
        <f>Source!AO119</f>
        <v>14095.57</v>
      </c>
      <c r="G146" s="21" t="str">
        <f>Source!DG119</f>
        <v/>
      </c>
      <c r="H146" s="9">
        <f>Source!AV119</f>
        <v>1</v>
      </c>
      <c r="I146" s="9">
        <f>IF(Source!BA119&lt;&gt; 0, Source!BA119, 1)</f>
        <v>1</v>
      </c>
      <c r="J146" s="22">
        <f>Source!S119</f>
        <v>7752.56</v>
      </c>
      <c r="K146" s="22"/>
    </row>
    <row r="147" spans="1:22" ht="14.25" x14ac:dyDescent="0.2">
      <c r="A147" s="19"/>
      <c r="B147" s="19"/>
      <c r="C147" s="19" t="s">
        <v>451</v>
      </c>
      <c r="D147" s="20"/>
      <c r="E147" s="9"/>
      <c r="F147" s="22">
        <f>Source!AL119</f>
        <v>6116.06</v>
      </c>
      <c r="G147" s="21" t="str">
        <f>Source!DD119</f>
        <v/>
      </c>
      <c r="H147" s="9">
        <f>Source!AW119</f>
        <v>1</v>
      </c>
      <c r="I147" s="9">
        <f>IF(Source!BC119&lt;&gt; 0, Source!BC119, 1)</f>
        <v>1</v>
      </c>
      <c r="J147" s="22">
        <f>Source!P119</f>
        <v>3363.83</v>
      </c>
      <c r="K147" s="22"/>
    </row>
    <row r="148" spans="1:22" ht="14.25" x14ac:dyDescent="0.2">
      <c r="A148" s="19"/>
      <c r="B148" s="19"/>
      <c r="C148" s="19" t="s">
        <v>446</v>
      </c>
      <c r="D148" s="20" t="s">
        <v>447</v>
      </c>
      <c r="E148" s="9">
        <f>Source!AT119</f>
        <v>70</v>
      </c>
      <c r="F148" s="22"/>
      <c r="G148" s="21"/>
      <c r="H148" s="9"/>
      <c r="I148" s="9"/>
      <c r="J148" s="22">
        <f>SUM(R144:R147)</f>
        <v>5426.79</v>
      </c>
      <c r="K148" s="22"/>
    </row>
    <row r="149" spans="1:22" ht="14.25" x14ac:dyDescent="0.2">
      <c r="A149" s="19"/>
      <c r="B149" s="19"/>
      <c r="C149" s="19" t="s">
        <v>448</v>
      </c>
      <c r="D149" s="20" t="s">
        <v>447</v>
      </c>
      <c r="E149" s="9">
        <f>Source!AU119</f>
        <v>10</v>
      </c>
      <c r="F149" s="22"/>
      <c r="G149" s="21"/>
      <c r="H149" s="9"/>
      <c r="I149" s="9"/>
      <c r="J149" s="22">
        <f>SUM(T144:T148)</f>
        <v>775.26</v>
      </c>
      <c r="K149" s="22"/>
    </row>
    <row r="150" spans="1:22" ht="14.25" x14ac:dyDescent="0.2">
      <c r="A150" s="19"/>
      <c r="B150" s="19"/>
      <c r="C150" s="19" t="s">
        <v>449</v>
      </c>
      <c r="D150" s="20" t="s">
        <v>450</v>
      </c>
      <c r="E150" s="9">
        <f>Source!AQ119</f>
        <v>30.74</v>
      </c>
      <c r="F150" s="22"/>
      <c r="G150" s="21" t="str">
        <f>Source!DI119</f>
        <v/>
      </c>
      <c r="H150" s="9">
        <f>Source!AV119</f>
        <v>1</v>
      </c>
      <c r="I150" s="9"/>
      <c r="J150" s="22"/>
      <c r="K150" s="22">
        <f>Source!U119</f>
        <v>16.907</v>
      </c>
    </row>
    <row r="151" spans="1:22" ht="15" x14ac:dyDescent="0.25">
      <c r="A151" s="26"/>
      <c r="B151" s="26"/>
      <c r="C151" s="26"/>
      <c r="D151" s="26"/>
      <c r="E151" s="26"/>
      <c r="F151" s="26"/>
      <c r="G151" s="26"/>
      <c r="H151" s="26"/>
      <c r="I151" s="61">
        <f>J146+J147+J148+J149</f>
        <v>17318.439999999999</v>
      </c>
      <c r="J151" s="61"/>
      <c r="K151" s="27">
        <f>IF(Source!I119&lt;&gt;0, ROUND(I151/Source!I119, 2), 0)</f>
        <v>31488.07</v>
      </c>
      <c r="P151" s="24">
        <f>I151</f>
        <v>17318.439999999999</v>
      </c>
    </row>
    <row r="153" spans="1:22" ht="15" x14ac:dyDescent="0.25">
      <c r="A153" s="65" t="str">
        <f>CONCATENATE("Итого по подразделу: ",IF(Source!G121&lt;&gt;"Новый подраздел", Source!G121, ""))</f>
        <v>Итого по подразделу: Потолок</v>
      </c>
      <c r="B153" s="65"/>
      <c r="C153" s="65"/>
      <c r="D153" s="65"/>
      <c r="E153" s="65"/>
      <c r="F153" s="65"/>
      <c r="G153" s="65"/>
      <c r="H153" s="65"/>
      <c r="I153" s="63">
        <f>SUM(P143:P152)</f>
        <v>17318.439999999999</v>
      </c>
      <c r="J153" s="64"/>
      <c r="K153" s="30"/>
    </row>
    <row r="156" spans="1:22" ht="16.5" x14ac:dyDescent="0.25">
      <c r="A156" s="62" t="str">
        <f>CONCATENATE("Подраздел: ",IF(Source!G151&lt;&gt;"Новый подраздел", Source!G151, ""))</f>
        <v>Подраздел: Окна</v>
      </c>
      <c r="B156" s="62"/>
      <c r="C156" s="62"/>
      <c r="D156" s="62"/>
      <c r="E156" s="62"/>
      <c r="F156" s="62"/>
      <c r="G156" s="62"/>
      <c r="H156" s="62"/>
      <c r="I156" s="62"/>
      <c r="J156" s="62"/>
      <c r="K156" s="62"/>
    </row>
    <row r="157" spans="1:22" ht="156" x14ac:dyDescent="0.2">
      <c r="A157" s="19">
        <v>12</v>
      </c>
      <c r="B157" s="19" t="s">
        <v>459</v>
      </c>
      <c r="C157" s="19" t="s">
        <v>460</v>
      </c>
      <c r="D157" s="20" t="str">
        <f>Source!H155</f>
        <v>100 м</v>
      </c>
      <c r="E157" s="9">
        <f>Source!I155</f>
        <v>0.123</v>
      </c>
      <c r="F157" s="22"/>
      <c r="G157" s="21"/>
      <c r="H157" s="9"/>
      <c r="I157" s="9"/>
      <c r="J157" s="22"/>
      <c r="K157" s="22"/>
      <c r="Q157">
        <f>ROUND((Source!BZ155/100)*ROUND((Source!AF155*Source!AV155)*Source!I155, 2), 2)</f>
        <v>59.09</v>
      </c>
      <c r="R157">
        <f>Source!X155</f>
        <v>59.09</v>
      </c>
      <c r="S157">
        <f>ROUND((Source!CA155/100)*ROUND((Source!AF155*Source!AV155)*Source!I155, 2), 2)</f>
        <v>8.44</v>
      </c>
      <c r="T157">
        <f>Source!Y155</f>
        <v>8.44</v>
      </c>
      <c r="U157">
        <f>ROUND((175/100)*ROUND((Source!AE155*Source!AV155)*Source!I155, 2), 2)</f>
        <v>0</v>
      </c>
      <c r="V157">
        <f>ROUND((108/100)*ROUND(Source!CS155*Source!I155, 2), 2)</f>
        <v>0</v>
      </c>
    </row>
    <row r="158" spans="1:22" x14ac:dyDescent="0.2">
      <c r="C158" s="23" t="str">
        <f>"Объем: "&amp;Source!I155&amp;"=12,3/"&amp;"100"</f>
        <v>Объем: 0,123=12,3/100</v>
      </c>
    </row>
    <row r="159" spans="1:22" ht="14.25" x14ac:dyDescent="0.2">
      <c r="A159" s="19"/>
      <c r="B159" s="19"/>
      <c r="C159" s="19" t="s">
        <v>444</v>
      </c>
      <c r="D159" s="20"/>
      <c r="E159" s="9"/>
      <c r="F159" s="22">
        <f>Source!AO155</f>
        <v>3431.17</v>
      </c>
      <c r="G159" s="21" t="str">
        <f>Source!DG155</f>
        <v>*0,2</v>
      </c>
      <c r="H159" s="9">
        <f>Source!AV155</f>
        <v>1</v>
      </c>
      <c r="I159" s="9">
        <f>IF(Source!BA155&lt;&gt; 0, Source!BA155, 1)</f>
        <v>1</v>
      </c>
      <c r="J159" s="22">
        <f>Source!S155</f>
        <v>84.41</v>
      </c>
      <c r="K159" s="22"/>
    </row>
    <row r="160" spans="1:22" ht="14.25" x14ac:dyDescent="0.2">
      <c r="A160" s="19"/>
      <c r="B160" s="19"/>
      <c r="C160" s="19" t="s">
        <v>446</v>
      </c>
      <c r="D160" s="20" t="s">
        <v>447</v>
      </c>
      <c r="E160" s="9">
        <f>Source!AT155</f>
        <v>70</v>
      </c>
      <c r="F160" s="22"/>
      <c r="G160" s="21"/>
      <c r="H160" s="9"/>
      <c r="I160" s="9"/>
      <c r="J160" s="22">
        <f>SUM(R157:R159)</f>
        <v>59.09</v>
      </c>
      <c r="K160" s="22"/>
    </row>
    <row r="161" spans="1:22" ht="14.25" x14ac:dyDescent="0.2">
      <c r="A161" s="19"/>
      <c r="B161" s="19"/>
      <c r="C161" s="19" t="s">
        <v>448</v>
      </c>
      <c r="D161" s="20" t="s">
        <v>447</v>
      </c>
      <c r="E161" s="9">
        <f>Source!AU155</f>
        <v>10</v>
      </c>
      <c r="F161" s="22"/>
      <c r="G161" s="21"/>
      <c r="H161" s="9"/>
      <c r="I161" s="9"/>
      <c r="J161" s="22">
        <f>SUM(T157:T160)</f>
        <v>8.44</v>
      </c>
      <c r="K161" s="22"/>
    </row>
    <row r="162" spans="1:22" ht="14.25" x14ac:dyDescent="0.2">
      <c r="A162" s="19"/>
      <c r="B162" s="19"/>
      <c r="C162" s="19" t="s">
        <v>449</v>
      </c>
      <c r="D162" s="20" t="s">
        <v>450</v>
      </c>
      <c r="E162" s="9">
        <f>Source!AQ155</f>
        <v>7.4</v>
      </c>
      <c r="F162" s="22"/>
      <c r="G162" s="21" t="str">
        <f>Source!DI155</f>
        <v>*0,2</v>
      </c>
      <c r="H162" s="9">
        <f>Source!AV155</f>
        <v>1</v>
      </c>
      <c r="I162" s="9"/>
      <c r="J162" s="22"/>
      <c r="K162" s="22">
        <f>Source!U155</f>
        <v>0.18204000000000004</v>
      </c>
    </row>
    <row r="163" spans="1:22" ht="15" x14ac:dyDescent="0.25">
      <c r="A163" s="26"/>
      <c r="B163" s="26"/>
      <c r="C163" s="26"/>
      <c r="D163" s="26"/>
      <c r="E163" s="26"/>
      <c r="F163" s="26"/>
      <c r="G163" s="26"/>
      <c r="H163" s="26"/>
      <c r="I163" s="61">
        <f>J159+J160+J161</f>
        <v>151.94</v>
      </c>
      <c r="J163" s="61"/>
      <c r="K163" s="27">
        <f>IF(Source!I155&lt;&gt;0, ROUND(I163/Source!I155, 2), 0)</f>
        <v>1235.28</v>
      </c>
      <c r="P163" s="24">
        <f>I163</f>
        <v>151.94</v>
      </c>
    </row>
    <row r="164" spans="1:22" ht="156" x14ac:dyDescent="0.2">
      <c r="A164" s="19">
        <v>13</v>
      </c>
      <c r="B164" s="19" t="s">
        <v>461</v>
      </c>
      <c r="C164" s="19" t="s">
        <v>462</v>
      </c>
      <c r="D164" s="20" t="str">
        <f>Source!H156</f>
        <v>100 м</v>
      </c>
      <c r="E164" s="9">
        <f>Source!I156</f>
        <v>7.1999999999999995E-2</v>
      </c>
      <c r="F164" s="22"/>
      <c r="G164" s="21"/>
      <c r="H164" s="9"/>
      <c r="I164" s="9"/>
      <c r="J164" s="22"/>
      <c r="K164" s="22"/>
      <c r="Q164">
        <f>ROUND((Source!BZ156/100)*ROUND((Source!AF156*Source!AV156)*Source!I156, 2), 2)</f>
        <v>36.659999999999997</v>
      </c>
      <c r="R164">
        <f>Source!X156</f>
        <v>36.659999999999997</v>
      </c>
      <c r="S164">
        <f>ROUND((Source!CA156/100)*ROUND((Source!AF156*Source!AV156)*Source!I156, 2), 2)</f>
        <v>5.24</v>
      </c>
      <c r="T164">
        <f>Source!Y156</f>
        <v>5.24</v>
      </c>
      <c r="U164">
        <f>ROUND((175/100)*ROUND((Source!AE156*Source!AV156)*Source!I156, 2), 2)</f>
        <v>0</v>
      </c>
      <c r="V164">
        <f>ROUND((108/100)*ROUND(Source!CS156*Source!I156, 2), 2)</f>
        <v>0</v>
      </c>
    </row>
    <row r="165" spans="1:22" x14ac:dyDescent="0.2">
      <c r="C165" s="23" t="str">
        <f>"Объем: "&amp;Source!I156&amp;"=7,2/"&amp;"100"</f>
        <v>Объем: 0,072=7,2/100</v>
      </c>
    </row>
    <row r="166" spans="1:22" ht="14.25" x14ac:dyDescent="0.2">
      <c r="A166" s="19"/>
      <c r="B166" s="19"/>
      <c r="C166" s="19" t="s">
        <v>444</v>
      </c>
      <c r="D166" s="20"/>
      <c r="E166" s="9"/>
      <c r="F166" s="22">
        <f>Source!AO156</f>
        <v>3636.49</v>
      </c>
      <c r="G166" s="21" t="str">
        <f>Source!DG156</f>
        <v>*0,2</v>
      </c>
      <c r="H166" s="9">
        <f>Source!AV156</f>
        <v>1</v>
      </c>
      <c r="I166" s="9">
        <f>IF(Source!BA156&lt;&gt; 0, Source!BA156, 1)</f>
        <v>1</v>
      </c>
      <c r="J166" s="22">
        <f>Source!S156</f>
        <v>52.37</v>
      </c>
      <c r="K166" s="22"/>
    </row>
    <row r="167" spans="1:22" ht="14.25" x14ac:dyDescent="0.2">
      <c r="A167" s="19"/>
      <c r="B167" s="19"/>
      <c r="C167" s="19" t="s">
        <v>446</v>
      </c>
      <c r="D167" s="20" t="s">
        <v>447</v>
      </c>
      <c r="E167" s="9">
        <f>Source!AT156</f>
        <v>70</v>
      </c>
      <c r="F167" s="22"/>
      <c r="G167" s="21"/>
      <c r="H167" s="9"/>
      <c r="I167" s="9"/>
      <c r="J167" s="22">
        <f>SUM(R164:R166)</f>
        <v>36.659999999999997</v>
      </c>
      <c r="K167" s="22"/>
    </row>
    <row r="168" spans="1:22" ht="14.25" x14ac:dyDescent="0.2">
      <c r="A168" s="19"/>
      <c r="B168" s="19"/>
      <c r="C168" s="19" t="s">
        <v>448</v>
      </c>
      <c r="D168" s="20" t="s">
        <v>447</v>
      </c>
      <c r="E168" s="9">
        <f>Source!AU156</f>
        <v>10</v>
      </c>
      <c r="F168" s="22"/>
      <c r="G168" s="21"/>
      <c r="H168" s="9"/>
      <c r="I168" s="9"/>
      <c r="J168" s="22">
        <f>SUM(T164:T167)</f>
        <v>5.24</v>
      </c>
      <c r="K168" s="22"/>
    </row>
    <row r="169" spans="1:22" ht="14.25" x14ac:dyDescent="0.2">
      <c r="A169" s="19"/>
      <c r="B169" s="19"/>
      <c r="C169" s="19" t="s">
        <v>449</v>
      </c>
      <c r="D169" s="20" t="s">
        <v>450</v>
      </c>
      <c r="E169" s="9">
        <f>Source!AQ156</f>
        <v>8</v>
      </c>
      <c r="F169" s="22"/>
      <c r="G169" s="21" t="str">
        <f>Source!DI156</f>
        <v>*0,2</v>
      </c>
      <c r="H169" s="9">
        <f>Source!AV156</f>
        <v>1</v>
      </c>
      <c r="I169" s="9"/>
      <c r="J169" s="22"/>
      <c r="K169" s="22">
        <f>Source!U156</f>
        <v>0.1152</v>
      </c>
    </row>
    <row r="170" spans="1:22" ht="15" x14ac:dyDescent="0.25">
      <c r="A170" s="26"/>
      <c r="B170" s="26"/>
      <c r="C170" s="26"/>
      <c r="D170" s="26"/>
      <c r="E170" s="26"/>
      <c r="F170" s="26"/>
      <c r="G170" s="26"/>
      <c r="H170" s="26"/>
      <c r="I170" s="61">
        <f>J166+J167+J168</f>
        <v>94.27</v>
      </c>
      <c r="J170" s="61"/>
      <c r="K170" s="27">
        <f>IF(Source!I156&lt;&gt;0, ROUND(I170/Source!I156, 2), 0)</f>
        <v>1309.31</v>
      </c>
      <c r="P170" s="24">
        <f>I170</f>
        <v>94.27</v>
      </c>
    </row>
    <row r="171" spans="1:22" ht="28.5" x14ac:dyDescent="0.2">
      <c r="A171" s="19">
        <v>14</v>
      </c>
      <c r="B171" s="19" t="str">
        <f>Source!F157</f>
        <v>1.13-3703-3-1/1</v>
      </c>
      <c r="C171" s="19" t="str">
        <f>Source!G157</f>
        <v>Обрамление углов стен, откосов уголком ПВХ - вертикальные</v>
      </c>
      <c r="D171" s="20" t="str">
        <f>Source!H157</f>
        <v>100 м</v>
      </c>
      <c r="E171" s="9">
        <f>Source!I157</f>
        <v>0.123</v>
      </c>
      <c r="F171" s="22"/>
      <c r="G171" s="21"/>
      <c r="H171" s="9"/>
      <c r="I171" s="9"/>
      <c r="J171" s="22"/>
      <c r="K171" s="22"/>
      <c r="Q171">
        <f>ROUND((Source!BZ157/100)*ROUND((Source!AF157*Source!AV157)*Source!I157, 2), 2)</f>
        <v>295.42</v>
      </c>
      <c r="R171">
        <f>Source!X157</f>
        <v>295.42</v>
      </c>
      <c r="S171">
        <f>ROUND((Source!CA157/100)*ROUND((Source!AF157*Source!AV157)*Source!I157, 2), 2)</f>
        <v>42.2</v>
      </c>
      <c r="T171">
        <f>Source!Y157</f>
        <v>42.2</v>
      </c>
      <c r="U171">
        <f>ROUND((175/100)*ROUND((Source!AE157*Source!AV157)*Source!I157, 2), 2)</f>
        <v>0</v>
      </c>
      <c r="V171">
        <f>ROUND((108/100)*ROUND(Source!CS157*Source!I157, 2), 2)</f>
        <v>0</v>
      </c>
    </row>
    <row r="172" spans="1:22" x14ac:dyDescent="0.2">
      <c r="C172" s="23" t="str">
        <f>"Объем: "&amp;Source!I157&amp;"=12,3/"&amp;"100"</f>
        <v>Объем: 0,123=12,3/100</v>
      </c>
    </row>
    <row r="173" spans="1:22" ht="14.25" x14ac:dyDescent="0.2">
      <c r="A173" s="19"/>
      <c r="B173" s="19"/>
      <c r="C173" s="19" t="s">
        <v>444</v>
      </c>
      <c r="D173" s="20"/>
      <c r="E173" s="9"/>
      <c r="F173" s="22">
        <f>Source!AO157</f>
        <v>3431.17</v>
      </c>
      <c r="G173" s="21" t="str">
        <f>Source!DG157</f>
        <v/>
      </c>
      <c r="H173" s="9">
        <f>Source!AV157</f>
        <v>1</v>
      </c>
      <c r="I173" s="9">
        <f>IF(Source!BA157&lt;&gt; 0, Source!BA157, 1)</f>
        <v>1</v>
      </c>
      <c r="J173" s="22">
        <f>Source!S157</f>
        <v>422.03</v>
      </c>
      <c r="K173" s="22"/>
    </row>
    <row r="174" spans="1:22" ht="14.25" x14ac:dyDescent="0.2">
      <c r="A174" s="19"/>
      <c r="B174" s="19"/>
      <c r="C174" s="19" t="s">
        <v>451</v>
      </c>
      <c r="D174" s="20"/>
      <c r="E174" s="9"/>
      <c r="F174" s="22">
        <f>Source!AL157</f>
        <v>368.06</v>
      </c>
      <c r="G174" s="21" t="str">
        <f>Source!DD157</f>
        <v/>
      </c>
      <c r="H174" s="9">
        <f>Source!AW157</f>
        <v>1</v>
      </c>
      <c r="I174" s="9">
        <f>IF(Source!BC157&lt;&gt; 0, Source!BC157, 1)</f>
        <v>1</v>
      </c>
      <c r="J174" s="22">
        <f>Source!P157</f>
        <v>45.27</v>
      </c>
      <c r="K174" s="22"/>
    </row>
    <row r="175" spans="1:22" ht="57" x14ac:dyDescent="0.2">
      <c r="A175" s="19" t="s">
        <v>168</v>
      </c>
      <c r="B175" s="19" t="str">
        <f>Source!F158</f>
        <v>21.1-25-1068</v>
      </c>
      <c r="C175" s="19" t="str">
        <f>Source!G158</f>
        <v>Уголки поливинилхлоридные декоративные для внутренней облицовки, внешние, размеры 40х40 мм, белые</v>
      </c>
      <c r="D175" s="20" t="str">
        <f>Source!H158</f>
        <v>м</v>
      </c>
      <c r="E175" s="9">
        <f>Source!I158</f>
        <v>12.423</v>
      </c>
      <c r="F175" s="22">
        <f>Source!AK158</f>
        <v>28.54</v>
      </c>
      <c r="G175" s="28" t="s">
        <v>3</v>
      </c>
      <c r="H175" s="9">
        <f>Source!AW158</f>
        <v>1</v>
      </c>
      <c r="I175" s="9">
        <f>IF(Source!BC158&lt;&gt; 0, Source!BC158, 1)</f>
        <v>1</v>
      </c>
      <c r="J175" s="22">
        <f>Source!O158</f>
        <v>354.55</v>
      </c>
      <c r="K175" s="22"/>
      <c r="Q175">
        <f>ROUND((Source!BZ158/100)*ROUND((Source!AF158*Source!AV158)*Source!I158, 2), 2)</f>
        <v>0</v>
      </c>
      <c r="R175">
        <f>Source!X158</f>
        <v>0</v>
      </c>
      <c r="S175">
        <f>ROUND((Source!CA158/100)*ROUND((Source!AF158*Source!AV158)*Source!I158, 2), 2)</f>
        <v>0</v>
      </c>
      <c r="T175">
        <f>Source!Y158</f>
        <v>0</v>
      </c>
      <c r="U175">
        <f>ROUND((175/100)*ROUND((Source!AE158*Source!AV158)*Source!I158, 2), 2)</f>
        <v>0</v>
      </c>
      <c r="V175">
        <f>ROUND((108/100)*ROUND(Source!CS158*Source!I158, 2), 2)</f>
        <v>0</v>
      </c>
    </row>
    <row r="176" spans="1:22" ht="14.25" x14ac:dyDescent="0.2">
      <c r="A176" s="19"/>
      <c r="B176" s="19"/>
      <c r="C176" s="19" t="s">
        <v>446</v>
      </c>
      <c r="D176" s="20" t="s">
        <v>447</v>
      </c>
      <c r="E176" s="9">
        <f>Source!AT157</f>
        <v>70</v>
      </c>
      <c r="F176" s="22"/>
      <c r="G176" s="21"/>
      <c r="H176" s="9"/>
      <c r="I176" s="9"/>
      <c r="J176" s="22">
        <f>SUM(R171:R175)</f>
        <v>295.42</v>
      </c>
      <c r="K176" s="22"/>
    </row>
    <row r="177" spans="1:22" ht="14.25" x14ac:dyDescent="0.2">
      <c r="A177" s="19"/>
      <c r="B177" s="19"/>
      <c r="C177" s="19" t="s">
        <v>448</v>
      </c>
      <c r="D177" s="20" t="s">
        <v>447</v>
      </c>
      <c r="E177" s="9">
        <f>Source!AU157</f>
        <v>10</v>
      </c>
      <c r="F177" s="22"/>
      <c r="G177" s="21"/>
      <c r="H177" s="9"/>
      <c r="I177" s="9"/>
      <c r="J177" s="22">
        <f>SUM(T171:T176)</f>
        <v>42.2</v>
      </c>
      <c r="K177" s="22"/>
    </row>
    <row r="178" spans="1:22" ht="14.25" x14ac:dyDescent="0.2">
      <c r="A178" s="19"/>
      <c r="B178" s="19"/>
      <c r="C178" s="19" t="s">
        <v>449</v>
      </c>
      <c r="D178" s="20" t="s">
        <v>450</v>
      </c>
      <c r="E178" s="9">
        <f>Source!AQ157</f>
        <v>7.4</v>
      </c>
      <c r="F178" s="22"/>
      <c r="G178" s="21" t="str">
        <f>Source!DI157</f>
        <v/>
      </c>
      <c r="H178" s="9">
        <f>Source!AV157</f>
        <v>1</v>
      </c>
      <c r="I178" s="9"/>
      <c r="J178" s="22"/>
      <c r="K178" s="22">
        <f>Source!U157</f>
        <v>0.91020000000000001</v>
      </c>
    </row>
    <row r="179" spans="1:22" ht="15" x14ac:dyDescent="0.25">
      <c r="A179" s="26"/>
      <c r="B179" s="26"/>
      <c r="C179" s="26"/>
      <c r="D179" s="26"/>
      <c r="E179" s="26"/>
      <c r="F179" s="26"/>
      <c r="G179" s="26"/>
      <c r="H179" s="26"/>
      <c r="I179" s="61">
        <f>J173+J174+J176+J177+SUM(J175:J175)</f>
        <v>1159.47</v>
      </c>
      <c r="J179" s="61"/>
      <c r="K179" s="27">
        <f>IF(Source!I157&lt;&gt;0, ROUND(I179/Source!I157, 2), 0)</f>
        <v>9426.59</v>
      </c>
      <c r="P179" s="24">
        <f>I179</f>
        <v>1159.47</v>
      </c>
    </row>
    <row r="180" spans="1:22" ht="28.5" x14ac:dyDescent="0.2">
      <c r="A180" s="19">
        <v>15</v>
      </c>
      <c r="B180" s="19" t="str">
        <f>Source!F159</f>
        <v>1.13-3703-3-2/1</v>
      </c>
      <c r="C180" s="19" t="str">
        <f>Source!G159</f>
        <v>Обрамление углов стен, откосов уголком ПВХ - горизонтальные</v>
      </c>
      <c r="D180" s="20" t="str">
        <f>Source!H159</f>
        <v>100 м</v>
      </c>
      <c r="E180" s="9">
        <f>Source!I159</f>
        <v>7.1999999999999995E-2</v>
      </c>
      <c r="F180" s="22"/>
      <c r="G180" s="21"/>
      <c r="H180" s="9"/>
      <c r="I180" s="9"/>
      <c r="J180" s="22"/>
      <c r="K180" s="22"/>
      <c r="Q180">
        <f>ROUND((Source!BZ159/100)*ROUND((Source!AF159*Source!AV159)*Source!I159, 2), 2)</f>
        <v>183.28</v>
      </c>
      <c r="R180">
        <f>Source!X159</f>
        <v>183.28</v>
      </c>
      <c r="S180">
        <f>ROUND((Source!CA159/100)*ROUND((Source!AF159*Source!AV159)*Source!I159, 2), 2)</f>
        <v>26.18</v>
      </c>
      <c r="T180">
        <f>Source!Y159</f>
        <v>26.18</v>
      </c>
      <c r="U180">
        <f>ROUND((175/100)*ROUND((Source!AE159*Source!AV159)*Source!I159, 2), 2)</f>
        <v>0</v>
      </c>
      <c r="V180">
        <f>ROUND((108/100)*ROUND(Source!CS159*Source!I159, 2), 2)</f>
        <v>0</v>
      </c>
    </row>
    <row r="181" spans="1:22" x14ac:dyDescent="0.2">
      <c r="C181" s="23" t="str">
        <f>"Объем: "&amp;Source!I159&amp;"=7,2/"&amp;"100"</f>
        <v>Объем: 0,072=7,2/100</v>
      </c>
    </row>
    <row r="182" spans="1:22" ht="14.25" x14ac:dyDescent="0.2">
      <c r="A182" s="19"/>
      <c r="B182" s="19"/>
      <c r="C182" s="19" t="s">
        <v>444</v>
      </c>
      <c r="D182" s="20"/>
      <c r="E182" s="9"/>
      <c r="F182" s="22">
        <f>Source!AO159</f>
        <v>3636.49</v>
      </c>
      <c r="G182" s="21" t="str">
        <f>Source!DG159</f>
        <v/>
      </c>
      <c r="H182" s="9">
        <f>Source!AV159</f>
        <v>1</v>
      </c>
      <c r="I182" s="9">
        <f>IF(Source!BA159&lt;&gt; 0, Source!BA159, 1)</f>
        <v>1</v>
      </c>
      <c r="J182" s="22">
        <f>Source!S159</f>
        <v>261.83</v>
      </c>
      <c r="K182" s="22"/>
    </row>
    <row r="183" spans="1:22" ht="14.25" x14ac:dyDescent="0.2">
      <c r="A183" s="19"/>
      <c r="B183" s="19"/>
      <c r="C183" s="19" t="s">
        <v>451</v>
      </c>
      <c r="D183" s="20"/>
      <c r="E183" s="9"/>
      <c r="F183" s="22">
        <f>Source!AL159</f>
        <v>368.06</v>
      </c>
      <c r="G183" s="21" t="str">
        <f>Source!DD159</f>
        <v/>
      </c>
      <c r="H183" s="9">
        <f>Source!AW159</f>
        <v>1</v>
      </c>
      <c r="I183" s="9">
        <f>IF(Source!BC159&lt;&gt; 0, Source!BC159, 1)</f>
        <v>1</v>
      </c>
      <c r="J183" s="22">
        <f>Source!P159</f>
        <v>26.5</v>
      </c>
      <c r="K183" s="22"/>
    </row>
    <row r="184" spans="1:22" ht="57" x14ac:dyDescent="0.2">
      <c r="A184" s="19" t="s">
        <v>174</v>
      </c>
      <c r="B184" s="19" t="str">
        <f>Source!F160</f>
        <v>21.1-25-1068</v>
      </c>
      <c r="C184" s="19" t="str">
        <f>Source!G160</f>
        <v>Уголки поливинилхлоридные декоративные для внутренней облицовки, внешние, размеры 40х40 мм, белые</v>
      </c>
      <c r="D184" s="20" t="str">
        <f>Source!H160</f>
        <v>м</v>
      </c>
      <c r="E184" s="9">
        <f>Source!I160</f>
        <v>7.2720000000000002</v>
      </c>
      <c r="F184" s="22">
        <f>Source!AK160</f>
        <v>28.54</v>
      </c>
      <c r="G184" s="28" t="s">
        <v>3</v>
      </c>
      <c r="H184" s="9">
        <f>Source!AW160</f>
        <v>1</v>
      </c>
      <c r="I184" s="9">
        <f>IF(Source!BC160&lt;&gt; 0, Source!BC160, 1)</f>
        <v>1</v>
      </c>
      <c r="J184" s="22">
        <f>Source!O160</f>
        <v>207.54</v>
      </c>
      <c r="K184" s="22"/>
      <c r="Q184">
        <f>ROUND((Source!BZ160/100)*ROUND((Source!AF160*Source!AV160)*Source!I160, 2), 2)</f>
        <v>0</v>
      </c>
      <c r="R184">
        <f>Source!X160</f>
        <v>0</v>
      </c>
      <c r="S184">
        <f>ROUND((Source!CA160/100)*ROUND((Source!AF160*Source!AV160)*Source!I160, 2), 2)</f>
        <v>0</v>
      </c>
      <c r="T184">
        <f>Source!Y160</f>
        <v>0</v>
      </c>
      <c r="U184">
        <f>ROUND((175/100)*ROUND((Source!AE160*Source!AV160)*Source!I160, 2), 2)</f>
        <v>0</v>
      </c>
      <c r="V184">
        <f>ROUND((108/100)*ROUND(Source!CS160*Source!I160, 2), 2)</f>
        <v>0</v>
      </c>
    </row>
    <row r="185" spans="1:22" ht="14.25" x14ac:dyDescent="0.2">
      <c r="A185" s="19"/>
      <c r="B185" s="19"/>
      <c r="C185" s="19" t="s">
        <v>446</v>
      </c>
      <c r="D185" s="20" t="s">
        <v>447</v>
      </c>
      <c r="E185" s="9">
        <f>Source!AT159</f>
        <v>70</v>
      </c>
      <c r="F185" s="22"/>
      <c r="G185" s="21"/>
      <c r="H185" s="9"/>
      <c r="I185" s="9"/>
      <c r="J185" s="22">
        <f>SUM(R180:R184)</f>
        <v>183.28</v>
      </c>
      <c r="K185" s="22"/>
    </row>
    <row r="186" spans="1:22" ht="14.25" x14ac:dyDescent="0.2">
      <c r="A186" s="19"/>
      <c r="B186" s="19"/>
      <c r="C186" s="19" t="s">
        <v>448</v>
      </c>
      <c r="D186" s="20" t="s">
        <v>447</v>
      </c>
      <c r="E186" s="9">
        <f>Source!AU159</f>
        <v>10</v>
      </c>
      <c r="F186" s="22"/>
      <c r="G186" s="21"/>
      <c r="H186" s="9"/>
      <c r="I186" s="9"/>
      <c r="J186" s="22">
        <f>SUM(T180:T185)</f>
        <v>26.18</v>
      </c>
      <c r="K186" s="22"/>
    </row>
    <row r="187" spans="1:22" ht="14.25" x14ac:dyDescent="0.2">
      <c r="A187" s="19"/>
      <c r="B187" s="19"/>
      <c r="C187" s="19" t="s">
        <v>449</v>
      </c>
      <c r="D187" s="20" t="s">
        <v>450</v>
      </c>
      <c r="E187" s="9">
        <f>Source!AQ159</f>
        <v>8</v>
      </c>
      <c r="F187" s="22"/>
      <c r="G187" s="21" t="str">
        <f>Source!DI159</f>
        <v/>
      </c>
      <c r="H187" s="9">
        <f>Source!AV159</f>
        <v>1</v>
      </c>
      <c r="I187" s="9"/>
      <c r="J187" s="22"/>
      <c r="K187" s="22">
        <f>Source!U159</f>
        <v>0.57599999999999996</v>
      </c>
    </row>
    <row r="188" spans="1:22" ht="15" x14ac:dyDescent="0.25">
      <c r="A188" s="26"/>
      <c r="B188" s="26"/>
      <c r="C188" s="26"/>
      <c r="D188" s="26"/>
      <c r="E188" s="26"/>
      <c r="F188" s="26"/>
      <c r="G188" s="26"/>
      <c r="H188" s="26"/>
      <c r="I188" s="61">
        <f>J182+J183+J185+J186+SUM(J184:J184)</f>
        <v>705.33</v>
      </c>
      <c r="J188" s="61"/>
      <c r="K188" s="27">
        <f>IF(Source!I159&lt;&gt;0, ROUND(I188/Source!I159, 2), 0)</f>
        <v>9796.25</v>
      </c>
      <c r="P188" s="24">
        <f>I188</f>
        <v>705.33</v>
      </c>
    </row>
    <row r="190" spans="1:22" ht="15" x14ac:dyDescent="0.25">
      <c r="A190" s="65" t="str">
        <f>CONCATENATE("Итого по подразделу: ",IF(Source!G162&lt;&gt;"Новый подраздел", Source!G162, ""))</f>
        <v>Итого по подразделу: Окна</v>
      </c>
      <c r="B190" s="65"/>
      <c r="C190" s="65"/>
      <c r="D190" s="65"/>
      <c r="E190" s="65"/>
      <c r="F190" s="65"/>
      <c r="G190" s="65"/>
      <c r="H190" s="65"/>
      <c r="I190" s="63">
        <f>SUM(P156:P189)</f>
        <v>2111.0100000000002</v>
      </c>
      <c r="J190" s="64"/>
      <c r="K190" s="30"/>
    </row>
    <row r="193" spans="1:22" ht="16.5" x14ac:dyDescent="0.25">
      <c r="A193" s="62" t="str">
        <f>CONCATENATE("Подраздел: ",IF(Source!G192&lt;&gt;"Новый подраздел", Source!G192, ""))</f>
        <v>Подраздел: Инженерные сети</v>
      </c>
      <c r="B193" s="62"/>
      <c r="C193" s="62"/>
      <c r="D193" s="62"/>
      <c r="E193" s="62"/>
      <c r="F193" s="62"/>
      <c r="G193" s="62"/>
      <c r="H193" s="62"/>
      <c r="I193" s="62"/>
      <c r="J193" s="62"/>
      <c r="K193" s="62"/>
    </row>
    <row r="194" spans="1:22" ht="28.5" x14ac:dyDescent="0.2">
      <c r="A194" s="19">
        <v>16</v>
      </c>
      <c r="B194" s="19" t="str">
        <f>Source!F196</f>
        <v>1.16-3204-1-1/1</v>
      </c>
      <c r="C194" s="19" t="str">
        <f>Source!G196</f>
        <v>Демонтаж санитарно-технических приборов умывальников или раковин</v>
      </c>
      <c r="D194" s="20" t="str">
        <f>Source!H196</f>
        <v>100 компл.</v>
      </c>
      <c r="E194" s="9">
        <f>Source!I196</f>
        <v>0.01</v>
      </c>
      <c r="F194" s="22"/>
      <c r="G194" s="21"/>
      <c r="H194" s="9"/>
      <c r="I194" s="9"/>
      <c r="J194" s="22"/>
      <c r="K194" s="22"/>
      <c r="Q194">
        <f>ROUND((Source!BZ196/100)*ROUND((Source!AF196*Source!AV196)*Source!I196, 2), 2)</f>
        <v>193.4</v>
      </c>
      <c r="R194">
        <f>Source!X196</f>
        <v>193.4</v>
      </c>
      <c r="S194">
        <f>ROUND((Source!CA196/100)*ROUND((Source!AF196*Source!AV196)*Source!I196, 2), 2)</f>
        <v>27.63</v>
      </c>
      <c r="T194">
        <f>Source!Y196</f>
        <v>27.63</v>
      </c>
      <c r="U194">
        <f>ROUND((175/100)*ROUND((Source!AE196*Source!AV196)*Source!I196, 2), 2)</f>
        <v>0</v>
      </c>
      <c r="V194">
        <f>ROUND((108/100)*ROUND(Source!CS196*Source!I196, 2), 2)</f>
        <v>0</v>
      </c>
    </row>
    <row r="195" spans="1:22" x14ac:dyDescent="0.2">
      <c r="C195" s="23" t="str">
        <f>"Объем: "&amp;Source!I196&amp;"=1/"&amp;"100"</f>
        <v>Объем: 0,01=1/100</v>
      </c>
    </row>
    <row r="196" spans="1:22" ht="14.25" x14ac:dyDescent="0.2">
      <c r="A196" s="19"/>
      <c r="B196" s="19"/>
      <c r="C196" s="19" t="s">
        <v>444</v>
      </c>
      <c r="D196" s="20"/>
      <c r="E196" s="9"/>
      <c r="F196" s="22">
        <f>Source!AO196</f>
        <v>27627.52</v>
      </c>
      <c r="G196" s="21" t="str">
        <f>Source!DG196</f>
        <v/>
      </c>
      <c r="H196" s="9">
        <f>Source!AV196</f>
        <v>1</v>
      </c>
      <c r="I196" s="9">
        <f>IF(Source!BA196&lt;&gt; 0, Source!BA196, 1)</f>
        <v>1</v>
      </c>
      <c r="J196" s="22">
        <f>Source!S196</f>
        <v>276.27999999999997</v>
      </c>
      <c r="K196" s="22"/>
    </row>
    <row r="197" spans="1:22" ht="14.25" x14ac:dyDescent="0.2">
      <c r="A197" s="19"/>
      <c r="B197" s="19"/>
      <c r="C197" s="19" t="s">
        <v>446</v>
      </c>
      <c r="D197" s="20" t="s">
        <v>447</v>
      </c>
      <c r="E197" s="9">
        <f>Source!AT196</f>
        <v>70</v>
      </c>
      <c r="F197" s="22"/>
      <c r="G197" s="21"/>
      <c r="H197" s="9"/>
      <c r="I197" s="9"/>
      <c r="J197" s="22">
        <f>SUM(R194:R196)</f>
        <v>193.4</v>
      </c>
      <c r="K197" s="22"/>
    </row>
    <row r="198" spans="1:22" ht="14.25" x14ac:dyDescent="0.2">
      <c r="A198" s="19"/>
      <c r="B198" s="19"/>
      <c r="C198" s="19" t="s">
        <v>448</v>
      </c>
      <c r="D198" s="20" t="s">
        <v>447</v>
      </c>
      <c r="E198" s="9">
        <f>Source!AU196</f>
        <v>10</v>
      </c>
      <c r="F198" s="22"/>
      <c r="G198" s="21"/>
      <c r="H198" s="9"/>
      <c r="I198" s="9"/>
      <c r="J198" s="22">
        <f>SUM(T194:T197)</f>
        <v>27.63</v>
      </c>
      <c r="K198" s="22"/>
    </row>
    <row r="199" spans="1:22" ht="14.25" x14ac:dyDescent="0.2">
      <c r="A199" s="19"/>
      <c r="B199" s="19"/>
      <c r="C199" s="19" t="s">
        <v>449</v>
      </c>
      <c r="D199" s="20" t="s">
        <v>450</v>
      </c>
      <c r="E199" s="9">
        <f>Source!AQ196</f>
        <v>60.8</v>
      </c>
      <c r="F199" s="22"/>
      <c r="G199" s="21" t="str">
        <f>Source!DI196</f>
        <v/>
      </c>
      <c r="H199" s="9">
        <f>Source!AV196</f>
        <v>1</v>
      </c>
      <c r="I199" s="9"/>
      <c r="J199" s="22"/>
      <c r="K199" s="22">
        <f>Source!U196</f>
        <v>0.60799999999999998</v>
      </c>
    </row>
    <row r="200" spans="1:22" ht="15" x14ac:dyDescent="0.25">
      <c r="A200" s="26"/>
      <c r="B200" s="26"/>
      <c r="C200" s="26"/>
      <c r="D200" s="26"/>
      <c r="E200" s="26"/>
      <c r="F200" s="26"/>
      <c r="G200" s="26"/>
      <c r="H200" s="26"/>
      <c r="I200" s="61">
        <f>J196+J197+J198</f>
        <v>497.30999999999995</v>
      </c>
      <c r="J200" s="61"/>
      <c r="K200" s="27">
        <f>IF(Source!I196&lt;&gt;0, ROUND(I200/Source!I196, 2), 0)</f>
        <v>49731</v>
      </c>
      <c r="P200" s="24">
        <f>I200</f>
        <v>497.30999999999995</v>
      </c>
    </row>
    <row r="201" spans="1:22" ht="184.5" x14ac:dyDescent="0.2">
      <c r="A201" s="19">
        <v>17</v>
      </c>
      <c r="B201" s="19" t="s">
        <v>463</v>
      </c>
      <c r="C201" s="19" t="s">
        <v>464</v>
      </c>
      <c r="D201" s="20" t="str">
        <f>Source!H197</f>
        <v>100 шт.</v>
      </c>
      <c r="E201" s="9">
        <f>Source!I197</f>
        <v>0.01</v>
      </c>
      <c r="F201" s="22"/>
      <c r="G201" s="21"/>
      <c r="H201" s="9"/>
      <c r="I201" s="9"/>
      <c r="J201" s="22"/>
      <c r="K201" s="22"/>
      <c r="Q201">
        <f>ROUND((Source!BZ197/100)*ROUND((Source!AF197*Source!AV197)*Source!I197, 2), 2)</f>
        <v>43.94</v>
      </c>
      <c r="R201">
        <f>Source!X197</f>
        <v>43.94</v>
      </c>
      <c r="S201">
        <f>ROUND((Source!CA197/100)*ROUND((Source!AF197*Source!AV197)*Source!I197, 2), 2)</f>
        <v>6.28</v>
      </c>
      <c r="T201">
        <f>Source!Y197</f>
        <v>6.28</v>
      </c>
      <c r="U201">
        <f>ROUND((175/100)*ROUND((Source!AE197*Source!AV197)*Source!I197, 2), 2)</f>
        <v>0</v>
      </c>
      <c r="V201">
        <f>ROUND((108/100)*ROUND(Source!CS197*Source!I197, 2), 2)</f>
        <v>0</v>
      </c>
    </row>
    <row r="202" spans="1:22" x14ac:dyDescent="0.2">
      <c r="C202" s="23" t="str">
        <f>"Объем: "&amp;Source!I197&amp;"=1/"&amp;"100"</f>
        <v>Объем: 0,01=1/100</v>
      </c>
    </row>
    <row r="203" spans="1:22" ht="14.25" x14ac:dyDescent="0.2">
      <c r="A203" s="19"/>
      <c r="B203" s="19"/>
      <c r="C203" s="19" t="s">
        <v>444</v>
      </c>
      <c r="D203" s="20"/>
      <c r="E203" s="9"/>
      <c r="F203" s="22">
        <f>Source!AO197</f>
        <v>31385.37</v>
      </c>
      <c r="G203" s="21" t="str">
        <f>Source!DG197</f>
        <v>)*0,2</v>
      </c>
      <c r="H203" s="9">
        <f>Source!AV197</f>
        <v>1</v>
      </c>
      <c r="I203" s="9">
        <f>IF(Source!BA197&lt;&gt; 0, Source!BA197, 1)</f>
        <v>1</v>
      </c>
      <c r="J203" s="22">
        <f>Source!S197</f>
        <v>62.77</v>
      </c>
      <c r="K203" s="22"/>
    </row>
    <row r="204" spans="1:22" ht="14.25" x14ac:dyDescent="0.2">
      <c r="A204" s="19"/>
      <c r="B204" s="19"/>
      <c r="C204" s="19" t="s">
        <v>446</v>
      </c>
      <c r="D204" s="20" t="s">
        <v>447</v>
      </c>
      <c r="E204" s="9">
        <f>Source!AT197</f>
        <v>70</v>
      </c>
      <c r="F204" s="22"/>
      <c r="G204" s="21"/>
      <c r="H204" s="9"/>
      <c r="I204" s="9"/>
      <c r="J204" s="22">
        <f>SUM(R201:R203)</f>
        <v>43.94</v>
      </c>
      <c r="K204" s="22"/>
    </row>
    <row r="205" spans="1:22" ht="14.25" x14ac:dyDescent="0.2">
      <c r="A205" s="19"/>
      <c r="B205" s="19"/>
      <c r="C205" s="19" t="s">
        <v>448</v>
      </c>
      <c r="D205" s="20" t="s">
        <v>447</v>
      </c>
      <c r="E205" s="9">
        <f>Source!AU197</f>
        <v>10</v>
      </c>
      <c r="F205" s="22"/>
      <c r="G205" s="21"/>
      <c r="H205" s="9"/>
      <c r="I205" s="9"/>
      <c r="J205" s="22">
        <f>SUM(T201:T204)</f>
        <v>6.28</v>
      </c>
      <c r="K205" s="22"/>
    </row>
    <row r="206" spans="1:22" ht="14.25" x14ac:dyDescent="0.2">
      <c r="A206" s="19"/>
      <c r="B206" s="19"/>
      <c r="C206" s="19" t="s">
        <v>449</v>
      </c>
      <c r="D206" s="20" t="s">
        <v>450</v>
      </c>
      <c r="E206" s="9">
        <f>Source!AQ197</f>
        <v>77.86</v>
      </c>
      <c r="F206" s="22"/>
      <c r="G206" s="21" t="str">
        <f>Source!DI197</f>
        <v>)*0,2</v>
      </c>
      <c r="H206" s="9">
        <f>Source!AV197</f>
        <v>1</v>
      </c>
      <c r="I206" s="9"/>
      <c r="J206" s="22"/>
      <c r="K206" s="22">
        <f>Source!U197</f>
        <v>0.15572000000000003</v>
      </c>
    </row>
    <row r="207" spans="1:22" ht="15" x14ac:dyDescent="0.25">
      <c r="A207" s="26"/>
      <c r="B207" s="26"/>
      <c r="C207" s="26"/>
      <c r="D207" s="26"/>
      <c r="E207" s="26"/>
      <c r="F207" s="26"/>
      <c r="G207" s="26"/>
      <c r="H207" s="26"/>
      <c r="I207" s="61">
        <f>J203+J204+J205</f>
        <v>112.99000000000001</v>
      </c>
      <c r="J207" s="61"/>
      <c r="K207" s="27">
        <f>IF(Source!I197&lt;&gt;0, ROUND(I207/Source!I197, 2), 0)</f>
        <v>11299</v>
      </c>
      <c r="P207" s="24">
        <f>I207</f>
        <v>112.99000000000001</v>
      </c>
    </row>
    <row r="208" spans="1:22" ht="71.25" x14ac:dyDescent="0.2">
      <c r="A208" s="19">
        <v>18</v>
      </c>
      <c r="B208" s="19" t="str">
        <f>Source!F198</f>
        <v>1.16-3203-1-6/1</v>
      </c>
      <c r="C208" s="19" t="str">
        <f>Source!G198</f>
        <v>Установка умывальников одиночных с подводкой холодной и горячей воды / умывальник керамический полукруглый второй величины с переливом</v>
      </c>
      <c r="D208" s="20" t="str">
        <f>Source!H198</f>
        <v>компл.</v>
      </c>
      <c r="E208" s="9">
        <f>Source!I198</f>
        <v>1</v>
      </c>
      <c r="F208" s="22"/>
      <c r="G208" s="21"/>
      <c r="H208" s="9"/>
      <c r="I208" s="9"/>
      <c r="J208" s="22"/>
      <c r="K208" s="22"/>
      <c r="Q208">
        <f>ROUND((Source!BZ198/100)*ROUND((Source!AF198*Source!AV198)*Source!I198, 2), 2)</f>
        <v>831.75</v>
      </c>
      <c r="R208">
        <f>Source!X198</f>
        <v>831.75</v>
      </c>
      <c r="S208">
        <f>ROUND((Source!CA198/100)*ROUND((Source!AF198*Source!AV198)*Source!I198, 2), 2)</f>
        <v>118.82</v>
      </c>
      <c r="T208">
        <f>Source!Y198</f>
        <v>118.82</v>
      </c>
      <c r="U208">
        <f>ROUND((175/100)*ROUND((Source!AE198*Source!AV198)*Source!I198, 2), 2)</f>
        <v>7.0000000000000007E-2</v>
      </c>
      <c r="V208">
        <f>ROUND((108/100)*ROUND(Source!CS198*Source!I198, 2), 2)</f>
        <v>0.04</v>
      </c>
    </row>
    <row r="209" spans="1:22" ht="14.25" x14ac:dyDescent="0.2">
      <c r="A209" s="19"/>
      <c r="B209" s="19"/>
      <c r="C209" s="19" t="s">
        <v>444</v>
      </c>
      <c r="D209" s="20"/>
      <c r="E209" s="9"/>
      <c r="F209" s="22">
        <f>Source!AO198</f>
        <v>1188.21</v>
      </c>
      <c r="G209" s="21" t="str">
        <f>Source!DG198</f>
        <v/>
      </c>
      <c r="H209" s="9">
        <f>Source!AV198</f>
        <v>1</v>
      </c>
      <c r="I209" s="9">
        <f>IF(Source!BA198&lt;&gt; 0, Source!BA198, 1)</f>
        <v>1</v>
      </c>
      <c r="J209" s="22">
        <f>Source!S198</f>
        <v>1188.21</v>
      </c>
      <c r="K209" s="22"/>
    </row>
    <row r="210" spans="1:22" ht="14.25" x14ac:dyDescent="0.2">
      <c r="A210" s="19"/>
      <c r="B210" s="19"/>
      <c r="C210" s="19" t="s">
        <v>445</v>
      </c>
      <c r="D210" s="20"/>
      <c r="E210" s="9"/>
      <c r="F210" s="22">
        <f>Source!AM198</f>
        <v>0.12</v>
      </c>
      <c r="G210" s="21" t="str">
        <f>Source!DE198</f>
        <v/>
      </c>
      <c r="H210" s="9">
        <f>Source!AV198</f>
        <v>1</v>
      </c>
      <c r="I210" s="9">
        <f>IF(Source!BB198&lt;&gt; 0, Source!BB198, 1)</f>
        <v>1</v>
      </c>
      <c r="J210" s="22">
        <f>Source!Q198</f>
        <v>0.12</v>
      </c>
      <c r="K210" s="22"/>
    </row>
    <row r="211" spans="1:22" ht="14.25" x14ac:dyDescent="0.2">
      <c r="A211" s="19"/>
      <c r="B211" s="19"/>
      <c r="C211" s="19" t="s">
        <v>455</v>
      </c>
      <c r="D211" s="20"/>
      <c r="E211" s="9"/>
      <c r="F211" s="22">
        <f>Source!AN198</f>
        <v>0.04</v>
      </c>
      <c r="G211" s="21" t="str">
        <f>Source!DF198</f>
        <v/>
      </c>
      <c r="H211" s="9">
        <f>Source!AV198</f>
        <v>1</v>
      </c>
      <c r="I211" s="9">
        <f>IF(Source!BS198&lt;&gt; 0, Source!BS198, 1)</f>
        <v>1</v>
      </c>
      <c r="J211" s="29">
        <f>Source!R198</f>
        <v>0.04</v>
      </c>
      <c r="K211" s="22"/>
    </row>
    <row r="212" spans="1:22" ht="14.25" x14ac:dyDescent="0.2">
      <c r="A212" s="19"/>
      <c r="B212" s="19"/>
      <c r="C212" s="19" t="s">
        <v>451</v>
      </c>
      <c r="D212" s="20"/>
      <c r="E212" s="9"/>
      <c r="F212" s="22">
        <f>Source!AL198</f>
        <v>7914.99</v>
      </c>
      <c r="G212" s="21" t="str">
        <f>Source!DD198</f>
        <v/>
      </c>
      <c r="H212" s="9">
        <f>Source!AW198</f>
        <v>1</v>
      </c>
      <c r="I212" s="9">
        <f>IF(Source!BC198&lt;&gt; 0, Source!BC198, 1)</f>
        <v>1</v>
      </c>
      <c r="J212" s="22">
        <f>Source!P198</f>
        <v>7914.99</v>
      </c>
      <c r="K212" s="22"/>
    </row>
    <row r="213" spans="1:22" ht="57" x14ac:dyDescent="0.2">
      <c r="A213" s="19" t="s">
        <v>193</v>
      </c>
      <c r="B213" s="19" t="str">
        <f>Source!F199</f>
        <v>21.17-2-19</v>
      </c>
      <c r="C213" s="19" t="str">
        <f>Source!G199</f>
        <v>Смесители для умывальников и моек двухрукояточные центральные набортные, излив с аэратором тип См-УмДЦБА</v>
      </c>
      <c r="D213" s="20" t="str">
        <f>Source!H199</f>
        <v>шт.</v>
      </c>
      <c r="E213" s="9">
        <f>Source!I199</f>
        <v>1</v>
      </c>
      <c r="F213" s="22">
        <f>Source!AK199</f>
        <v>5025.26</v>
      </c>
      <c r="G213" s="28" t="s">
        <v>3</v>
      </c>
      <c r="H213" s="9">
        <f>Source!AW199</f>
        <v>1</v>
      </c>
      <c r="I213" s="9">
        <f>IF(Source!BC199&lt;&gt; 0, Source!BC199, 1)</f>
        <v>1</v>
      </c>
      <c r="J213" s="22">
        <f>Source!O199</f>
        <v>5025.26</v>
      </c>
      <c r="K213" s="22"/>
      <c r="Q213">
        <f>ROUND((Source!BZ199/100)*ROUND((Source!AF199*Source!AV199)*Source!I199, 2), 2)</f>
        <v>0</v>
      </c>
      <c r="R213">
        <f>Source!X199</f>
        <v>0</v>
      </c>
      <c r="S213">
        <f>ROUND((Source!CA199/100)*ROUND((Source!AF199*Source!AV199)*Source!I199, 2), 2)</f>
        <v>0</v>
      </c>
      <c r="T213">
        <f>Source!Y199</f>
        <v>0</v>
      </c>
      <c r="U213">
        <f>ROUND((175/100)*ROUND((Source!AE199*Source!AV199)*Source!I199, 2), 2)</f>
        <v>0</v>
      </c>
      <c r="V213">
        <f>ROUND((108/100)*ROUND(Source!CS199*Source!I199, 2), 2)</f>
        <v>0</v>
      </c>
    </row>
    <row r="214" spans="1:22" ht="55.5" x14ac:dyDescent="0.2">
      <c r="A214" s="19" t="s">
        <v>198</v>
      </c>
      <c r="B214" s="19" t="str">
        <f>Source!F200</f>
        <v>Цена пост.</v>
      </c>
      <c r="C214" s="19" t="s">
        <v>465</v>
      </c>
      <c r="D214" s="20" t="str">
        <f>Source!H200</f>
        <v>шт.</v>
      </c>
      <c r="E214" s="9">
        <f>Source!I200</f>
        <v>1</v>
      </c>
      <c r="F214" s="22">
        <f>Source!AK200</f>
        <v>37.5</v>
      </c>
      <c r="G214" s="28" t="s">
        <v>3</v>
      </c>
      <c r="H214" s="9">
        <f>Source!AW200</f>
        <v>1</v>
      </c>
      <c r="I214" s="9">
        <f>IF(Source!BC200&lt;&gt; 0, Source!BC200, 1)</f>
        <v>1</v>
      </c>
      <c r="J214" s="22">
        <f>Source!O200</f>
        <v>37.5</v>
      </c>
      <c r="K214" s="22"/>
      <c r="Q214">
        <f>ROUND((Source!BZ200/100)*ROUND((Source!AF200*Source!AV200)*Source!I200, 2), 2)</f>
        <v>0</v>
      </c>
      <c r="R214">
        <f>Source!X200</f>
        <v>0</v>
      </c>
      <c r="S214">
        <f>ROUND((Source!CA200/100)*ROUND((Source!AF200*Source!AV200)*Source!I200, 2), 2)</f>
        <v>0</v>
      </c>
      <c r="T214">
        <f>Source!Y200</f>
        <v>0</v>
      </c>
      <c r="U214">
        <f>ROUND((175/100)*ROUND((Source!AE200*Source!AV200)*Source!I200, 2), 2)</f>
        <v>0</v>
      </c>
      <c r="V214">
        <f>ROUND((108/100)*ROUND(Source!CS200*Source!I200, 2), 2)</f>
        <v>0</v>
      </c>
    </row>
    <row r="215" spans="1:22" ht="71.25" x14ac:dyDescent="0.2">
      <c r="A215" s="19" t="s">
        <v>202</v>
      </c>
      <c r="B215" s="19" t="str">
        <f>Source!F201</f>
        <v>21.17-2-19</v>
      </c>
      <c r="C215" s="19" t="s">
        <v>466</v>
      </c>
      <c r="D215" s="20" t="str">
        <f>Source!H201</f>
        <v>шт.</v>
      </c>
      <c r="E215" s="9">
        <f>Source!I201</f>
        <v>-1</v>
      </c>
      <c r="F215" s="22">
        <f>Source!AK201</f>
        <v>5025.26</v>
      </c>
      <c r="G215" s="28" t="s">
        <v>3</v>
      </c>
      <c r="H215" s="9">
        <f>Source!AW201</f>
        <v>1</v>
      </c>
      <c r="I215" s="9">
        <f>IF(Source!BC201&lt;&gt; 0, Source!BC201, 1)</f>
        <v>1</v>
      </c>
      <c r="J215" s="22">
        <f>Source!O201</f>
        <v>-5025.26</v>
      </c>
      <c r="K215" s="22"/>
      <c r="Q215">
        <f>ROUND((Source!BZ201/100)*ROUND((Source!AF201*Source!AV201)*Source!I201, 2), 2)</f>
        <v>0</v>
      </c>
      <c r="R215">
        <f>Source!X201</f>
        <v>0</v>
      </c>
      <c r="S215">
        <f>ROUND((Source!CA201/100)*ROUND((Source!AF201*Source!AV201)*Source!I201, 2), 2)</f>
        <v>0</v>
      </c>
      <c r="T215">
        <f>Source!Y201</f>
        <v>0</v>
      </c>
      <c r="U215">
        <f>ROUND((175/100)*ROUND((Source!AE201*Source!AV201)*Source!I201, 2), 2)</f>
        <v>0</v>
      </c>
      <c r="V215">
        <f>ROUND((108/100)*ROUND(Source!CS201*Source!I201, 2), 2)</f>
        <v>0</v>
      </c>
    </row>
    <row r="216" spans="1:22" ht="57" x14ac:dyDescent="0.2">
      <c r="A216" s="19" t="s">
        <v>203</v>
      </c>
      <c r="B216" s="19" t="str">
        <f>Source!F202</f>
        <v>21.17-1-21</v>
      </c>
      <c r="C216" s="19" t="s">
        <v>467</v>
      </c>
      <c r="D216" s="20" t="str">
        <f>Source!H202</f>
        <v>шт.</v>
      </c>
      <c r="E216" s="9">
        <f>Source!I202</f>
        <v>-1</v>
      </c>
      <c r="F216" s="22">
        <f>Source!AK202</f>
        <v>1624.55</v>
      </c>
      <c r="G216" s="28" t="s">
        <v>3</v>
      </c>
      <c r="H216" s="9">
        <f>Source!AW202</f>
        <v>1</v>
      </c>
      <c r="I216" s="9">
        <f>IF(Source!BC202&lt;&gt; 0, Source!BC202, 1)</f>
        <v>1</v>
      </c>
      <c r="J216" s="22">
        <f>Source!O202</f>
        <v>-1624.55</v>
      </c>
      <c r="K216" s="22"/>
      <c r="Q216">
        <f>ROUND((Source!BZ202/100)*ROUND((Source!AF202*Source!AV202)*Source!I202, 2), 2)</f>
        <v>0</v>
      </c>
      <c r="R216">
        <f>Source!X202</f>
        <v>0</v>
      </c>
      <c r="S216">
        <f>ROUND((Source!CA202/100)*ROUND((Source!AF202*Source!AV202)*Source!I202, 2), 2)</f>
        <v>0</v>
      </c>
      <c r="T216">
        <f>Source!Y202</f>
        <v>0</v>
      </c>
      <c r="U216">
        <f>ROUND((175/100)*ROUND((Source!AE202*Source!AV202)*Source!I202, 2), 2)</f>
        <v>0</v>
      </c>
      <c r="V216">
        <f>ROUND((108/100)*ROUND(Source!CS202*Source!I202, 2), 2)</f>
        <v>0</v>
      </c>
    </row>
    <row r="217" spans="1:22" ht="14.25" x14ac:dyDescent="0.2">
      <c r="A217" s="19"/>
      <c r="B217" s="19"/>
      <c r="C217" s="19" t="s">
        <v>446</v>
      </c>
      <c r="D217" s="20" t="s">
        <v>447</v>
      </c>
      <c r="E217" s="9">
        <f>Source!AT198</f>
        <v>70</v>
      </c>
      <c r="F217" s="22"/>
      <c r="G217" s="21"/>
      <c r="H217" s="9"/>
      <c r="I217" s="9"/>
      <c r="J217" s="22">
        <f>SUM(R208:R216)</f>
        <v>831.75</v>
      </c>
      <c r="K217" s="22"/>
    </row>
    <row r="218" spans="1:22" ht="14.25" x14ac:dyDescent="0.2">
      <c r="A218" s="19"/>
      <c r="B218" s="19"/>
      <c r="C218" s="19" t="s">
        <v>448</v>
      </c>
      <c r="D218" s="20" t="s">
        <v>447</v>
      </c>
      <c r="E218" s="9">
        <f>Source!AU198</f>
        <v>10</v>
      </c>
      <c r="F218" s="22"/>
      <c r="G218" s="21"/>
      <c r="H218" s="9"/>
      <c r="I218" s="9"/>
      <c r="J218" s="22">
        <f>SUM(T208:T217)</f>
        <v>118.82</v>
      </c>
      <c r="K218" s="22"/>
    </row>
    <row r="219" spans="1:22" ht="14.25" x14ac:dyDescent="0.2">
      <c r="A219" s="19"/>
      <c r="B219" s="19"/>
      <c r="C219" s="19" t="s">
        <v>456</v>
      </c>
      <c r="D219" s="20" t="s">
        <v>447</v>
      </c>
      <c r="E219" s="9">
        <f>108</f>
        <v>108</v>
      </c>
      <c r="F219" s="22"/>
      <c r="G219" s="21"/>
      <c r="H219" s="9"/>
      <c r="I219" s="9"/>
      <c r="J219" s="22">
        <f>SUM(V208:V218)</f>
        <v>0.04</v>
      </c>
      <c r="K219" s="22"/>
    </row>
    <row r="220" spans="1:22" ht="14.25" x14ac:dyDescent="0.2">
      <c r="A220" s="19"/>
      <c r="B220" s="19"/>
      <c r="C220" s="19" t="s">
        <v>449</v>
      </c>
      <c r="D220" s="20" t="s">
        <v>450</v>
      </c>
      <c r="E220" s="9">
        <f>Source!AQ198</f>
        <v>2.2400000000000002</v>
      </c>
      <c r="F220" s="22"/>
      <c r="G220" s="21" t="str">
        <f>Source!DI198</f>
        <v/>
      </c>
      <c r="H220" s="9">
        <f>Source!AV198</f>
        <v>1</v>
      </c>
      <c r="I220" s="9"/>
      <c r="J220" s="22"/>
      <c r="K220" s="22">
        <f>Source!U198</f>
        <v>2.2400000000000002</v>
      </c>
    </row>
    <row r="221" spans="1:22" ht="15" x14ac:dyDescent="0.25">
      <c r="A221" s="26"/>
      <c r="B221" s="26"/>
      <c r="C221" s="26"/>
      <c r="D221" s="26"/>
      <c r="E221" s="26"/>
      <c r="F221" s="26"/>
      <c r="G221" s="26"/>
      <c r="H221" s="26"/>
      <c r="I221" s="61">
        <f>J209+J210+J212+J217+J218+J219+SUM(J213:J216)</f>
        <v>8466.880000000001</v>
      </c>
      <c r="J221" s="61"/>
      <c r="K221" s="27">
        <f>IF(Source!I198&lt;&gt;0, ROUND(I221/Source!I198, 2), 0)</f>
        <v>8466.8799999999992</v>
      </c>
      <c r="P221" s="24">
        <f>I221</f>
        <v>8466.880000000001</v>
      </c>
    </row>
    <row r="222" spans="1:22" ht="42.75" x14ac:dyDescent="0.2">
      <c r="A222" s="19">
        <v>19</v>
      </c>
      <c r="B222" s="19" t="str">
        <f>Source!F203</f>
        <v>1.26-3103-3-1/2</v>
      </c>
      <c r="C222" s="19" t="str">
        <f>Source!G203</f>
        <v>Установка штучных изделий столов, шкафов под мойки, холодильных шкафов и др. (без стоимости изделий)</v>
      </c>
      <c r="D222" s="20" t="str">
        <f>Source!H203</f>
        <v>100 шт.</v>
      </c>
      <c r="E222" s="9">
        <f>Source!I203</f>
        <v>0.01</v>
      </c>
      <c r="F222" s="22"/>
      <c r="G222" s="21"/>
      <c r="H222" s="9"/>
      <c r="I222" s="9"/>
      <c r="J222" s="22"/>
      <c r="K222" s="22"/>
      <c r="Q222">
        <f>ROUND((Source!BZ203/100)*ROUND((Source!AF203*Source!AV203)*Source!I203, 2), 2)</f>
        <v>219.7</v>
      </c>
      <c r="R222">
        <f>Source!X203</f>
        <v>219.7</v>
      </c>
      <c r="S222">
        <f>ROUND((Source!CA203/100)*ROUND((Source!AF203*Source!AV203)*Source!I203, 2), 2)</f>
        <v>31.39</v>
      </c>
      <c r="T222">
        <f>Source!Y203</f>
        <v>31.39</v>
      </c>
      <c r="U222">
        <f>ROUND((175/100)*ROUND((Source!AE203*Source!AV203)*Source!I203, 2), 2)</f>
        <v>0</v>
      </c>
      <c r="V222">
        <f>ROUND((108/100)*ROUND(Source!CS203*Source!I203, 2), 2)</f>
        <v>0</v>
      </c>
    </row>
    <row r="223" spans="1:22" x14ac:dyDescent="0.2">
      <c r="C223" s="23" t="str">
        <f>"Объем: "&amp;Source!I203&amp;"=1/"&amp;"100"</f>
        <v>Объем: 0,01=1/100</v>
      </c>
    </row>
    <row r="224" spans="1:22" ht="14.25" x14ac:dyDescent="0.2">
      <c r="A224" s="19"/>
      <c r="B224" s="19"/>
      <c r="C224" s="19" t="s">
        <v>444</v>
      </c>
      <c r="D224" s="20"/>
      <c r="E224" s="9"/>
      <c r="F224" s="22">
        <f>Source!AO203</f>
        <v>31385.37</v>
      </c>
      <c r="G224" s="21" t="str">
        <f>Source!DG203</f>
        <v/>
      </c>
      <c r="H224" s="9">
        <f>Source!AV203</f>
        <v>1</v>
      </c>
      <c r="I224" s="9">
        <f>IF(Source!BA203&lt;&gt; 0, Source!BA203, 1)</f>
        <v>1</v>
      </c>
      <c r="J224" s="22">
        <f>Source!S203</f>
        <v>313.85000000000002</v>
      </c>
      <c r="K224" s="22"/>
    </row>
    <row r="225" spans="1:22" ht="14.25" x14ac:dyDescent="0.2">
      <c r="A225" s="19"/>
      <c r="B225" s="19"/>
      <c r="C225" s="19" t="s">
        <v>451</v>
      </c>
      <c r="D225" s="20"/>
      <c r="E225" s="9"/>
      <c r="F225" s="22">
        <f>Source!AL203</f>
        <v>15063.7</v>
      </c>
      <c r="G225" s="21" t="str">
        <f>Source!DD203</f>
        <v/>
      </c>
      <c r="H225" s="9">
        <f>Source!AW203</f>
        <v>1</v>
      </c>
      <c r="I225" s="9">
        <f>IF(Source!BC203&lt;&gt; 0, Source!BC203, 1)</f>
        <v>1</v>
      </c>
      <c r="J225" s="22">
        <f>Source!P203</f>
        <v>150.63999999999999</v>
      </c>
      <c r="K225" s="22"/>
    </row>
    <row r="226" spans="1:22" ht="55.5" x14ac:dyDescent="0.2">
      <c r="A226" s="19" t="s">
        <v>209</v>
      </c>
      <c r="B226" s="19" t="str">
        <f>Source!F204</f>
        <v>Цена пост.</v>
      </c>
      <c r="C226" s="19" t="s">
        <v>468</v>
      </c>
      <c r="D226" s="20" t="str">
        <f>Source!H204</f>
        <v>шт.</v>
      </c>
      <c r="E226" s="9">
        <f>Source!I204</f>
        <v>1</v>
      </c>
      <c r="F226" s="22">
        <f>Source!AK204</f>
        <v>10050.83</v>
      </c>
      <c r="G226" s="28" t="s">
        <v>3</v>
      </c>
      <c r="H226" s="9">
        <f>Source!AW204</f>
        <v>1</v>
      </c>
      <c r="I226" s="9">
        <f>IF(Source!BC204&lt;&gt; 0, Source!BC204, 1)</f>
        <v>1</v>
      </c>
      <c r="J226" s="22">
        <f>Source!O204</f>
        <v>10050.83</v>
      </c>
      <c r="K226" s="22"/>
      <c r="Q226">
        <f>ROUND((Source!BZ204/100)*ROUND((Source!AF204*Source!AV204)*Source!I204, 2), 2)</f>
        <v>0</v>
      </c>
      <c r="R226">
        <f>Source!X204</f>
        <v>0</v>
      </c>
      <c r="S226">
        <f>ROUND((Source!CA204/100)*ROUND((Source!AF204*Source!AV204)*Source!I204, 2), 2)</f>
        <v>0</v>
      </c>
      <c r="T226">
        <f>Source!Y204</f>
        <v>0</v>
      </c>
      <c r="U226">
        <f>ROUND((175/100)*ROUND((Source!AE204*Source!AV204)*Source!I204, 2), 2)</f>
        <v>0</v>
      </c>
      <c r="V226">
        <f>ROUND((108/100)*ROUND(Source!CS204*Source!I204, 2), 2)</f>
        <v>0</v>
      </c>
    </row>
    <row r="227" spans="1:22" ht="14.25" x14ac:dyDescent="0.2">
      <c r="A227" s="19"/>
      <c r="B227" s="19"/>
      <c r="C227" s="19" t="s">
        <v>446</v>
      </c>
      <c r="D227" s="20" t="s">
        <v>447</v>
      </c>
      <c r="E227" s="9">
        <f>Source!AT203</f>
        <v>70</v>
      </c>
      <c r="F227" s="22"/>
      <c r="G227" s="21"/>
      <c r="H227" s="9"/>
      <c r="I227" s="9"/>
      <c r="J227" s="22">
        <f>SUM(R222:R226)</f>
        <v>219.7</v>
      </c>
      <c r="K227" s="22"/>
    </row>
    <row r="228" spans="1:22" ht="14.25" x14ac:dyDescent="0.2">
      <c r="A228" s="19"/>
      <c r="B228" s="19"/>
      <c r="C228" s="19" t="s">
        <v>448</v>
      </c>
      <c r="D228" s="20" t="s">
        <v>447</v>
      </c>
      <c r="E228" s="9">
        <f>Source!AU203</f>
        <v>10</v>
      </c>
      <c r="F228" s="22"/>
      <c r="G228" s="21"/>
      <c r="H228" s="9"/>
      <c r="I228" s="9"/>
      <c r="J228" s="22">
        <f>SUM(T222:T227)</f>
        <v>31.39</v>
      </c>
      <c r="K228" s="22"/>
    </row>
    <row r="229" spans="1:22" ht="14.25" x14ac:dyDescent="0.2">
      <c r="A229" s="19"/>
      <c r="B229" s="19"/>
      <c r="C229" s="19" t="s">
        <v>449</v>
      </c>
      <c r="D229" s="20" t="s">
        <v>450</v>
      </c>
      <c r="E229" s="9">
        <f>Source!AQ203</f>
        <v>77.86</v>
      </c>
      <c r="F229" s="22"/>
      <c r="G229" s="21" t="str">
        <f>Source!DI203</f>
        <v/>
      </c>
      <c r="H229" s="9">
        <f>Source!AV203</f>
        <v>1</v>
      </c>
      <c r="I229" s="9"/>
      <c r="J229" s="22"/>
      <c r="K229" s="22">
        <f>Source!U203</f>
        <v>0.77859999999999996</v>
      </c>
    </row>
    <row r="230" spans="1:22" ht="15" x14ac:dyDescent="0.25">
      <c r="A230" s="26"/>
      <c r="B230" s="26"/>
      <c r="C230" s="26"/>
      <c r="D230" s="26"/>
      <c r="E230" s="26"/>
      <c r="F230" s="26"/>
      <c r="G230" s="26"/>
      <c r="H230" s="26"/>
      <c r="I230" s="61">
        <f>J224+J225+J227+J228+SUM(J226:J226)</f>
        <v>10766.41</v>
      </c>
      <c r="J230" s="61"/>
      <c r="K230" s="27">
        <f>IF(Source!I203&lt;&gt;0, ROUND(I230/Source!I203, 2), 0)</f>
        <v>1076641</v>
      </c>
      <c r="P230" s="24">
        <f>I230</f>
        <v>10766.41</v>
      </c>
    </row>
    <row r="231" spans="1:22" ht="57" x14ac:dyDescent="0.2">
      <c r="A231" s="19">
        <v>20</v>
      </c>
      <c r="B231" s="19" t="str">
        <f>Source!F205</f>
        <v>1.15-3103-4-1/1</v>
      </c>
      <c r="C231" s="19" t="str">
        <f>Source!G205</f>
        <v>Монтаж гибких подводок к водогазоразборной арматуре / подводки с двумя латунными накидными гайками длиной 500 мм</v>
      </c>
      <c r="D231" s="20" t="str">
        <f>Source!H205</f>
        <v>100 м</v>
      </c>
      <c r="E231" s="9">
        <f>Source!I205</f>
        <v>0.01</v>
      </c>
      <c r="F231" s="22"/>
      <c r="G231" s="21"/>
      <c r="H231" s="9"/>
      <c r="I231" s="9"/>
      <c r="J231" s="22"/>
      <c r="K231" s="22"/>
      <c r="Q231">
        <f>ROUND((Source!BZ205/100)*ROUND((Source!AF205*Source!AV205)*Source!I205, 2), 2)</f>
        <v>143.91999999999999</v>
      </c>
      <c r="R231">
        <f>Source!X205</f>
        <v>143.91999999999999</v>
      </c>
      <c r="S231">
        <f>ROUND((Source!CA205/100)*ROUND((Source!AF205*Source!AV205)*Source!I205, 2), 2)</f>
        <v>20.56</v>
      </c>
      <c r="T231">
        <f>Source!Y205</f>
        <v>20.56</v>
      </c>
      <c r="U231">
        <f>ROUND((175/100)*ROUND((Source!AE205*Source!AV205)*Source!I205, 2), 2)</f>
        <v>0</v>
      </c>
      <c r="V231">
        <f>ROUND((108/100)*ROUND(Source!CS205*Source!I205, 2), 2)</f>
        <v>0</v>
      </c>
    </row>
    <row r="232" spans="1:22" x14ac:dyDescent="0.2">
      <c r="C232" s="23" t="str">
        <f>"Объем: "&amp;Source!I205&amp;"=1/"&amp;"100"</f>
        <v>Объем: 0,01=1/100</v>
      </c>
    </row>
    <row r="233" spans="1:22" ht="14.25" x14ac:dyDescent="0.2">
      <c r="A233" s="19"/>
      <c r="B233" s="19"/>
      <c r="C233" s="19" t="s">
        <v>444</v>
      </c>
      <c r="D233" s="20"/>
      <c r="E233" s="9"/>
      <c r="F233" s="22">
        <f>Source!AO205</f>
        <v>20560.240000000002</v>
      </c>
      <c r="G233" s="21" t="str">
        <f>Source!DG205</f>
        <v/>
      </c>
      <c r="H233" s="9">
        <f>Source!AV205</f>
        <v>1</v>
      </c>
      <c r="I233" s="9">
        <f>IF(Source!BA205&lt;&gt; 0, Source!BA205, 1)</f>
        <v>1</v>
      </c>
      <c r="J233" s="22">
        <f>Source!S205</f>
        <v>205.6</v>
      </c>
      <c r="K233" s="22"/>
    </row>
    <row r="234" spans="1:22" ht="14.25" x14ac:dyDescent="0.2">
      <c r="A234" s="19"/>
      <c r="B234" s="19"/>
      <c r="C234" s="19" t="s">
        <v>451</v>
      </c>
      <c r="D234" s="20"/>
      <c r="E234" s="9"/>
      <c r="F234" s="22">
        <f>Source!AL205</f>
        <v>26460</v>
      </c>
      <c r="G234" s="21" t="str">
        <f>Source!DD205</f>
        <v/>
      </c>
      <c r="H234" s="9">
        <f>Source!AW205</f>
        <v>1</v>
      </c>
      <c r="I234" s="9">
        <f>IF(Source!BC205&lt;&gt; 0, Source!BC205, 1)</f>
        <v>1</v>
      </c>
      <c r="J234" s="22">
        <f>Source!P205</f>
        <v>264.60000000000002</v>
      </c>
      <c r="K234" s="22"/>
    </row>
    <row r="235" spans="1:22" ht="14.25" x14ac:dyDescent="0.2">
      <c r="A235" s="19"/>
      <c r="B235" s="19"/>
      <c r="C235" s="19" t="s">
        <v>446</v>
      </c>
      <c r="D235" s="20" t="s">
        <v>447</v>
      </c>
      <c r="E235" s="9">
        <f>Source!AT205</f>
        <v>70</v>
      </c>
      <c r="F235" s="22"/>
      <c r="G235" s="21"/>
      <c r="H235" s="9"/>
      <c r="I235" s="9"/>
      <c r="J235" s="22">
        <f>SUM(R231:R234)</f>
        <v>143.91999999999999</v>
      </c>
      <c r="K235" s="22"/>
    </row>
    <row r="236" spans="1:22" ht="14.25" x14ac:dyDescent="0.2">
      <c r="A236" s="19"/>
      <c r="B236" s="19"/>
      <c r="C236" s="19" t="s">
        <v>448</v>
      </c>
      <c r="D236" s="20" t="s">
        <v>447</v>
      </c>
      <c r="E236" s="9">
        <f>Source!AU205</f>
        <v>10</v>
      </c>
      <c r="F236" s="22"/>
      <c r="G236" s="21"/>
      <c r="H236" s="9"/>
      <c r="I236" s="9"/>
      <c r="J236" s="22">
        <f>SUM(T231:T235)</f>
        <v>20.56</v>
      </c>
      <c r="K236" s="22"/>
    </row>
    <row r="237" spans="1:22" ht="14.25" x14ac:dyDescent="0.2">
      <c r="A237" s="19"/>
      <c r="B237" s="19"/>
      <c r="C237" s="19" t="s">
        <v>449</v>
      </c>
      <c r="D237" s="20" t="s">
        <v>450</v>
      </c>
      <c r="E237" s="9">
        <f>Source!AQ205</f>
        <v>38.76</v>
      </c>
      <c r="F237" s="22"/>
      <c r="G237" s="21" t="str">
        <f>Source!DI205</f>
        <v/>
      </c>
      <c r="H237" s="9">
        <f>Source!AV205</f>
        <v>1</v>
      </c>
      <c r="I237" s="9"/>
      <c r="J237" s="22"/>
      <c r="K237" s="22">
        <f>Source!U205</f>
        <v>0.3876</v>
      </c>
    </row>
    <row r="238" spans="1:22" ht="15" x14ac:dyDescent="0.25">
      <c r="A238" s="26"/>
      <c r="B238" s="26"/>
      <c r="C238" s="26"/>
      <c r="D238" s="26"/>
      <c r="E238" s="26"/>
      <c r="F238" s="26"/>
      <c r="G238" s="26"/>
      <c r="H238" s="26"/>
      <c r="I238" s="61">
        <f>J233+J234+J235+J236</f>
        <v>634.67999999999995</v>
      </c>
      <c r="J238" s="61"/>
      <c r="K238" s="27">
        <f>IF(Source!I205&lt;&gt;0, ROUND(I238/Source!I205, 2), 0)</f>
        <v>63468</v>
      </c>
      <c r="P238" s="24">
        <f>I238</f>
        <v>634.67999999999995</v>
      </c>
    </row>
    <row r="239" spans="1:22" ht="28.5" x14ac:dyDescent="0.2">
      <c r="A239" s="19">
        <v>21</v>
      </c>
      <c r="B239" s="19" t="str">
        <f>Source!F206</f>
        <v>1.15-3204-2-2/1</v>
      </c>
      <c r="C239" s="19" t="str">
        <f>Source!G206</f>
        <v>Демонтаж муфтовой арматуры диаметром 20 мм</v>
      </c>
      <c r="D239" s="20" t="str">
        <f>Source!H206</f>
        <v>10 шт.</v>
      </c>
      <c r="E239" s="9">
        <f>Source!I206</f>
        <v>0.2</v>
      </c>
      <c r="F239" s="22"/>
      <c r="G239" s="21"/>
      <c r="H239" s="9"/>
      <c r="I239" s="9"/>
      <c r="J239" s="22"/>
      <c r="K239" s="22"/>
      <c r="Q239">
        <f>ROUND((Source!BZ206/100)*ROUND((Source!AF206*Source!AV206)*Source!I206, 2), 2)</f>
        <v>89.86</v>
      </c>
      <c r="R239">
        <f>Source!X206</f>
        <v>89.86</v>
      </c>
      <c r="S239">
        <f>ROUND((Source!CA206/100)*ROUND((Source!AF206*Source!AV206)*Source!I206, 2), 2)</f>
        <v>12.84</v>
      </c>
      <c r="T239">
        <f>Source!Y206</f>
        <v>12.84</v>
      </c>
      <c r="U239">
        <f>ROUND((175/100)*ROUND((Source!AE206*Source!AV206)*Source!I206, 2), 2)</f>
        <v>0</v>
      </c>
      <c r="V239">
        <f>ROUND((108/100)*ROUND(Source!CS206*Source!I206, 2), 2)</f>
        <v>0</v>
      </c>
    </row>
    <row r="240" spans="1:22" x14ac:dyDescent="0.2">
      <c r="C240" s="23" t="str">
        <f>"Объем: "&amp;Source!I206&amp;"=2/"&amp;"10"</f>
        <v>Объем: 0,2=2/10</v>
      </c>
    </row>
    <row r="241" spans="1:22" ht="14.25" x14ac:dyDescent="0.2">
      <c r="A241" s="19"/>
      <c r="B241" s="19"/>
      <c r="C241" s="19" t="s">
        <v>444</v>
      </c>
      <c r="D241" s="20"/>
      <c r="E241" s="9"/>
      <c r="F241" s="22">
        <f>Source!AO206</f>
        <v>641.84</v>
      </c>
      <c r="G241" s="21" t="str">
        <f>Source!DG206</f>
        <v/>
      </c>
      <c r="H241" s="9">
        <f>Source!AV206</f>
        <v>1</v>
      </c>
      <c r="I241" s="9">
        <f>IF(Source!BA206&lt;&gt; 0, Source!BA206, 1)</f>
        <v>1</v>
      </c>
      <c r="J241" s="22">
        <f>Source!S206</f>
        <v>128.37</v>
      </c>
      <c r="K241" s="22"/>
    </row>
    <row r="242" spans="1:22" ht="14.25" x14ac:dyDescent="0.2">
      <c r="A242" s="19"/>
      <c r="B242" s="19"/>
      <c r="C242" s="19" t="s">
        <v>446</v>
      </c>
      <c r="D242" s="20" t="s">
        <v>447</v>
      </c>
      <c r="E242" s="9">
        <f>Source!AT206</f>
        <v>70</v>
      </c>
      <c r="F242" s="22"/>
      <c r="G242" s="21"/>
      <c r="H242" s="9"/>
      <c r="I242" s="9"/>
      <c r="J242" s="22">
        <f>SUM(R239:R241)</f>
        <v>89.86</v>
      </c>
      <c r="K242" s="22"/>
    </row>
    <row r="243" spans="1:22" ht="14.25" x14ac:dyDescent="0.2">
      <c r="A243" s="19"/>
      <c r="B243" s="19"/>
      <c r="C243" s="19" t="s">
        <v>448</v>
      </c>
      <c r="D243" s="20" t="s">
        <v>447</v>
      </c>
      <c r="E243" s="9">
        <f>Source!AU206</f>
        <v>10</v>
      </c>
      <c r="F243" s="22"/>
      <c r="G243" s="21"/>
      <c r="H243" s="9"/>
      <c r="I243" s="9"/>
      <c r="J243" s="22">
        <f>SUM(T239:T242)</f>
        <v>12.84</v>
      </c>
      <c r="K243" s="22"/>
    </row>
    <row r="244" spans="1:22" ht="14.25" x14ac:dyDescent="0.2">
      <c r="A244" s="19"/>
      <c r="B244" s="19"/>
      <c r="C244" s="19" t="s">
        <v>449</v>
      </c>
      <c r="D244" s="20" t="s">
        <v>450</v>
      </c>
      <c r="E244" s="9">
        <f>Source!AQ206</f>
        <v>1.21</v>
      </c>
      <c r="F244" s="22"/>
      <c r="G244" s="21" t="str">
        <f>Source!DI206</f>
        <v/>
      </c>
      <c r="H244" s="9">
        <f>Source!AV206</f>
        <v>1</v>
      </c>
      <c r="I244" s="9"/>
      <c r="J244" s="22"/>
      <c r="K244" s="22">
        <f>Source!U206</f>
        <v>0.24199999999999999</v>
      </c>
    </row>
    <row r="245" spans="1:22" ht="15" x14ac:dyDescent="0.25">
      <c r="A245" s="26"/>
      <c r="B245" s="26"/>
      <c r="C245" s="26"/>
      <c r="D245" s="26"/>
      <c r="E245" s="26"/>
      <c r="F245" s="26"/>
      <c r="G245" s="26"/>
      <c r="H245" s="26"/>
      <c r="I245" s="61">
        <f>J241+J242+J243</f>
        <v>231.07000000000002</v>
      </c>
      <c r="J245" s="61"/>
      <c r="K245" s="27">
        <f>IF(Source!I206&lt;&gt;0, ROUND(I245/Source!I206, 2), 0)</f>
        <v>1155.3499999999999</v>
      </c>
      <c r="P245" s="24">
        <f>I245</f>
        <v>231.07000000000002</v>
      </c>
    </row>
    <row r="246" spans="1:22" ht="28.5" x14ac:dyDescent="0.2">
      <c r="A246" s="19">
        <v>22</v>
      </c>
      <c r="B246" s="19" t="str">
        <f>Source!F207</f>
        <v>1.15-3203-5-2/1</v>
      </c>
      <c r="C246" s="19" t="str">
        <f>Source!G207</f>
        <v>Установка муфтовой арматуры диаметром 20 мм</v>
      </c>
      <c r="D246" s="20" t="str">
        <f>Source!H207</f>
        <v>10 шт.</v>
      </c>
      <c r="E246" s="9">
        <f>Source!I207</f>
        <v>0.2</v>
      </c>
      <c r="F246" s="22"/>
      <c r="G246" s="21"/>
      <c r="H246" s="9"/>
      <c r="I246" s="9"/>
      <c r="J246" s="22"/>
      <c r="K246" s="22"/>
      <c r="Q246">
        <f>ROUND((Source!BZ207/100)*ROUND((Source!AF207*Source!AV207)*Source!I207, 2), 2)</f>
        <v>127.73</v>
      </c>
      <c r="R246">
        <f>Source!X207</f>
        <v>127.73</v>
      </c>
      <c r="S246">
        <f>ROUND((Source!CA207/100)*ROUND((Source!AF207*Source!AV207)*Source!I207, 2), 2)</f>
        <v>18.25</v>
      </c>
      <c r="T246">
        <f>Source!Y207</f>
        <v>18.25</v>
      </c>
      <c r="U246">
        <f>ROUND((175/100)*ROUND((Source!AE207*Source!AV207)*Source!I207, 2), 2)</f>
        <v>0</v>
      </c>
      <c r="V246">
        <f>ROUND((108/100)*ROUND(Source!CS207*Source!I207, 2), 2)</f>
        <v>0</v>
      </c>
    </row>
    <row r="247" spans="1:22" x14ac:dyDescent="0.2">
      <c r="C247" s="23" t="str">
        <f>"Объем: "&amp;Source!I207&amp;"=2/"&amp;"10"</f>
        <v>Объем: 0,2=2/10</v>
      </c>
    </row>
    <row r="248" spans="1:22" ht="14.25" x14ac:dyDescent="0.2">
      <c r="A248" s="19"/>
      <c r="B248" s="19"/>
      <c r="C248" s="19" t="s">
        <v>444</v>
      </c>
      <c r="D248" s="20"/>
      <c r="E248" s="9"/>
      <c r="F248" s="22">
        <f>Source!AO207</f>
        <v>912.37</v>
      </c>
      <c r="G248" s="21" t="str">
        <f>Source!DG207</f>
        <v/>
      </c>
      <c r="H248" s="9">
        <f>Source!AV207</f>
        <v>1</v>
      </c>
      <c r="I248" s="9">
        <f>IF(Source!BA207&lt;&gt; 0, Source!BA207, 1)</f>
        <v>1</v>
      </c>
      <c r="J248" s="22">
        <f>Source!S207</f>
        <v>182.47</v>
      </c>
      <c r="K248" s="22"/>
    </row>
    <row r="249" spans="1:22" ht="14.25" x14ac:dyDescent="0.2">
      <c r="A249" s="19"/>
      <c r="B249" s="19"/>
      <c r="C249" s="19" t="s">
        <v>451</v>
      </c>
      <c r="D249" s="20"/>
      <c r="E249" s="9"/>
      <c r="F249" s="22">
        <f>Source!AL207</f>
        <v>59.54</v>
      </c>
      <c r="G249" s="21" t="str">
        <f>Source!DD207</f>
        <v/>
      </c>
      <c r="H249" s="9">
        <f>Source!AW207</f>
        <v>1</v>
      </c>
      <c r="I249" s="9">
        <f>IF(Source!BC207&lt;&gt; 0, Source!BC207, 1)</f>
        <v>1</v>
      </c>
      <c r="J249" s="22">
        <f>Source!P207</f>
        <v>11.91</v>
      </c>
      <c r="K249" s="22"/>
    </row>
    <row r="250" spans="1:22" ht="42.75" x14ac:dyDescent="0.2">
      <c r="A250" s="19" t="s">
        <v>225</v>
      </c>
      <c r="B250" s="19" t="str">
        <f>Source!F208</f>
        <v>21.13-4-40</v>
      </c>
      <c r="C250" s="19" t="str">
        <f>Source!G208</f>
        <v>Краны латунные шаровые муфтовые проходные, марка 11б27п, диаметр 20 мм</v>
      </c>
      <c r="D250" s="20" t="str">
        <f>Source!H208</f>
        <v>шт.</v>
      </c>
      <c r="E250" s="9">
        <f>Source!I208</f>
        <v>2</v>
      </c>
      <c r="F250" s="22">
        <f>Source!AK208</f>
        <v>182.88</v>
      </c>
      <c r="G250" s="28" t="s">
        <v>3</v>
      </c>
      <c r="H250" s="9">
        <f>Source!AW208</f>
        <v>1</v>
      </c>
      <c r="I250" s="9">
        <f>IF(Source!BC208&lt;&gt; 0, Source!BC208, 1)</f>
        <v>1</v>
      </c>
      <c r="J250" s="22">
        <f>Source!O208</f>
        <v>365.76</v>
      </c>
      <c r="K250" s="22"/>
      <c r="Q250">
        <f>ROUND((Source!BZ208/100)*ROUND((Source!AF208*Source!AV208)*Source!I208, 2), 2)</f>
        <v>0</v>
      </c>
      <c r="R250">
        <f>Source!X208</f>
        <v>0</v>
      </c>
      <c r="S250">
        <f>ROUND((Source!CA208/100)*ROUND((Source!AF208*Source!AV208)*Source!I208, 2), 2)</f>
        <v>0</v>
      </c>
      <c r="T250">
        <f>Source!Y208</f>
        <v>0</v>
      </c>
      <c r="U250">
        <f>ROUND((175/100)*ROUND((Source!AE208*Source!AV208)*Source!I208, 2), 2)</f>
        <v>0</v>
      </c>
      <c r="V250">
        <f>ROUND((108/100)*ROUND(Source!CS208*Source!I208, 2), 2)</f>
        <v>0</v>
      </c>
    </row>
    <row r="251" spans="1:22" ht="14.25" x14ac:dyDescent="0.2">
      <c r="A251" s="19"/>
      <c r="B251" s="19"/>
      <c r="C251" s="19" t="s">
        <v>446</v>
      </c>
      <c r="D251" s="20" t="s">
        <v>447</v>
      </c>
      <c r="E251" s="9">
        <f>Source!AT207</f>
        <v>70</v>
      </c>
      <c r="F251" s="22"/>
      <c r="G251" s="21"/>
      <c r="H251" s="9"/>
      <c r="I251" s="9"/>
      <c r="J251" s="22">
        <f>SUM(R246:R250)</f>
        <v>127.73</v>
      </c>
      <c r="K251" s="22"/>
    </row>
    <row r="252" spans="1:22" ht="14.25" x14ac:dyDescent="0.2">
      <c r="A252" s="19"/>
      <c r="B252" s="19"/>
      <c r="C252" s="19" t="s">
        <v>448</v>
      </c>
      <c r="D252" s="20" t="s">
        <v>447</v>
      </c>
      <c r="E252" s="9">
        <f>Source!AU207</f>
        <v>10</v>
      </c>
      <c r="F252" s="22"/>
      <c r="G252" s="21"/>
      <c r="H252" s="9"/>
      <c r="I252" s="9"/>
      <c r="J252" s="22">
        <f>SUM(T246:T251)</f>
        <v>18.25</v>
      </c>
      <c r="K252" s="22"/>
    </row>
    <row r="253" spans="1:22" ht="14.25" x14ac:dyDescent="0.2">
      <c r="A253" s="19"/>
      <c r="B253" s="19"/>
      <c r="C253" s="19" t="s">
        <v>449</v>
      </c>
      <c r="D253" s="20" t="s">
        <v>450</v>
      </c>
      <c r="E253" s="9">
        <f>Source!AQ207</f>
        <v>1.72</v>
      </c>
      <c r="F253" s="22"/>
      <c r="G253" s="21" t="str">
        <f>Source!DI207</f>
        <v/>
      </c>
      <c r="H253" s="9">
        <f>Source!AV207</f>
        <v>1</v>
      </c>
      <c r="I253" s="9"/>
      <c r="J253" s="22"/>
      <c r="K253" s="22">
        <f>Source!U207</f>
        <v>0.34400000000000003</v>
      </c>
    </row>
    <row r="254" spans="1:22" ht="15" x14ac:dyDescent="0.25">
      <c r="A254" s="26"/>
      <c r="B254" s="26"/>
      <c r="C254" s="26"/>
      <c r="D254" s="26"/>
      <c r="E254" s="26"/>
      <c r="F254" s="26"/>
      <c r="G254" s="26"/>
      <c r="H254" s="26"/>
      <c r="I254" s="61">
        <f>J248+J249+J251+J252+SUM(J250:J250)</f>
        <v>706.12</v>
      </c>
      <c r="J254" s="61"/>
      <c r="K254" s="27">
        <f>IF(Source!I207&lt;&gt;0, ROUND(I254/Source!I207, 2), 0)</f>
        <v>3530.6</v>
      </c>
      <c r="P254" s="24">
        <f>I254</f>
        <v>706.12</v>
      </c>
    </row>
    <row r="256" spans="1:22" ht="15" x14ac:dyDescent="0.25">
      <c r="A256" s="65" t="str">
        <f>CONCATENATE("Итого по подразделу: ",IF(Source!G210&lt;&gt;"Новый подраздел", Source!G210, ""))</f>
        <v>Итого по подразделу: Инженерные сети</v>
      </c>
      <c r="B256" s="65"/>
      <c r="C256" s="65"/>
      <c r="D256" s="65"/>
      <c r="E256" s="65"/>
      <c r="F256" s="65"/>
      <c r="G256" s="65"/>
      <c r="H256" s="65"/>
      <c r="I256" s="63">
        <f>SUM(P193:P255)</f>
        <v>21415.46</v>
      </c>
      <c r="J256" s="64"/>
      <c r="K256" s="30"/>
    </row>
    <row r="259" spans="1:22" ht="16.5" x14ac:dyDescent="0.25">
      <c r="A259" s="62" t="str">
        <f>CONCATENATE("Подраздел: ",IF(Source!G240&lt;&gt;"Новый подраздел", Source!G240, ""))</f>
        <v>Подраздел: Электрика</v>
      </c>
      <c r="B259" s="62"/>
      <c r="C259" s="62"/>
      <c r="D259" s="62"/>
      <c r="E259" s="62"/>
      <c r="F259" s="62"/>
      <c r="G259" s="62"/>
      <c r="H259" s="62"/>
      <c r="I259" s="62"/>
      <c r="J259" s="62"/>
      <c r="K259" s="62"/>
    </row>
    <row r="260" spans="1:22" ht="42.75" x14ac:dyDescent="0.2">
      <c r="A260" s="19">
        <v>23</v>
      </c>
      <c r="B260" s="19" t="str">
        <f>Source!F244</f>
        <v>1.21-3102-8-2/1</v>
      </c>
      <c r="C260" s="19" t="str">
        <f>Source!G244</f>
        <v>Замена электроустановочных изделий, открытая проводка, выключатель, розетка (без стоимости материалов)</v>
      </c>
      <c r="D260" s="20" t="str">
        <f>Source!H244</f>
        <v>100 шт.</v>
      </c>
      <c r="E260" s="9">
        <f>Source!I244</f>
        <v>0.03</v>
      </c>
      <c r="F260" s="22"/>
      <c r="G260" s="21"/>
      <c r="H260" s="9"/>
      <c r="I260" s="9"/>
      <c r="J260" s="22"/>
      <c r="K260" s="22"/>
      <c r="Q260">
        <f>ROUND((Source!BZ244/100)*ROUND((Source!AF244*Source!AV244)*Source!I244, 2), 2)</f>
        <v>243.11</v>
      </c>
      <c r="R260">
        <f>Source!X244</f>
        <v>243.11</v>
      </c>
      <c r="S260">
        <f>ROUND((Source!CA244/100)*ROUND((Source!AF244*Source!AV244)*Source!I244, 2), 2)</f>
        <v>34.729999999999997</v>
      </c>
      <c r="T260">
        <f>Source!Y244</f>
        <v>34.729999999999997</v>
      </c>
      <c r="U260">
        <f>ROUND((175/100)*ROUND((Source!AE244*Source!AV244)*Source!I244, 2), 2)</f>
        <v>0</v>
      </c>
      <c r="V260">
        <f>ROUND((108/100)*ROUND(Source!CS244*Source!I244, 2), 2)</f>
        <v>0</v>
      </c>
    </row>
    <row r="261" spans="1:22" x14ac:dyDescent="0.2">
      <c r="C261" s="23" t="str">
        <f>"Объем: "&amp;Source!I244&amp;"=3/"&amp;"100"</f>
        <v>Объем: 0,03=3/100</v>
      </c>
    </row>
    <row r="262" spans="1:22" ht="14.25" x14ac:dyDescent="0.2">
      <c r="A262" s="19"/>
      <c r="B262" s="19"/>
      <c r="C262" s="19" t="s">
        <v>444</v>
      </c>
      <c r="D262" s="20"/>
      <c r="E262" s="9"/>
      <c r="F262" s="22">
        <f>Source!AO244</f>
        <v>11576.6</v>
      </c>
      <c r="G262" s="21" t="str">
        <f>Source!DG244</f>
        <v/>
      </c>
      <c r="H262" s="9">
        <f>Source!AV244</f>
        <v>1</v>
      </c>
      <c r="I262" s="9">
        <f>IF(Source!BA244&lt;&gt; 0, Source!BA244, 1)</f>
        <v>1</v>
      </c>
      <c r="J262" s="22">
        <f>Source!S244</f>
        <v>347.3</v>
      </c>
      <c r="K262" s="22"/>
    </row>
    <row r="263" spans="1:22" ht="41.25" x14ac:dyDescent="0.2">
      <c r="A263" s="19" t="s">
        <v>234</v>
      </c>
      <c r="B263" s="19" t="str">
        <f>Source!F245</f>
        <v>Цена пост.</v>
      </c>
      <c r="C263" s="19" t="s">
        <v>469</v>
      </c>
      <c r="D263" s="20" t="str">
        <f>Source!H245</f>
        <v>шт.</v>
      </c>
      <c r="E263" s="9">
        <f>Source!I245</f>
        <v>2</v>
      </c>
      <c r="F263" s="22">
        <f>Source!AK245</f>
        <v>285</v>
      </c>
      <c r="G263" s="28" t="s">
        <v>3</v>
      </c>
      <c r="H263" s="9">
        <f>Source!AW245</f>
        <v>1</v>
      </c>
      <c r="I263" s="9">
        <f>IF(Source!BC245&lt;&gt; 0, Source!BC245, 1)</f>
        <v>1</v>
      </c>
      <c r="J263" s="22">
        <f>Source!O245</f>
        <v>570</v>
      </c>
      <c r="K263" s="22"/>
      <c r="Q263">
        <f>ROUND((Source!BZ245/100)*ROUND((Source!AF245*Source!AV245)*Source!I245, 2), 2)</f>
        <v>0</v>
      </c>
      <c r="R263">
        <f>Source!X245</f>
        <v>0</v>
      </c>
      <c r="S263">
        <f>ROUND((Source!CA245/100)*ROUND((Source!AF245*Source!AV245)*Source!I245, 2), 2)</f>
        <v>0</v>
      </c>
      <c r="T263">
        <f>Source!Y245</f>
        <v>0</v>
      </c>
      <c r="U263">
        <f>ROUND((175/100)*ROUND((Source!AE245*Source!AV245)*Source!I245, 2), 2)</f>
        <v>0</v>
      </c>
      <c r="V263">
        <f>ROUND((108/100)*ROUND(Source!CS245*Source!I245, 2), 2)</f>
        <v>0</v>
      </c>
    </row>
    <row r="264" spans="1:22" ht="57" x14ac:dyDescent="0.2">
      <c r="A264" s="19" t="s">
        <v>237</v>
      </c>
      <c r="B264" s="19" t="str">
        <f>Source!F246</f>
        <v>21.21-5-24</v>
      </c>
      <c r="C264" s="19" t="str">
        <f>Source!G246</f>
        <v>Выключатели, серия "Прима", напряжение 250 В, сила тока 6 А, тип: А16-051, одноклавишный, открытой установки</v>
      </c>
      <c r="D264" s="20" t="str">
        <f>Source!H246</f>
        <v>шт.</v>
      </c>
      <c r="E264" s="9">
        <f>Source!I246</f>
        <v>1</v>
      </c>
      <c r="F264" s="22">
        <f>Source!AK246</f>
        <v>90.55</v>
      </c>
      <c r="G264" s="28" t="s">
        <v>3</v>
      </c>
      <c r="H264" s="9">
        <f>Source!AW246</f>
        <v>1</v>
      </c>
      <c r="I264" s="9">
        <f>IF(Source!BC246&lt;&gt; 0, Source!BC246, 1)</f>
        <v>1</v>
      </c>
      <c r="J264" s="22">
        <f>Source!O246</f>
        <v>90.55</v>
      </c>
      <c r="K264" s="22"/>
      <c r="Q264">
        <f>ROUND((Source!BZ246/100)*ROUND((Source!AF246*Source!AV246)*Source!I246, 2), 2)</f>
        <v>0</v>
      </c>
      <c r="R264">
        <f>Source!X246</f>
        <v>0</v>
      </c>
      <c r="S264">
        <f>ROUND((Source!CA246/100)*ROUND((Source!AF246*Source!AV246)*Source!I246, 2), 2)</f>
        <v>0</v>
      </c>
      <c r="T264">
        <f>Source!Y246</f>
        <v>0</v>
      </c>
      <c r="U264">
        <f>ROUND((175/100)*ROUND((Source!AE246*Source!AV246)*Source!I246, 2), 2)</f>
        <v>0</v>
      </c>
      <c r="V264">
        <f>ROUND((108/100)*ROUND(Source!CS246*Source!I246, 2), 2)</f>
        <v>0</v>
      </c>
    </row>
    <row r="265" spans="1:22" ht="14.25" x14ac:dyDescent="0.2">
      <c r="A265" s="19"/>
      <c r="B265" s="19"/>
      <c r="C265" s="19" t="s">
        <v>446</v>
      </c>
      <c r="D265" s="20" t="s">
        <v>447</v>
      </c>
      <c r="E265" s="9">
        <f>Source!AT244</f>
        <v>70</v>
      </c>
      <c r="F265" s="22"/>
      <c r="G265" s="21"/>
      <c r="H265" s="9"/>
      <c r="I265" s="9"/>
      <c r="J265" s="22">
        <f>SUM(R260:R264)</f>
        <v>243.11</v>
      </c>
      <c r="K265" s="22"/>
    </row>
    <row r="266" spans="1:22" ht="14.25" x14ac:dyDescent="0.2">
      <c r="A266" s="19"/>
      <c r="B266" s="19"/>
      <c r="C266" s="19" t="s">
        <v>448</v>
      </c>
      <c r="D266" s="20" t="s">
        <v>447</v>
      </c>
      <c r="E266" s="9">
        <f>Source!AU244</f>
        <v>10</v>
      </c>
      <c r="F266" s="22"/>
      <c r="G266" s="21"/>
      <c r="H266" s="9"/>
      <c r="I266" s="9"/>
      <c r="J266" s="22">
        <f>SUM(T260:T265)</f>
        <v>34.729999999999997</v>
      </c>
      <c r="K266" s="22"/>
    </row>
    <row r="267" spans="1:22" ht="14.25" x14ac:dyDescent="0.2">
      <c r="A267" s="19"/>
      <c r="B267" s="19"/>
      <c r="C267" s="19" t="s">
        <v>449</v>
      </c>
      <c r="D267" s="20" t="s">
        <v>450</v>
      </c>
      <c r="E267" s="9">
        <f>Source!AQ244</f>
        <v>29.74</v>
      </c>
      <c r="F267" s="22"/>
      <c r="G267" s="21" t="str">
        <f>Source!DI244</f>
        <v/>
      </c>
      <c r="H267" s="9">
        <f>Source!AV244</f>
        <v>1</v>
      </c>
      <c r="I267" s="9"/>
      <c r="J267" s="22"/>
      <c r="K267" s="22">
        <f>Source!U244</f>
        <v>0.89219999999999988</v>
      </c>
    </row>
    <row r="268" spans="1:22" ht="15" x14ac:dyDescent="0.25">
      <c r="A268" s="26"/>
      <c r="B268" s="26"/>
      <c r="C268" s="26"/>
      <c r="D268" s="26"/>
      <c r="E268" s="26"/>
      <c r="F268" s="26"/>
      <c r="G268" s="26"/>
      <c r="H268" s="26"/>
      <c r="I268" s="61">
        <f>J262+J265+J266+SUM(J263:J264)</f>
        <v>1285.69</v>
      </c>
      <c r="J268" s="61"/>
      <c r="K268" s="27">
        <f>IF(Source!I244&lt;&gt;0, ROUND(I268/Source!I244, 2), 0)</f>
        <v>42856.33</v>
      </c>
      <c r="P268" s="24">
        <f>I268</f>
        <v>1285.69</v>
      </c>
    </row>
    <row r="270" spans="1:22" ht="15" x14ac:dyDescent="0.25">
      <c r="A270" s="65" t="str">
        <f>CONCATENATE("Итого по подразделу: ",IF(Source!G248&lt;&gt;"Новый подраздел", Source!G248, ""))</f>
        <v>Итого по подразделу: Электрика</v>
      </c>
      <c r="B270" s="65"/>
      <c r="C270" s="65"/>
      <c r="D270" s="65"/>
      <c r="E270" s="65"/>
      <c r="F270" s="65"/>
      <c r="G270" s="65"/>
      <c r="H270" s="65"/>
      <c r="I270" s="63">
        <f>SUM(P259:P269)</f>
        <v>1285.69</v>
      </c>
      <c r="J270" s="64"/>
      <c r="K270" s="30"/>
    </row>
    <row r="273" spans="1:22" ht="16.5" x14ac:dyDescent="0.25">
      <c r="A273" s="62" t="str">
        <f>CONCATENATE("Подраздел: ",IF(Source!G278&lt;&gt;"Новый подраздел", Source!G278, ""))</f>
        <v>Подраздел: Прочее</v>
      </c>
      <c r="B273" s="62"/>
      <c r="C273" s="62"/>
      <c r="D273" s="62"/>
      <c r="E273" s="62"/>
      <c r="F273" s="62"/>
      <c r="G273" s="62"/>
      <c r="H273" s="62"/>
      <c r="I273" s="62"/>
      <c r="J273" s="62"/>
      <c r="K273" s="62"/>
    </row>
    <row r="274" spans="1:22" ht="42.75" x14ac:dyDescent="0.2">
      <c r="A274" s="19">
        <v>24</v>
      </c>
      <c r="B274" s="19" t="str">
        <f>Source!F282</f>
        <v>1.18-3202-1-1/1</v>
      </c>
      <c r="C274" s="19" t="str">
        <f>Source!G282</f>
        <v>Смена вентиляционных решеток стальных штампованных, тип РШ, размеры 200х200 мм</v>
      </c>
      <c r="D274" s="20" t="str">
        <f>Source!H282</f>
        <v>100 шт.</v>
      </c>
      <c r="E274" s="9">
        <f>Source!I282</f>
        <v>0.02</v>
      </c>
      <c r="F274" s="22"/>
      <c r="G274" s="21"/>
      <c r="H274" s="9"/>
      <c r="I274" s="9"/>
      <c r="J274" s="22"/>
      <c r="K274" s="22"/>
      <c r="Q274">
        <f>ROUND((Source!BZ282/100)*ROUND((Source!AF282*Source!AV282)*Source!I282, 2), 2)</f>
        <v>281.55</v>
      </c>
      <c r="R274">
        <f>Source!X282</f>
        <v>281.55</v>
      </c>
      <c r="S274">
        <f>ROUND((Source!CA282/100)*ROUND((Source!AF282*Source!AV282)*Source!I282, 2), 2)</f>
        <v>40.22</v>
      </c>
      <c r="T274">
        <f>Source!Y282</f>
        <v>40.22</v>
      </c>
      <c r="U274">
        <f>ROUND((175/100)*ROUND((Source!AE282*Source!AV282)*Source!I282, 2), 2)</f>
        <v>0</v>
      </c>
      <c r="V274">
        <f>ROUND((108/100)*ROUND(Source!CS282*Source!I282, 2), 2)</f>
        <v>0</v>
      </c>
    </row>
    <row r="275" spans="1:22" x14ac:dyDescent="0.2">
      <c r="C275" s="23" t="str">
        <f>"Объем: "&amp;Source!I282&amp;"=2/"&amp;"100"</f>
        <v>Объем: 0,02=2/100</v>
      </c>
    </row>
    <row r="276" spans="1:22" ht="14.25" x14ac:dyDescent="0.2">
      <c r="A276" s="19"/>
      <c r="B276" s="19"/>
      <c r="C276" s="19" t="s">
        <v>444</v>
      </c>
      <c r="D276" s="20"/>
      <c r="E276" s="9"/>
      <c r="F276" s="22">
        <f>Source!AO282</f>
        <v>20110.66</v>
      </c>
      <c r="G276" s="21" t="str">
        <f>Source!DG282</f>
        <v/>
      </c>
      <c r="H276" s="9">
        <f>Source!AV282</f>
        <v>1</v>
      </c>
      <c r="I276" s="9">
        <f>IF(Source!BA282&lt;&gt; 0, Source!BA282, 1)</f>
        <v>1</v>
      </c>
      <c r="J276" s="22">
        <f>Source!S282</f>
        <v>402.21</v>
      </c>
      <c r="K276" s="22"/>
    </row>
    <row r="277" spans="1:22" ht="14.25" x14ac:dyDescent="0.2">
      <c r="A277" s="19"/>
      <c r="B277" s="19"/>
      <c r="C277" s="19" t="s">
        <v>451</v>
      </c>
      <c r="D277" s="20"/>
      <c r="E277" s="9"/>
      <c r="F277" s="22">
        <f>Source!AL282</f>
        <v>29124.880000000001</v>
      </c>
      <c r="G277" s="21" t="str">
        <f>Source!DD282</f>
        <v/>
      </c>
      <c r="H277" s="9">
        <f>Source!AW282</f>
        <v>1</v>
      </c>
      <c r="I277" s="9">
        <f>IF(Source!BC282&lt;&gt; 0, Source!BC282, 1)</f>
        <v>1</v>
      </c>
      <c r="J277" s="22">
        <f>Source!P282</f>
        <v>582.5</v>
      </c>
      <c r="K277" s="22"/>
    </row>
    <row r="278" spans="1:22" ht="57" x14ac:dyDescent="0.2">
      <c r="A278" s="19" t="s">
        <v>246</v>
      </c>
      <c r="B278" s="19" t="str">
        <f>Source!F283</f>
        <v>21.19-11-52</v>
      </c>
      <c r="C278" s="19" t="str">
        <f>Source!G283</f>
        <v>Решетки вентиляционные, жалюзийные, регулируемые, стальные, марка РС-Г, размер 625х225 мм (600х300 мм)</v>
      </c>
      <c r="D278" s="20" t="str">
        <f>Source!H283</f>
        <v>шт.</v>
      </c>
      <c r="E278" s="9">
        <f>Source!I283</f>
        <v>2</v>
      </c>
      <c r="F278" s="22">
        <f>Source!AK283</f>
        <v>981.41</v>
      </c>
      <c r="G278" s="28" t="s">
        <v>3</v>
      </c>
      <c r="H278" s="9">
        <f>Source!AW283</f>
        <v>1</v>
      </c>
      <c r="I278" s="9">
        <f>IF(Source!BC283&lt;&gt; 0, Source!BC283, 1)</f>
        <v>1</v>
      </c>
      <c r="J278" s="22">
        <f>Source!O283</f>
        <v>1962.82</v>
      </c>
      <c r="K278" s="22"/>
      <c r="Q278">
        <f>ROUND((Source!BZ283/100)*ROUND((Source!AF283*Source!AV283)*Source!I283, 2), 2)</f>
        <v>0</v>
      </c>
      <c r="R278">
        <f>Source!X283</f>
        <v>0</v>
      </c>
      <c r="S278">
        <f>ROUND((Source!CA283/100)*ROUND((Source!AF283*Source!AV283)*Source!I283, 2), 2)</f>
        <v>0</v>
      </c>
      <c r="T278">
        <f>Source!Y283</f>
        <v>0</v>
      </c>
      <c r="U278">
        <f>ROUND((175/100)*ROUND((Source!AE283*Source!AV283)*Source!I283, 2), 2)</f>
        <v>0</v>
      </c>
      <c r="V278">
        <f>ROUND((108/100)*ROUND(Source!CS283*Source!I283, 2), 2)</f>
        <v>0</v>
      </c>
    </row>
    <row r="279" spans="1:22" ht="57" x14ac:dyDescent="0.2">
      <c r="A279" s="19" t="s">
        <v>250</v>
      </c>
      <c r="B279" s="19" t="str">
        <f>Source!F284</f>
        <v>21.19-11-22</v>
      </c>
      <c r="C279" s="19" t="s">
        <v>470</v>
      </c>
      <c r="D279" s="20" t="str">
        <f>Source!H284</f>
        <v>шт.</v>
      </c>
      <c r="E279" s="9">
        <f>Source!I284</f>
        <v>-2</v>
      </c>
      <c r="F279" s="22">
        <f>Source!AK284</f>
        <v>287.24</v>
      </c>
      <c r="G279" s="28" t="s">
        <v>3</v>
      </c>
      <c r="H279" s="9">
        <f>Source!AW284</f>
        <v>1</v>
      </c>
      <c r="I279" s="9">
        <f>IF(Source!BC284&lt;&gt; 0, Source!BC284, 1)</f>
        <v>1</v>
      </c>
      <c r="J279" s="22">
        <f>Source!O284</f>
        <v>-574.48</v>
      </c>
      <c r="K279" s="22"/>
      <c r="Q279">
        <f>ROUND((Source!BZ284/100)*ROUND((Source!AF284*Source!AV284)*Source!I284, 2), 2)</f>
        <v>0</v>
      </c>
      <c r="R279">
        <f>Source!X284</f>
        <v>0</v>
      </c>
      <c r="S279">
        <f>ROUND((Source!CA284/100)*ROUND((Source!AF284*Source!AV284)*Source!I284, 2), 2)</f>
        <v>0</v>
      </c>
      <c r="T279">
        <f>Source!Y284</f>
        <v>0</v>
      </c>
      <c r="U279">
        <f>ROUND((175/100)*ROUND((Source!AE284*Source!AV284)*Source!I284, 2), 2)</f>
        <v>0</v>
      </c>
      <c r="V279">
        <f>ROUND((108/100)*ROUND(Source!CS284*Source!I284, 2), 2)</f>
        <v>0</v>
      </c>
    </row>
    <row r="280" spans="1:22" ht="14.25" x14ac:dyDescent="0.2">
      <c r="A280" s="19"/>
      <c r="B280" s="19"/>
      <c r="C280" s="19" t="s">
        <v>446</v>
      </c>
      <c r="D280" s="20" t="s">
        <v>447</v>
      </c>
      <c r="E280" s="9">
        <f>Source!AT282</f>
        <v>70</v>
      </c>
      <c r="F280" s="22"/>
      <c r="G280" s="21"/>
      <c r="H280" s="9"/>
      <c r="I280" s="9"/>
      <c r="J280" s="22">
        <f>SUM(R274:R279)</f>
        <v>281.55</v>
      </c>
      <c r="K280" s="22"/>
    </row>
    <row r="281" spans="1:22" ht="14.25" x14ac:dyDescent="0.2">
      <c r="A281" s="19"/>
      <c r="B281" s="19"/>
      <c r="C281" s="19" t="s">
        <v>448</v>
      </c>
      <c r="D281" s="20" t="s">
        <v>447</v>
      </c>
      <c r="E281" s="9">
        <f>Source!AU282</f>
        <v>10</v>
      </c>
      <c r="F281" s="22"/>
      <c r="G281" s="21"/>
      <c r="H281" s="9"/>
      <c r="I281" s="9"/>
      <c r="J281" s="22">
        <f>SUM(T274:T280)</f>
        <v>40.22</v>
      </c>
      <c r="K281" s="22"/>
    </row>
    <row r="282" spans="1:22" ht="14.25" x14ac:dyDescent="0.2">
      <c r="A282" s="19"/>
      <c r="B282" s="19"/>
      <c r="C282" s="19" t="s">
        <v>449</v>
      </c>
      <c r="D282" s="20" t="s">
        <v>450</v>
      </c>
      <c r="E282" s="9">
        <f>Source!AQ282</f>
        <v>46.19</v>
      </c>
      <c r="F282" s="22"/>
      <c r="G282" s="21" t="str">
        <f>Source!DI282</f>
        <v/>
      </c>
      <c r="H282" s="9">
        <f>Source!AV282</f>
        <v>1</v>
      </c>
      <c r="I282" s="9"/>
      <c r="J282" s="22"/>
      <c r="K282" s="22">
        <f>Source!U282</f>
        <v>0.92379999999999995</v>
      </c>
    </row>
    <row r="283" spans="1:22" ht="15" x14ac:dyDescent="0.25">
      <c r="A283" s="26"/>
      <c r="B283" s="26"/>
      <c r="C283" s="26"/>
      <c r="D283" s="26"/>
      <c r="E283" s="26"/>
      <c r="F283" s="26"/>
      <c r="G283" s="26"/>
      <c r="H283" s="26"/>
      <c r="I283" s="61">
        <f>J276+J277+J280+J281+SUM(J278:J279)</f>
        <v>2694.8199999999997</v>
      </c>
      <c r="J283" s="61"/>
      <c r="K283" s="27">
        <f>IF(Source!I282&lt;&gt;0, ROUND(I283/Source!I282, 2), 0)</f>
        <v>134741</v>
      </c>
      <c r="P283" s="24">
        <f>I283</f>
        <v>2694.8199999999997</v>
      </c>
    </row>
    <row r="285" spans="1:22" ht="15" x14ac:dyDescent="0.25">
      <c r="A285" s="65" t="str">
        <f>CONCATENATE("Итого по подразделу: ",IF(Source!G286&lt;&gt;"Новый подраздел", Source!G286, ""))</f>
        <v>Итого по подразделу: Прочее</v>
      </c>
      <c r="B285" s="65"/>
      <c r="C285" s="65"/>
      <c r="D285" s="65"/>
      <c r="E285" s="65"/>
      <c r="F285" s="65"/>
      <c r="G285" s="65"/>
      <c r="H285" s="65"/>
      <c r="I285" s="63">
        <f>SUM(P273:P284)</f>
        <v>2694.8199999999997</v>
      </c>
      <c r="J285" s="64"/>
      <c r="K285" s="30"/>
    </row>
    <row r="288" spans="1:22" ht="15" x14ac:dyDescent="0.25">
      <c r="A288" s="65" t="str">
        <f>CONCATENATE("Итого по разделу: ",IF(Source!G316&lt;&gt;"Новый раздел", Source!G316, ""))</f>
        <v>Итого по разделу: Второй этаж, кабинет № 204</v>
      </c>
      <c r="B288" s="65"/>
      <c r="C288" s="65"/>
      <c r="D288" s="65"/>
      <c r="E288" s="65"/>
      <c r="F288" s="65"/>
      <c r="G288" s="65"/>
      <c r="H288" s="65"/>
      <c r="I288" s="63">
        <f>SUM(P34:P287)</f>
        <v>243624.58999999997</v>
      </c>
      <c r="J288" s="64"/>
      <c r="K288" s="30"/>
    </row>
    <row r="291" spans="1:22" ht="16.5" x14ac:dyDescent="0.25">
      <c r="A291" s="62" t="str">
        <f>CONCATENATE("Раздел: ",IF(Source!G346&lt;&gt;"Новый раздел", Source!G346, ""))</f>
        <v>Раздел: Мусор</v>
      </c>
      <c r="B291" s="62"/>
      <c r="C291" s="62"/>
      <c r="D291" s="62"/>
      <c r="E291" s="62"/>
      <c r="F291" s="62"/>
      <c r="G291" s="62"/>
      <c r="H291" s="62"/>
      <c r="I291" s="62"/>
      <c r="J291" s="62"/>
      <c r="K291" s="62"/>
    </row>
    <row r="292" spans="1:22" ht="42.75" x14ac:dyDescent="0.2">
      <c r="A292" s="19">
        <v>25</v>
      </c>
      <c r="B292" s="19" t="str">
        <f>Source!F350</f>
        <v>1.49-9101-7-1/1</v>
      </c>
      <c r="C292" s="19" t="str">
        <f>Source!G350</f>
        <v>Механизированная погрузка строительного мусора в автомобили-самосвалы</v>
      </c>
      <c r="D292" s="20" t="str">
        <f>Source!H350</f>
        <v>т</v>
      </c>
      <c r="E292" s="9">
        <f>Source!I350</f>
        <v>0.309</v>
      </c>
      <c r="F292" s="22"/>
      <c r="G292" s="21"/>
      <c r="H292" s="9"/>
      <c r="I292" s="9"/>
      <c r="J292" s="22"/>
      <c r="K292" s="22"/>
      <c r="Q292">
        <f>ROUND((Source!BZ350/100)*ROUND((Source!AF350*Source!AV350)*Source!I350, 2), 2)</f>
        <v>0</v>
      </c>
      <c r="R292">
        <f>Source!X350</f>
        <v>0</v>
      </c>
      <c r="S292">
        <f>ROUND((Source!CA350/100)*ROUND((Source!AF350*Source!AV350)*Source!I350, 2), 2)</f>
        <v>0</v>
      </c>
      <c r="T292">
        <f>Source!Y350</f>
        <v>0</v>
      </c>
      <c r="U292">
        <f>ROUND((175/100)*ROUND((Source!AE350*Source!AV350)*Source!I350, 2), 2)</f>
        <v>27.3</v>
      </c>
      <c r="V292">
        <f>ROUND((108/100)*ROUND(Source!CS350*Source!I350, 2), 2)</f>
        <v>16.850000000000001</v>
      </c>
    </row>
    <row r="293" spans="1:22" ht="14.25" x14ac:dyDescent="0.2">
      <c r="A293" s="19"/>
      <c r="B293" s="19"/>
      <c r="C293" s="19" t="s">
        <v>445</v>
      </c>
      <c r="D293" s="20"/>
      <c r="E293" s="9"/>
      <c r="F293" s="22">
        <f>Source!AM350</f>
        <v>117.87</v>
      </c>
      <c r="G293" s="21" t="str">
        <f>Source!DE350</f>
        <v/>
      </c>
      <c r="H293" s="9">
        <f>Source!AV350</f>
        <v>1</v>
      </c>
      <c r="I293" s="9">
        <f>IF(Source!BB350&lt;&gt; 0, Source!BB350, 1)</f>
        <v>1</v>
      </c>
      <c r="J293" s="22">
        <f>Source!Q350</f>
        <v>36.42</v>
      </c>
      <c r="K293" s="22"/>
    </row>
    <row r="294" spans="1:22" ht="14.25" x14ac:dyDescent="0.2">
      <c r="A294" s="19"/>
      <c r="B294" s="19"/>
      <c r="C294" s="19" t="s">
        <v>455</v>
      </c>
      <c r="D294" s="20"/>
      <c r="E294" s="9"/>
      <c r="F294" s="22">
        <f>Source!AN350</f>
        <v>50.5</v>
      </c>
      <c r="G294" s="21" t="str">
        <f>Source!DF350</f>
        <v/>
      </c>
      <c r="H294" s="9">
        <f>Source!AV350</f>
        <v>1</v>
      </c>
      <c r="I294" s="9">
        <f>IF(Source!BS350&lt;&gt; 0, Source!BS350, 1)</f>
        <v>1</v>
      </c>
      <c r="J294" s="29">
        <f>Source!R350</f>
        <v>15.6</v>
      </c>
      <c r="K294" s="22"/>
    </row>
    <row r="295" spans="1:22" ht="14.25" x14ac:dyDescent="0.2">
      <c r="A295" s="19"/>
      <c r="B295" s="19"/>
      <c r="C295" s="19" t="s">
        <v>456</v>
      </c>
      <c r="D295" s="20" t="s">
        <v>447</v>
      </c>
      <c r="E295" s="9">
        <f>108</f>
        <v>108</v>
      </c>
      <c r="F295" s="22"/>
      <c r="G295" s="21"/>
      <c r="H295" s="9"/>
      <c r="I295" s="9"/>
      <c r="J295" s="22">
        <f>SUM(V292:V294)</f>
        <v>16.850000000000001</v>
      </c>
      <c r="K295" s="22"/>
    </row>
    <row r="296" spans="1:22" ht="15" x14ac:dyDescent="0.25">
      <c r="A296" s="26"/>
      <c r="B296" s="26"/>
      <c r="C296" s="26"/>
      <c r="D296" s="26"/>
      <c r="E296" s="26"/>
      <c r="F296" s="26"/>
      <c r="G296" s="26"/>
      <c r="H296" s="26"/>
      <c r="I296" s="61">
        <f>J293+J295</f>
        <v>53.27</v>
      </c>
      <c r="J296" s="61"/>
      <c r="K296" s="27">
        <f>IF(Source!I350&lt;&gt;0, ROUND(I296/Source!I350, 2), 0)</f>
        <v>172.39</v>
      </c>
      <c r="P296" s="24">
        <f>I296</f>
        <v>53.27</v>
      </c>
    </row>
    <row r="297" spans="1:22" ht="57" x14ac:dyDescent="0.2">
      <c r="A297" s="19">
        <v>26</v>
      </c>
      <c r="B297" s="19" t="str">
        <f>Source!F351</f>
        <v>1.49-9201-1-2/1</v>
      </c>
      <c r="C297" s="19" t="str">
        <f>Source!G351</f>
        <v>Перевозка строительного мусора автосамосвалами грузоподъемностью до 10 т на расстояние 1 км - при механизированной погрузке</v>
      </c>
      <c r="D297" s="20" t="str">
        <f>Source!H351</f>
        <v>т</v>
      </c>
      <c r="E297" s="9">
        <f>Source!I351</f>
        <v>0.309</v>
      </c>
      <c r="F297" s="22"/>
      <c r="G297" s="21"/>
      <c r="H297" s="9"/>
      <c r="I297" s="9"/>
      <c r="J297" s="22"/>
      <c r="K297" s="22"/>
      <c r="Q297">
        <f>ROUND((Source!BZ351/100)*ROUND((Source!AF351*Source!AV351)*Source!I351, 2), 2)</f>
        <v>0</v>
      </c>
      <c r="R297">
        <f>Source!X351</f>
        <v>0</v>
      </c>
      <c r="S297">
        <f>ROUND((Source!CA351/100)*ROUND((Source!AF351*Source!AV351)*Source!I351, 2), 2)</f>
        <v>0</v>
      </c>
      <c r="T297">
        <f>Source!Y351</f>
        <v>0</v>
      </c>
      <c r="U297">
        <f>ROUND((175/100)*ROUND((Source!AE351*Source!AV351)*Source!I351, 2), 2)</f>
        <v>30.17</v>
      </c>
      <c r="V297">
        <f>ROUND((108/100)*ROUND(Source!CS351*Source!I351, 2), 2)</f>
        <v>18.62</v>
      </c>
    </row>
    <row r="298" spans="1:22" ht="14.25" x14ac:dyDescent="0.2">
      <c r="A298" s="19"/>
      <c r="B298" s="19"/>
      <c r="C298" s="19" t="s">
        <v>445</v>
      </c>
      <c r="D298" s="20"/>
      <c r="E298" s="9"/>
      <c r="F298" s="22">
        <f>Source!AM351</f>
        <v>91.5</v>
      </c>
      <c r="G298" s="21" t="str">
        <f>Source!DE351</f>
        <v/>
      </c>
      <c r="H298" s="9">
        <f>Source!AV351</f>
        <v>1</v>
      </c>
      <c r="I298" s="9">
        <f>IF(Source!BB351&lt;&gt; 0, Source!BB351, 1)</f>
        <v>1</v>
      </c>
      <c r="J298" s="22">
        <f>Source!Q351</f>
        <v>28.27</v>
      </c>
      <c r="K298" s="22"/>
    </row>
    <row r="299" spans="1:22" ht="14.25" x14ac:dyDescent="0.2">
      <c r="A299" s="19"/>
      <c r="B299" s="19"/>
      <c r="C299" s="19" t="s">
        <v>455</v>
      </c>
      <c r="D299" s="20"/>
      <c r="E299" s="9"/>
      <c r="F299" s="22">
        <f>Source!AN351</f>
        <v>55.79</v>
      </c>
      <c r="G299" s="21" t="str">
        <f>Source!DF351</f>
        <v/>
      </c>
      <c r="H299" s="9">
        <f>Source!AV351</f>
        <v>1</v>
      </c>
      <c r="I299" s="9">
        <f>IF(Source!BS351&lt;&gt; 0, Source!BS351, 1)</f>
        <v>1</v>
      </c>
      <c r="J299" s="29">
        <f>Source!R351</f>
        <v>17.239999999999998</v>
      </c>
      <c r="K299" s="22"/>
    </row>
    <row r="300" spans="1:22" ht="15" x14ac:dyDescent="0.25">
      <c r="A300" s="26"/>
      <c r="B300" s="26"/>
      <c r="C300" s="26"/>
      <c r="D300" s="26"/>
      <c r="E300" s="26"/>
      <c r="F300" s="26"/>
      <c r="G300" s="26"/>
      <c r="H300" s="26"/>
      <c r="I300" s="61">
        <f>J298</f>
        <v>28.27</v>
      </c>
      <c r="J300" s="61"/>
      <c r="K300" s="27">
        <f>IF(Source!I351&lt;&gt;0, ROUND(I300/Source!I351, 2), 0)</f>
        <v>91.49</v>
      </c>
      <c r="P300" s="24">
        <f>I300</f>
        <v>28.27</v>
      </c>
    </row>
    <row r="301" spans="1:22" ht="57" x14ac:dyDescent="0.2">
      <c r="A301" s="19">
        <v>27</v>
      </c>
      <c r="B301" s="19" t="str">
        <f>Source!F352</f>
        <v>1.49-9201-1-3/1</v>
      </c>
      <c r="C301" s="19" t="str">
        <f>Source!G352</f>
        <v>Перевозка строительного мусора автосамосвалами грузоподъемностью до 10 т - добавляется на каждый последующий 1 км до 100 км</v>
      </c>
      <c r="D301" s="20" t="str">
        <f>Source!H352</f>
        <v>т</v>
      </c>
      <c r="E301" s="9">
        <f>Source!I352</f>
        <v>0.309</v>
      </c>
      <c r="F301" s="22"/>
      <c r="G301" s="21"/>
      <c r="H301" s="9"/>
      <c r="I301" s="9"/>
      <c r="J301" s="22"/>
      <c r="K301" s="22"/>
      <c r="Q301">
        <f>ROUND((Source!BZ352/100)*ROUND((Source!AF352*Source!AV352)*Source!I352, 2), 2)</f>
        <v>0</v>
      </c>
      <c r="R301">
        <f>Source!X352</f>
        <v>0</v>
      </c>
      <c r="S301">
        <f>ROUND((Source!CA352/100)*ROUND((Source!AF352*Source!AV352)*Source!I352, 2), 2)</f>
        <v>0</v>
      </c>
      <c r="T301">
        <f>Source!Y352</f>
        <v>0</v>
      </c>
      <c r="U301">
        <f>ROUND((175/100)*ROUND((Source!AE352*Source!AV352)*Source!I352, 2), 2)</f>
        <v>686.02</v>
      </c>
      <c r="V301">
        <f>ROUND((108/100)*ROUND(Source!CS352*Source!I352, 2), 2)</f>
        <v>423.37</v>
      </c>
    </row>
    <row r="302" spans="1:22" ht="14.25" x14ac:dyDescent="0.2">
      <c r="A302" s="19"/>
      <c r="B302" s="19"/>
      <c r="C302" s="19" t="s">
        <v>445</v>
      </c>
      <c r="D302" s="20"/>
      <c r="E302" s="9"/>
      <c r="F302" s="22">
        <f>Source!AM352</f>
        <v>43.33</v>
      </c>
      <c r="G302" s="21" t="str">
        <f>Source!DE352</f>
        <v>*48</v>
      </c>
      <c r="H302" s="9">
        <f>Source!AV352</f>
        <v>1</v>
      </c>
      <c r="I302" s="9">
        <f>IF(Source!BB352&lt;&gt; 0, Source!BB352, 1)</f>
        <v>1</v>
      </c>
      <c r="J302" s="22">
        <f>Source!Q352</f>
        <v>642.66999999999996</v>
      </c>
      <c r="K302" s="22"/>
    </row>
    <row r="303" spans="1:22" ht="14.25" x14ac:dyDescent="0.2">
      <c r="A303" s="19"/>
      <c r="B303" s="19"/>
      <c r="C303" s="19" t="s">
        <v>455</v>
      </c>
      <c r="D303" s="20"/>
      <c r="E303" s="9"/>
      <c r="F303" s="22">
        <f>Source!AN352</f>
        <v>26.43</v>
      </c>
      <c r="G303" s="21" t="str">
        <f>Source!DF352</f>
        <v>*48</v>
      </c>
      <c r="H303" s="9">
        <f>Source!AV352</f>
        <v>1</v>
      </c>
      <c r="I303" s="9">
        <f>IF(Source!BS352&lt;&gt; 0, Source!BS352, 1)</f>
        <v>1</v>
      </c>
      <c r="J303" s="29">
        <f>Source!R352</f>
        <v>392.01</v>
      </c>
      <c r="K303" s="22"/>
    </row>
    <row r="304" spans="1:22" ht="15" x14ac:dyDescent="0.25">
      <c r="A304" s="26"/>
      <c r="B304" s="26"/>
      <c r="C304" s="26"/>
      <c r="D304" s="26"/>
      <c r="E304" s="26"/>
      <c r="F304" s="26"/>
      <c r="G304" s="26"/>
      <c r="H304" s="26"/>
      <c r="I304" s="61">
        <f>J302</f>
        <v>642.66999999999996</v>
      </c>
      <c r="J304" s="61"/>
      <c r="K304" s="27">
        <f>IF(Source!I352&lt;&gt;0, ROUND(I304/Source!I352, 2), 0)</f>
        <v>2079.84</v>
      </c>
      <c r="P304" s="24">
        <f>I304</f>
        <v>642.66999999999996</v>
      </c>
    </row>
    <row r="306" spans="1:34" ht="15" x14ac:dyDescent="0.25">
      <c r="A306" s="65" t="str">
        <f>CONCATENATE("Итого по разделу: ",IF(Source!G354&lt;&gt;"Новый раздел", Source!G354, ""))</f>
        <v>Итого по разделу: Мусор</v>
      </c>
      <c r="B306" s="65"/>
      <c r="C306" s="65"/>
      <c r="D306" s="65"/>
      <c r="E306" s="65"/>
      <c r="F306" s="65"/>
      <c r="G306" s="65"/>
      <c r="H306" s="65"/>
      <c r="I306" s="63">
        <f>SUM(P291:P305)</f>
        <v>724.20999999999992</v>
      </c>
      <c r="J306" s="64"/>
      <c r="K306" s="30"/>
    </row>
    <row r="309" spans="1:34" ht="15" x14ac:dyDescent="0.25">
      <c r="A309" s="65" t="str">
        <f>CONCATENATE("Итого по локальной смете: ",IF(Source!G384&lt;&gt;"Новая локальная смета", Source!G384, ""))</f>
        <v xml:space="preserve">Итого по локальной смете: </v>
      </c>
      <c r="B309" s="65"/>
      <c r="C309" s="65"/>
      <c r="D309" s="65"/>
      <c r="E309" s="65"/>
      <c r="F309" s="65"/>
      <c r="G309" s="65"/>
      <c r="H309" s="65"/>
      <c r="I309" s="63">
        <f>SUM(P32:P308)</f>
        <v>244348.79999999996</v>
      </c>
      <c r="J309" s="64"/>
      <c r="K309" s="30"/>
    </row>
    <row r="312" spans="1:34" ht="15" x14ac:dyDescent="0.25">
      <c r="A312" s="65" t="str">
        <f>CONCATENATE("Итого по смете: ",IF(Source!G414&lt;&gt;"Новый объект", Source!G414, ""))</f>
        <v>Итого по смете: ГБОУ Школа №1440. Крылатские холмы д. 23 (в ценах на 01.04.2025 г)</v>
      </c>
      <c r="B312" s="65"/>
      <c r="C312" s="65"/>
      <c r="D312" s="65"/>
      <c r="E312" s="65"/>
      <c r="F312" s="65"/>
      <c r="G312" s="65"/>
      <c r="H312" s="65"/>
      <c r="I312" s="63">
        <f>SUM(P1:P311)</f>
        <v>244348.79999999996</v>
      </c>
      <c r="J312" s="64"/>
      <c r="K312" s="30"/>
      <c r="AF312" s="31" t="str">
        <f>CONCATENATE("Итого по смете: ",IF(Source!G414&lt;&gt;"Новый объект", Source!G414, ""))</f>
        <v>Итого по смете: ГБОУ Школа №1440. Крылатские холмы д. 23 (в ценах на 01.04.2025 г)</v>
      </c>
    </row>
    <row r="313" spans="1:34" ht="14.25" x14ac:dyDescent="0.2">
      <c r="C313" s="48" t="str">
        <f>Source!H443</f>
        <v>НДС 20%</v>
      </c>
      <c r="D313" s="48"/>
      <c r="E313" s="48"/>
      <c r="F313" s="48"/>
      <c r="G313" s="48"/>
      <c r="H313" s="48"/>
      <c r="I313" s="56">
        <f>IF(Source!F443=0, "", Source!F443)</f>
        <v>48869.760000000002</v>
      </c>
      <c r="J313" s="56"/>
    </row>
    <row r="314" spans="1:34" ht="14.25" x14ac:dyDescent="0.2">
      <c r="C314" s="48" t="str">
        <f>Source!H444</f>
        <v>Итого с НДС</v>
      </c>
      <c r="D314" s="48"/>
      <c r="E314" s="48"/>
      <c r="F314" s="48"/>
      <c r="G314" s="48"/>
      <c r="H314" s="48"/>
      <c r="I314" s="56">
        <f>IF(Source!F444=0, "", Source!F444)</f>
        <v>293218.56</v>
      </c>
      <c r="J314" s="56"/>
    </row>
    <row r="315" spans="1:34" ht="42.75" x14ac:dyDescent="0.2">
      <c r="C315" s="48" t="str">
        <f>Source!H445</f>
        <v>В случае указания на товарные знаки, фирменные наименования, патенты, модели, промышленные образцы или наименование производителя, следует читать со словами «или эквивалент»</v>
      </c>
      <c r="D315" s="48"/>
      <c r="E315" s="48"/>
      <c r="F315" s="48"/>
      <c r="G315" s="48"/>
      <c r="H315" s="48"/>
      <c r="I315" s="56" t="str">
        <f>IF(Source!F445=0, "", Source!F445)</f>
        <v/>
      </c>
      <c r="J315" s="56"/>
      <c r="AH315" s="32" t="s">
        <v>273</v>
      </c>
    </row>
    <row r="318" spans="1:34" ht="14.25" x14ac:dyDescent="0.2">
      <c r="A318" s="66" t="s">
        <v>471</v>
      </c>
      <c r="B318" s="66"/>
      <c r="C318" s="33" t="str">
        <f>IF(Source!AC12&lt;&gt;"", Source!AC12," ")</f>
        <v xml:space="preserve"> </v>
      </c>
      <c r="D318" s="33"/>
      <c r="E318" s="33"/>
      <c r="F318" s="33"/>
      <c r="G318" s="33"/>
      <c r="H318" s="10" t="str">
        <f>IF(Source!AB12&lt;&gt;"", Source!AB12," ")</f>
        <v xml:space="preserve"> </v>
      </c>
      <c r="I318" s="10"/>
      <c r="J318" s="10"/>
      <c r="K318" s="10"/>
    </row>
    <row r="319" spans="1:34" ht="14.25" x14ac:dyDescent="0.2">
      <c r="A319" s="10"/>
      <c r="B319" s="10"/>
      <c r="C319" s="67" t="s">
        <v>472</v>
      </c>
      <c r="D319" s="67"/>
      <c r="E319" s="67"/>
      <c r="F319" s="67"/>
      <c r="G319" s="67"/>
      <c r="H319" s="10"/>
      <c r="I319" s="10"/>
      <c r="J319" s="10"/>
      <c r="K319" s="10"/>
    </row>
    <row r="320" spans="1:34" ht="14.25" x14ac:dyDescent="0.2">
      <c r="A320" s="10"/>
      <c r="B320" s="10"/>
      <c r="C320" s="10"/>
      <c r="D320" s="10"/>
      <c r="E320" s="10"/>
      <c r="F320" s="10"/>
      <c r="G320" s="10"/>
      <c r="H320" s="10"/>
      <c r="I320" s="10"/>
      <c r="J320" s="10"/>
      <c r="K320" s="10"/>
    </row>
    <row r="321" spans="1:11" ht="14.25" x14ac:dyDescent="0.2">
      <c r="A321" s="66" t="s">
        <v>473</v>
      </c>
      <c r="B321" s="66"/>
      <c r="C321" s="33" t="str">
        <f>IF(Source!AE12&lt;&gt;"", Source!AE12," ")</f>
        <v xml:space="preserve"> </v>
      </c>
      <c r="D321" s="33"/>
      <c r="E321" s="33"/>
      <c r="F321" s="33"/>
      <c r="G321" s="33"/>
      <c r="H321" s="10" t="str">
        <f>IF(Source!AD12&lt;&gt;"", Source!AD12," ")</f>
        <v xml:space="preserve"> </v>
      </c>
      <c r="I321" s="10"/>
      <c r="J321" s="10"/>
      <c r="K321" s="10"/>
    </row>
    <row r="322" spans="1:11" ht="14.25" x14ac:dyDescent="0.2">
      <c r="A322" s="10"/>
      <c r="B322" s="10"/>
      <c r="C322" s="67" t="s">
        <v>472</v>
      </c>
      <c r="D322" s="67"/>
      <c r="E322" s="67"/>
      <c r="F322" s="67"/>
      <c r="G322" s="67"/>
      <c r="H322" s="10"/>
      <c r="I322" s="10"/>
      <c r="J322" s="10"/>
      <c r="K322" s="10"/>
    </row>
  </sheetData>
  <mergeCells count="106">
    <mergeCell ref="A318:B318"/>
    <mergeCell ref="C319:G319"/>
    <mergeCell ref="A321:B321"/>
    <mergeCell ref="C322:G322"/>
    <mergeCell ref="C313:H313"/>
    <mergeCell ref="I313:J313"/>
    <mergeCell ref="C314:H314"/>
    <mergeCell ref="I314:J314"/>
    <mergeCell ref="C315:H315"/>
    <mergeCell ref="I315:J315"/>
    <mergeCell ref="I306:J306"/>
    <mergeCell ref="A306:H306"/>
    <mergeCell ref="I309:J309"/>
    <mergeCell ref="A309:H309"/>
    <mergeCell ref="I312:J312"/>
    <mergeCell ref="A312:H312"/>
    <mergeCell ref="I288:J288"/>
    <mergeCell ref="A288:H288"/>
    <mergeCell ref="A291:K291"/>
    <mergeCell ref="I296:J296"/>
    <mergeCell ref="I300:J300"/>
    <mergeCell ref="I304:J304"/>
    <mergeCell ref="I270:J270"/>
    <mergeCell ref="A270:H270"/>
    <mergeCell ref="A273:K273"/>
    <mergeCell ref="I283:J283"/>
    <mergeCell ref="I285:J285"/>
    <mergeCell ref="A285:H285"/>
    <mergeCell ref="I245:J245"/>
    <mergeCell ref="I254:J254"/>
    <mergeCell ref="I256:J256"/>
    <mergeCell ref="A256:H256"/>
    <mergeCell ref="A259:K259"/>
    <mergeCell ref="I268:J268"/>
    <mergeCell ref="A193:K193"/>
    <mergeCell ref="I200:J200"/>
    <mergeCell ref="I207:J207"/>
    <mergeCell ref="I221:J221"/>
    <mergeCell ref="I230:J230"/>
    <mergeCell ref="I238:J238"/>
    <mergeCell ref="A156:K156"/>
    <mergeCell ref="I163:J163"/>
    <mergeCell ref="I170:J170"/>
    <mergeCell ref="I179:J179"/>
    <mergeCell ref="I188:J188"/>
    <mergeCell ref="I190:J190"/>
    <mergeCell ref="A190:H190"/>
    <mergeCell ref="I140:J140"/>
    <mergeCell ref="A140:H140"/>
    <mergeCell ref="A143:K143"/>
    <mergeCell ref="I151:J151"/>
    <mergeCell ref="I153:J153"/>
    <mergeCell ref="A153:H153"/>
    <mergeCell ref="I113:J113"/>
    <mergeCell ref="I124:J124"/>
    <mergeCell ref="I126:J126"/>
    <mergeCell ref="A126:H126"/>
    <mergeCell ref="A129:K129"/>
    <mergeCell ref="I138:J138"/>
    <mergeCell ref="I51:J51"/>
    <mergeCell ref="I61:J61"/>
    <mergeCell ref="I71:J71"/>
    <mergeCell ref="I82:J82"/>
    <mergeCell ref="I89:J89"/>
    <mergeCell ref="I100:J100"/>
    <mergeCell ref="I27:I29"/>
    <mergeCell ref="J27:J29"/>
    <mergeCell ref="A32:K32"/>
    <mergeCell ref="A34:K34"/>
    <mergeCell ref="A36:K36"/>
    <mergeCell ref="I44:J44"/>
    <mergeCell ref="F25:H25"/>
    <mergeCell ref="I25:J25"/>
    <mergeCell ref="A27:A29"/>
    <mergeCell ref="B27:B29"/>
    <mergeCell ref="C27:C29"/>
    <mergeCell ref="D27:D29"/>
    <mergeCell ref="E27:E29"/>
    <mergeCell ref="F27:F29"/>
    <mergeCell ref="G27:G29"/>
    <mergeCell ref="H27:H29"/>
    <mergeCell ref="F22:H22"/>
    <mergeCell ref="I22:J22"/>
    <mergeCell ref="F23:H23"/>
    <mergeCell ref="I23:J23"/>
    <mergeCell ref="F24:H24"/>
    <mergeCell ref="I24:J24"/>
    <mergeCell ref="A15:K15"/>
    <mergeCell ref="A16:K16"/>
    <mergeCell ref="A18:K18"/>
    <mergeCell ref="F20:H20"/>
    <mergeCell ref="I20:J20"/>
    <mergeCell ref="F21:H21"/>
    <mergeCell ref="I21:J21"/>
    <mergeCell ref="B7:E7"/>
    <mergeCell ref="G7:K7"/>
    <mergeCell ref="J2:K2"/>
    <mergeCell ref="A10:K10"/>
    <mergeCell ref="A11:K11"/>
    <mergeCell ref="A13:K13"/>
    <mergeCell ref="B3:E3"/>
    <mergeCell ref="G3:K3"/>
    <mergeCell ref="B4:E4"/>
    <mergeCell ref="G4:K4"/>
    <mergeCell ref="B6:E6"/>
    <mergeCell ref="G6:K6"/>
  </mergeCells>
  <pageMargins left="0.4" right="0.2" top="0.2" bottom="0.4" header="0.2" footer="0.2"/>
  <pageSetup paperSize="9" scale="63" fitToHeight="0" orientation="portrait" r:id="rId1"/>
  <headerFooter>
    <oddHeader>&amp;L&amp;8</oddHeader>
    <oddFooter>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1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66562</v>
      </c>
      <c r="M1">
        <v>10</v>
      </c>
      <c r="N1">
        <v>11</v>
      </c>
      <c r="O1">
        <v>12</v>
      </c>
      <c r="P1">
        <v>0</v>
      </c>
      <c r="Q1">
        <v>1</v>
      </c>
    </row>
    <row r="12" spans="1:103" x14ac:dyDescent="0.2">
      <c r="F12" t="str">
        <f>Source!F12</f>
        <v>Новый объект</v>
      </c>
      <c r="G12" t="str">
        <f>Source!G12</f>
        <v>ГБОУ Школа №1440. Крылатские холмы д. 23 (в ценах на 01.04.2025 г)</v>
      </c>
      <c r="AB12" t="s">
        <v>3</v>
      </c>
      <c r="AC12" t="s">
        <v>3</v>
      </c>
      <c r="AD12" t="s">
        <v>3</v>
      </c>
      <c r="AE12" t="s">
        <v>3</v>
      </c>
      <c r="AH12" t="s">
        <v>3</v>
      </c>
      <c r="AI12" t="s">
        <v>3</v>
      </c>
      <c r="CY12">
        <f>Source!CY12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7"/>
  <sheetViews>
    <sheetView zoomScaleNormal="100" workbookViewId="0">
      <selection activeCell="B15" sqref="B15"/>
    </sheetView>
  </sheetViews>
  <sheetFormatPr defaultRowHeight="12.75" x14ac:dyDescent="0.2"/>
  <cols>
    <col min="1" max="1" width="6.7109375" customWidth="1"/>
    <col min="2" max="2" width="75.7109375" customWidth="1"/>
    <col min="3" max="5" width="15.7109375" customWidth="1"/>
    <col min="30" max="30" width="114.7109375" hidden="1" customWidth="1"/>
    <col min="31" max="32" width="0" hidden="1" customWidth="1"/>
  </cols>
  <sheetData>
    <row r="1" spans="1:30" x14ac:dyDescent="0.2">
      <c r="A1" s="8" t="str">
        <f>Source!B1</f>
        <v>Smeta.RU  (495) 974-1589</v>
      </c>
    </row>
    <row r="2" spans="1:30" ht="14.25" x14ac:dyDescent="0.2">
      <c r="C2" s="10"/>
      <c r="D2" s="10"/>
    </row>
    <row r="3" spans="1:30" ht="15" x14ac:dyDescent="0.25">
      <c r="C3" s="10"/>
      <c r="D3" s="25" t="s">
        <v>418</v>
      </c>
    </row>
    <row r="4" spans="1:30" ht="15" x14ac:dyDescent="0.25">
      <c r="C4" s="25"/>
      <c r="D4" s="25"/>
    </row>
    <row r="5" spans="1:30" ht="15" x14ac:dyDescent="0.25">
      <c r="C5" s="82" t="s">
        <v>538</v>
      </c>
      <c r="D5" s="82"/>
      <c r="E5" s="82"/>
    </row>
    <row r="6" spans="1:30" ht="15" x14ac:dyDescent="0.25">
      <c r="C6" s="25"/>
      <c r="D6" s="25"/>
    </row>
    <row r="7" spans="1:30" ht="15" x14ac:dyDescent="0.25">
      <c r="C7" s="82" t="s">
        <v>540</v>
      </c>
      <c r="D7" s="82"/>
      <c r="E7" s="82"/>
    </row>
    <row r="8" spans="1:30" ht="15" x14ac:dyDescent="0.25">
      <c r="C8" s="25"/>
      <c r="D8" s="25"/>
    </row>
    <row r="9" spans="1:30" ht="15" x14ac:dyDescent="0.25">
      <c r="C9" s="25" t="s">
        <v>474</v>
      </c>
      <c r="D9" s="10"/>
    </row>
    <row r="10" spans="1:30" ht="14.25" x14ac:dyDescent="0.2">
      <c r="A10" s="10"/>
      <c r="B10" s="10"/>
      <c r="C10" s="10"/>
      <c r="D10" s="10"/>
      <c r="E10" s="10"/>
    </row>
    <row r="11" spans="1:30" ht="15.75" x14ac:dyDescent="0.25">
      <c r="A11" s="69" t="str">
        <f>CONCATENATE("Дефектный акт ", IF(Source!AN15&lt;&gt;"", Source!AN15," "))</f>
        <v xml:space="preserve">Дефектный акт  </v>
      </c>
      <c r="B11" s="69"/>
      <c r="C11" s="69"/>
      <c r="D11" s="69"/>
      <c r="E11" s="10"/>
    </row>
    <row r="12" spans="1:30" ht="15" x14ac:dyDescent="0.25">
      <c r="A12" s="70" t="str">
        <f>CONCATENATE("На капитальный ремонт ", Source!G12)</f>
        <v>На капитальный ремонт ГБОУ Школа №1440. Крылатские холмы д. 23 (в ценах на 01.04.2025 г)</v>
      </c>
      <c r="B12" s="70"/>
      <c r="C12" s="70"/>
      <c r="D12" s="70"/>
      <c r="E12" s="10"/>
      <c r="AD12" s="34" t="str">
        <f>CONCATENATE("На капитальный ремонт ", Source!G12)</f>
        <v>На капитальный ремонт ГБОУ Школа №1440. Крылатские холмы д. 23 (в ценах на 01.04.2025 г)</v>
      </c>
    </row>
    <row r="13" spans="1:30" ht="14.25" x14ac:dyDescent="0.2">
      <c r="A13" s="10"/>
      <c r="B13" s="10"/>
      <c r="C13" s="10"/>
      <c r="D13" s="10"/>
      <c r="E13" s="10"/>
    </row>
    <row r="14" spans="1:30" ht="15" x14ac:dyDescent="0.2">
      <c r="A14" s="10"/>
      <c r="B14" s="35" t="s">
        <v>475</v>
      </c>
      <c r="C14" s="10"/>
      <c r="D14" s="10"/>
      <c r="E14" s="10"/>
    </row>
    <row r="15" spans="1:30" ht="15" x14ac:dyDescent="0.2">
      <c r="A15" s="10"/>
      <c r="B15" s="35" t="s">
        <v>476</v>
      </c>
      <c r="C15" s="10"/>
      <c r="D15" s="10"/>
      <c r="E15" s="10"/>
    </row>
    <row r="16" spans="1:30" ht="15" x14ac:dyDescent="0.2">
      <c r="A16" s="10"/>
      <c r="B16" s="35" t="s">
        <v>477</v>
      </c>
      <c r="C16" s="10"/>
      <c r="D16" s="10"/>
      <c r="E16" s="10"/>
    </row>
    <row r="17" spans="1:5" ht="28.5" x14ac:dyDescent="0.2">
      <c r="A17" s="18" t="s">
        <v>478</v>
      </c>
      <c r="B17" s="18" t="s">
        <v>432</v>
      </c>
      <c r="C17" s="18" t="s">
        <v>433</v>
      </c>
      <c r="D17" s="18" t="s">
        <v>479</v>
      </c>
      <c r="E17" s="16" t="s">
        <v>480</v>
      </c>
    </row>
    <row r="18" spans="1:5" ht="14.25" x14ac:dyDescent="0.2">
      <c r="A18" s="36">
        <v>1</v>
      </c>
      <c r="B18" s="36">
        <v>2</v>
      </c>
      <c r="C18" s="36">
        <v>3</v>
      </c>
      <c r="D18" s="36">
        <v>4</v>
      </c>
      <c r="E18" s="36">
        <v>5</v>
      </c>
    </row>
    <row r="19" spans="1:5" ht="16.5" x14ac:dyDescent="0.25">
      <c r="A19" s="68" t="str">
        <f>CONCATENATE("Локальная смета: ", Source!G20)</f>
        <v>Локальная смета: Новая локальная смета</v>
      </c>
      <c r="B19" s="68"/>
      <c r="C19" s="68"/>
      <c r="D19" s="68"/>
      <c r="E19" s="68"/>
    </row>
    <row r="20" spans="1:5" ht="16.5" x14ac:dyDescent="0.25">
      <c r="A20" s="68" t="str">
        <f>CONCATENATE("Раздел: ", Source!G24)</f>
        <v>Раздел: Второй этаж, кабинет № 204</v>
      </c>
      <c r="B20" s="68"/>
      <c r="C20" s="68"/>
      <c r="D20" s="68"/>
      <c r="E20" s="68"/>
    </row>
    <row r="21" spans="1:5" ht="16.5" x14ac:dyDescent="0.25">
      <c r="A21" s="68" t="str">
        <f>CONCATENATE("Подраздел: ", Source!G28)</f>
        <v>Подраздел: Полы</v>
      </c>
      <c r="B21" s="68"/>
      <c r="C21" s="68"/>
      <c r="D21" s="68"/>
      <c r="E21" s="68"/>
    </row>
    <row r="22" spans="1:5" ht="14.25" x14ac:dyDescent="0.2">
      <c r="A22" s="41">
        <v>1</v>
      </c>
      <c r="B22" s="42" t="str">
        <f>Source!G32</f>
        <v>Разборка (снятие) металлической накладной полосы (порожка)</v>
      </c>
      <c r="C22" s="43" t="str">
        <f>Source!H32</f>
        <v>100 м</v>
      </c>
      <c r="D22" s="44">
        <f>Source!I32</f>
        <v>8.9999999999999993E-3</v>
      </c>
      <c r="E22" s="42"/>
    </row>
    <row r="23" spans="1:5" ht="14.25" x14ac:dyDescent="0.2">
      <c r="A23" s="41">
        <v>2</v>
      </c>
      <c r="B23" s="42" t="str">
        <f>Source!G33</f>
        <v>Разборка деревянных плинтусов</v>
      </c>
      <c r="C23" s="43" t="str">
        <f>Source!H33</f>
        <v>100 м</v>
      </c>
      <c r="D23" s="44">
        <f>Source!I33</f>
        <v>0.3095</v>
      </c>
      <c r="E23" s="42"/>
    </row>
    <row r="24" spans="1:5" ht="14.25" x14ac:dyDescent="0.2">
      <c r="A24" s="41">
        <v>3</v>
      </c>
      <c r="B24" s="42" t="str">
        <f>Source!G34</f>
        <v>Устройство плинтусов неокрашенных из древесины хвойных пород</v>
      </c>
      <c r="C24" s="43" t="str">
        <f>Source!H34</f>
        <v>100 м</v>
      </c>
      <c r="D24" s="44">
        <f>Source!I34</f>
        <v>0.315</v>
      </c>
      <c r="E24" s="42"/>
    </row>
    <row r="25" spans="1:5" ht="28.5" x14ac:dyDescent="0.2">
      <c r="A25" s="41">
        <v>3.1</v>
      </c>
      <c r="B25" s="42" t="str">
        <f>Source!G35</f>
        <v>Плинтус деревянный сращенный ПКС-50 13x50x2200 мм хвоя Экстра (или эквивалент)</v>
      </c>
      <c r="C25" s="43" t="str">
        <f>Source!H35</f>
        <v>м</v>
      </c>
      <c r="D25" s="44">
        <f>Source!I35</f>
        <v>33.075000000000003</v>
      </c>
      <c r="E25" s="42"/>
    </row>
    <row r="26" spans="1:5" ht="14.25" x14ac:dyDescent="0.2">
      <c r="A26" s="41">
        <v>3.2</v>
      </c>
      <c r="B26" s="42" t="str">
        <f>Source!G36</f>
        <v>Плинтуса хвойных пород, неокрашенные, сечение 16х36 мм</v>
      </c>
      <c r="C26" s="43" t="str">
        <f>Source!H36</f>
        <v>м</v>
      </c>
      <c r="D26" s="44">
        <f>Source!I36</f>
        <v>-33.075000000000003</v>
      </c>
      <c r="E26" s="42"/>
    </row>
    <row r="27" spans="1:5" ht="28.5" x14ac:dyDescent="0.2">
      <c r="A27" s="41">
        <v>4</v>
      </c>
      <c r="B27" s="42" t="str">
        <f>Source!G37</f>
        <v>Покрытие полов лаком по огрунтованной или окрашенной поверхности за 2 раза (покрытие плинтуса морилкой)</v>
      </c>
      <c r="C27" s="43" t="str">
        <f>Source!H37</f>
        <v>100 м2</v>
      </c>
      <c r="D27" s="44">
        <f>Source!I37</f>
        <v>1.5800000000000002E-2</v>
      </c>
      <c r="E27" s="42"/>
    </row>
    <row r="28" spans="1:5" ht="14.25" x14ac:dyDescent="0.2">
      <c r="A28" s="41">
        <v>4.0999999999999996</v>
      </c>
      <c r="B28" s="42" t="str">
        <f>Source!G38</f>
        <v>Морилка натуральная (в 2 слоя)</v>
      </c>
      <c r="C28" s="43" t="str">
        <f>Source!H38</f>
        <v>кг</v>
      </c>
      <c r="D28" s="44">
        <f>Source!I38</f>
        <v>0.39500000000000002</v>
      </c>
      <c r="E28" s="42"/>
    </row>
    <row r="29" spans="1:5" ht="14.25" x14ac:dyDescent="0.2">
      <c r="A29" s="41">
        <v>4.2</v>
      </c>
      <c r="B29" s="42" t="str">
        <f>Source!G39</f>
        <v>Лак мочевидный для паркетных полов</v>
      </c>
      <c r="C29" s="43" t="str">
        <f>Source!H39</f>
        <v>т</v>
      </c>
      <c r="D29" s="44">
        <f>Source!I39</f>
        <v>-3.2899999999999997E-4</v>
      </c>
      <c r="E29" s="42"/>
    </row>
    <row r="30" spans="1:5" ht="14.25" x14ac:dyDescent="0.2">
      <c r="A30" s="41">
        <v>5</v>
      </c>
      <c r="B30" s="42" t="str">
        <f>Source!G40</f>
        <v>Укладка металлической накладной полосы (порожка)</v>
      </c>
      <c r="C30" s="43" t="str">
        <f>Source!H40</f>
        <v>100 м</v>
      </c>
      <c r="D30" s="44">
        <f>Source!I40</f>
        <v>8.9999999999999993E-3</v>
      </c>
      <c r="E30" s="42"/>
    </row>
    <row r="31" spans="1:5" ht="14.25" x14ac:dyDescent="0.2">
      <c r="A31" s="41">
        <v>6</v>
      </c>
      <c r="B31" s="42" t="str">
        <f>Source!G41</f>
        <v>Разборка покрытий из линолеума и релина</v>
      </c>
      <c r="C31" s="43" t="str">
        <f>Source!H41</f>
        <v>100 м2</v>
      </c>
      <c r="D31" s="44">
        <f>Source!I41</f>
        <v>0.55000000000000004</v>
      </c>
      <c r="E31" s="42"/>
    </row>
    <row r="32" spans="1:5" ht="28.5" x14ac:dyDescent="0.2">
      <c r="A32" s="41">
        <v>7</v>
      </c>
      <c r="B32" s="42" t="str">
        <f>Source!G42</f>
        <v>Устройство самовыравнивающихся стяжек из специализированных сухих смесей толщиной 5 мм</v>
      </c>
      <c r="C32" s="43" t="str">
        <f>Source!H42</f>
        <v>100 м2</v>
      </c>
      <c r="D32" s="44">
        <f>Source!I42</f>
        <v>0.55000000000000004</v>
      </c>
      <c r="E32" s="42"/>
    </row>
    <row r="33" spans="1:5" ht="42.75" x14ac:dyDescent="0.2">
      <c r="A33" s="41">
        <v>8</v>
      </c>
      <c r="B33" s="42" t="str">
        <f>Source!G43</f>
        <v>Устройство тепло - и звукоизоляции сплошной из вспененных рулонных материалов на клее под ковровые покрытия (с предварительным грунтованием поверхности, монтаж на клей)</v>
      </c>
      <c r="C33" s="43" t="str">
        <f>Source!H43</f>
        <v>100 м2</v>
      </c>
      <c r="D33" s="44">
        <f>Source!I43</f>
        <v>0.55000000000000004</v>
      </c>
      <c r="E33" s="42"/>
    </row>
    <row r="34" spans="1:5" ht="14.25" x14ac:dyDescent="0.2">
      <c r="A34" s="41">
        <v>8.1</v>
      </c>
      <c r="B34" s="42" t="str">
        <f>Source!G44</f>
        <v>Утеплитель односторонний фольгированный 2 мм (или эквивалент)</v>
      </c>
      <c r="C34" s="43" t="str">
        <f>Source!H44</f>
        <v>м2</v>
      </c>
      <c r="D34" s="44">
        <f>Source!I44</f>
        <v>56.65</v>
      </c>
      <c r="E34" s="42"/>
    </row>
    <row r="35" spans="1:5" ht="28.5" x14ac:dyDescent="0.2">
      <c r="A35" s="41">
        <v>8.1999999999999993</v>
      </c>
      <c r="B35" s="42" t="str">
        <f>Source!G45</f>
        <v>Материал рулонный неокрашенный, "Изолон", из вспененного полиэтилена, марка НПЭ-0,2, толщина 2 мм</v>
      </c>
      <c r="C35" s="43" t="str">
        <f>Source!H45</f>
        <v>м2</v>
      </c>
      <c r="D35" s="44">
        <f>Source!I45</f>
        <v>-56.65</v>
      </c>
      <c r="E35" s="42"/>
    </row>
    <row r="36" spans="1:5" ht="28.5" x14ac:dyDescent="0.2">
      <c r="A36" s="41">
        <v>9</v>
      </c>
      <c r="B36" s="42" t="str">
        <f>Source!G46</f>
        <v>Устройство покрытий на клее из линолеума высокой износостойкости толщиной 2 мм, истираемостью группы Р со сваркой стыков</v>
      </c>
      <c r="C36" s="43" t="str">
        <f>Source!H46</f>
        <v>100 м2</v>
      </c>
      <c r="D36" s="44">
        <f>Source!I46</f>
        <v>0.55000000000000004</v>
      </c>
      <c r="E36" s="42"/>
    </row>
    <row r="37" spans="1:5" ht="16.5" x14ac:dyDescent="0.25">
      <c r="A37" s="68" t="str">
        <f>CONCATENATE("Подраздел: ", Source!G78)</f>
        <v>Подраздел: Стены</v>
      </c>
      <c r="B37" s="68"/>
      <c r="C37" s="68"/>
      <c r="D37" s="68"/>
      <c r="E37" s="68"/>
    </row>
    <row r="38" spans="1:5" ht="42.75" x14ac:dyDescent="0.2">
      <c r="A38" s="41">
        <v>10</v>
      </c>
      <c r="B38" s="42" t="str">
        <f>Source!G82</f>
        <v>Внутренняя окраска водно-дисперсионными акриловыми красками по ранее окрашенным поверхностям стен - с расчисткой старой краски до 35% / краска моющаяся типа ВД-АК-210</v>
      </c>
      <c r="C38" s="43" t="str">
        <f>Source!H82</f>
        <v>100 м2</v>
      </c>
      <c r="D38" s="44">
        <f>Source!I82</f>
        <v>0.77800000000000002</v>
      </c>
      <c r="E38" s="42"/>
    </row>
    <row r="39" spans="1:5" ht="14.25" x14ac:dyDescent="0.2">
      <c r="A39" s="41">
        <v>10.1</v>
      </c>
      <c r="B39" s="42" t="str">
        <f>Source!G83</f>
        <v>Пигменты сухие для красок, охра золотистая (цвет по согласованию)</v>
      </c>
      <c r="C39" s="43" t="str">
        <f>Source!H83</f>
        <v>т</v>
      </c>
      <c r="D39" s="44">
        <f>Source!I83</f>
        <v>1.323E-3</v>
      </c>
      <c r="E39" s="42"/>
    </row>
    <row r="40" spans="1:5" ht="16.5" x14ac:dyDescent="0.25">
      <c r="A40" s="68" t="str">
        <f>CONCATENATE("Подраздел: ", Source!G115)</f>
        <v>Подраздел: Потолок</v>
      </c>
      <c r="B40" s="68"/>
      <c r="C40" s="68"/>
      <c r="D40" s="68"/>
      <c r="E40" s="68"/>
    </row>
    <row r="41" spans="1:5" ht="42.75" x14ac:dyDescent="0.2">
      <c r="A41" s="41">
        <v>11</v>
      </c>
      <c r="B41" s="42" t="str">
        <f>Source!G119</f>
        <v>Внутренняя окраска водно-дисперсионными акриловыми красками по ранее окрашенным поверхностям потолков - с расчисткой старой краски до 35% / краска влагостойкая типа ВД-АК-120</v>
      </c>
      <c r="C41" s="43" t="str">
        <f>Source!H119</f>
        <v>100 м2</v>
      </c>
      <c r="D41" s="44">
        <f>Source!I119</f>
        <v>0.55000000000000004</v>
      </c>
      <c r="E41" s="42"/>
    </row>
    <row r="42" spans="1:5" ht="16.5" x14ac:dyDescent="0.25">
      <c r="A42" s="68" t="str">
        <f>CONCATENATE("Подраздел: ", Source!G151)</f>
        <v>Подраздел: Окна</v>
      </c>
      <c r="B42" s="68"/>
      <c r="C42" s="68"/>
      <c r="D42" s="68"/>
      <c r="E42" s="68"/>
    </row>
    <row r="43" spans="1:5" ht="14.25" x14ac:dyDescent="0.2">
      <c r="A43" s="41">
        <v>12</v>
      </c>
      <c r="B43" s="42" t="str">
        <f>Source!G155</f>
        <v>Демонтаж Обрамление углов стен, откосов уголком ПВХ - вертикальные</v>
      </c>
      <c r="C43" s="43" t="str">
        <f>Source!H155</f>
        <v>100 м</v>
      </c>
      <c r="D43" s="44">
        <f>Source!I155</f>
        <v>0.123</v>
      </c>
      <c r="E43" s="42"/>
    </row>
    <row r="44" spans="1:5" ht="28.5" x14ac:dyDescent="0.2">
      <c r="A44" s="41">
        <v>13</v>
      </c>
      <c r="B44" s="42" t="str">
        <f>Source!G156</f>
        <v>Демонтаж Обрамление углов стен, откосов уголком ПВХ - горизонтальные</v>
      </c>
      <c r="C44" s="43" t="str">
        <f>Source!H156</f>
        <v>100 м</v>
      </c>
      <c r="D44" s="44">
        <f>Source!I156</f>
        <v>7.1999999999999995E-2</v>
      </c>
      <c r="E44" s="42"/>
    </row>
    <row r="45" spans="1:5" ht="14.25" x14ac:dyDescent="0.2">
      <c r="A45" s="41">
        <v>14</v>
      </c>
      <c r="B45" s="42" t="str">
        <f>Source!G157</f>
        <v>Обрамление углов стен, откосов уголком ПВХ - вертикальные</v>
      </c>
      <c r="C45" s="43" t="str">
        <f>Source!H157</f>
        <v>100 м</v>
      </c>
      <c r="D45" s="44">
        <f>Source!I157</f>
        <v>0.123</v>
      </c>
      <c r="E45" s="42"/>
    </row>
    <row r="46" spans="1:5" ht="28.5" x14ac:dyDescent="0.2">
      <c r="A46" s="41">
        <v>14.1</v>
      </c>
      <c r="B46" s="42" t="str">
        <f>Source!G158</f>
        <v>Уголки поливинилхлоридные декоративные для внутренней облицовки, внешние, размеры 40х40 мм, белые</v>
      </c>
      <c r="C46" s="43" t="str">
        <f>Source!H158</f>
        <v>м</v>
      </c>
      <c r="D46" s="44">
        <f>Source!I158</f>
        <v>12.423</v>
      </c>
      <c r="E46" s="42"/>
    </row>
    <row r="47" spans="1:5" ht="14.25" x14ac:dyDescent="0.2">
      <c r="A47" s="41">
        <v>15</v>
      </c>
      <c r="B47" s="42" t="str">
        <f>Source!G159</f>
        <v>Обрамление углов стен, откосов уголком ПВХ - горизонтальные</v>
      </c>
      <c r="C47" s="43" t="str">
        <f>Source!H159</f>
        <v>100 м</v>
      </c>
      <c r="D47" s="44">
        <f>Source!I159</f>
        <v>7.1999999999999995E-2</v>
      </c>
      <c r="E47" s="42"/>
    </row>
    <row r="48" spans="1:5" ht="28.5" x14ac:dyDescent="0.2">
      <c r="A48" s="41">
        <v>15.1</v>
      </c>
      <c r="B48" s="42" t="str">
        <f>Source!G160</f>
        <v>Уголки поливинилхлоридные декоративные для внутренней облицовки, внешние, размеры 40х40 мм, белые</v>
      </c>
      <c r="C48" s="43" t="str">
        <f>Source!H160</f>
        <v>м</v>
      </c>
      <c r="D48" s="44">
        <f>Source!I160</f>
        <v>7.2720000000000002</v>
      </c>
      <c r="E48" s="42"/>
    </row>
    <row r="49" spans="1:5" ht="16.5" x14ac:dyDescent="0.25">
      <c r="A49" s="68" t="str">
        <f>CONCATENATE("Подраздел: ", Source!G192)</f>
        <v>Подраздел: Инженерные сети</v>
      </c>
      <c r="B49" s="68"/>
      <c r="C49" s="68"/>
      <c r="D49" s="68"/>
      <c r="E49" s="68"/>
    </row>
    <row r="50" spans="1:5" ht="14.25" x14ac:dyDescent="0.2">
      <c r="A50" s="41">
        <v>16</v>
      </c>
      <c r="B50" s="42" t="str">
        <f>Source!G196</f>
        <v>Демонтаж санитарно-технических приборов умывальников или раковин</v>
      </c>
      <c r="C50" s="43" t="str">
        <f>Source!H196</f>
        <v>100 компл.</v>
      </c>
      <c r="D50" s="44">
        <f>Source!I196</f>
        <v>0.01</v>
      </c>
      <c r="E50" s="42"/>
    </row>
    <row r="51" spans="1:5" ht="28.5" x14ac:dyDescent="0.2">
      <c r="A51" s="41">
        <v>17</v>
      </c>
      <c r="B51" s="42" t="str">
        <f>Source!G197</f>
        <v>Демонтаж Установка штучных изделий столов, шкафов под мойки, холодильных шкафов и др. (без стоимости изделий)</v>
      </c>
      <c r="C51" s="43" t="str">
        <f>Source!H197</f>
        <v>100 шт.</v>
      </c>
      <c r="D51" s="44">
        <f>Source!I197</f>
        <v>0.01</v>
      </c>
      <c r="E51" s="42"/>
    </row>
    <row r="52" spans="1:5" ht="42.75" x14ac:dyDescent="0.2">
      <c r="A52" s="41">
        <v>18</v>
      </c>
      <c r="B52" s="42" t="str">
        <f>Source!G198</f>
        <v>Установка умывальников одиночных с подводкой холодной и горячей воды / умывальник керамический полукруглый второй величины с переливом</v>
      </c>
      <c r="C52" s="43" t="str">
        <f>Source!H198</f>
        <v>компл.</v>
      </c>
      <c r="D52" s="44">
        <f>Source!I198</f>
        <v>1</v>
      </c>
      <c r="E52" s="42"/>
    </row>
    <row r="53" spans="1:5" ht="28.5" x14ac:dyDescent="0.2">
      <c r="A53" s="41">
        <v>18.100000000000001</v>
      </c>
      <c r="B53" s="42" t="str">
        <f>Source!G199</f>
        <v>Смесители для умывальников и моек двухрукояточные центральные набортные, излив с аэратором тип См-УмДЦБА</v>
      </c>
      <c r="C53" s="43" t="str">
        <f>Source!H199</f>
        <v>шт.</v>
      </c>
      <c r="D53" s="44">
        <f>Source!I199</f>
        <v>1</v>
      </c>
      <c r="E53" s="42"/>
    </row>
    <row r="54" spans="1:5" ht="14.25" x14ac:dyDescent="0.2">
      <c r="A54" s="41">
        <v>18.2</v>
      </c>
      <c r="B54" s="42" t="str">
        <f>Source!G200</f>
        <v>Сантехническая манжета для канализации MPF 50x25 (или эквивалент)</v>
      </c>
      <c r="C54" s="43" t="str">
        <f>Source!H200</f>
        <v>шт.</v>
      </c>
      <c r="D54" s="44">
        <f>Source!I200</f>
        <v>1</v>
      </c>
      <c r="E54" s="42"/>
    </row>
    <row r="55" spans="1:5" ht="28.5" x14ac:dyDescent="0.2">
      <c r="A55" s="41">
        <v>18.3</v>
      </c>
      <c r="B55" s="42" t="str">
        <f>Source!G201</f>
        <v>Смесители для умывальников и моек двухрукояточные центральные набортные, излив с аэратором тип См-УмДЦБА</v>
      </c>
      <c r="C55" s="43" t="str">
        <f>Source!H201</f>
        <v>шт.</v>
      </c>
      <c r="D55" s="44">
        <f>Source!I201</f>
        <v>-1</v>
      </c>
      <c r="E55" s="42"/>
    </row>
    <row r="56" spans="1:5" ht="28.5" x14ac:dyDescent="0.2">
      <c r="A56" s="41">
        <v>18.399999999999999</v>
      </c>
      <c r="B56" s="42" t="str">
        <f>Source!G202</f>
        <v>Умывальники керамические полукруглые второй величины с переливом 1 отверстие</v>
      </c>
      <c r="C56" s="43" t="str">
        <f>Source!H202</f>
        <v>шт.</v>
      </c>
      <c r="D56" s="44">
        <f>Source!I202</f>
        <v>-1</v>
      </c>
      <c r="E56" s="42"/>
    </row>
    <row r="57" spans="1:5" ht="28.5" x14ac:dyDescent="0.2">
      <c r="A57" s="41">
        <v>19</v>
      </c>
      <c r="B57" s="42" t="str">
        <f>Source!G203</f>
        <v>Установка штучных изделий столов, шкафов под мойки, холодильных шкафов и др. (без стоимости изделий)</v>
      </c>
      <c r="C57" s="43" t="str">
        <f>Source!H203</f>
        <v>100 шт.</v>
      </c>
      <c r="D57" s="44">
        <f>Source!I203</f>
        <v>0.01</v>
      </c>
      <c r="E57" s="42"/>
    </row>
    <row r="58" spans="1:5" ht="28.5" x14ac:dyDescent="0.2">
      <c r="A58" s="41">
        <v>19.100000000000001</v>
      </c>
      <c r="B58" s="42" t="str">
        <f>Source!G204</f>
        <v>Тумба под раковину напольная SanStar Квадро 50см с раковиной цвет белый (или эквивалент)</v>
      </c>
      <c r="C58" s="43" t="str">
        <f>Source!H204</f>
        <v>шт.</v>
      </c>
      <c r="D58" s="44">
        <f>Source!I204</f>
        <v>1</v>
      </c>
      <c r="E58" s="42"/>
    </row>
    <row r="59" spans="1:5" ht="28.5" x14ac:dyDescent="0.2">
      <c r="A59" s="41">
        <v>20</v>
      </c>
      <c r="B59" s="42" t="str">
        <f>Source!G205</f>
        <v>Монтаж гибких подводок к водогазоразборной арматуре / подводки с двумя латунными накидными гайками длиной 500 мм</v>
      </c>
      <c r="C59" s="43" t="str">
        <f>Source!H205</f>
        <v>100 м</v>
      </c>
      <c r="D59" s="44">
        <f>Source!I205</f>
        <v>0.01</v>
      </c>
      <c r="E59" s="42"/>
    </row>
    <row r="60" spans="1:5" ht="14.25" x14ac:dyDescent="0.2">
      <c r="A60" s="41">
        <v>21</v>
      </c>
      <c r="B60" s="42" t="str">
        <f>Source!G206</f>
        <v>Демонтаж муфтовой арматуры диаметром 20 мм</v>
      </c>
      <c r="C60" s="43" t="str">
        <f>Source!H206</f>
        <v>10 шт.</v>
      </c>
      <c r="D60" s="44">
        <f>Source!I206</f>
        <v>0.2</v>
      </c>
      <c r="E60" s="42"/>
    </row>
    <row r="61" spans="1:5" ht="14.25" x14ac:dyDescent="0.2">
      <c r="A61" s="41">
        <v>22</v>
      </c>
      <c r="B61" s="42" t="str">
        <f>Source!G207</f>
        <v>Установка муфтовой арматуры диаметром 20 мм</v>
      </c>
      <c r="C61" s="43" t="str">
        <f>Source!H207</f>
        <v>10 шт.</v>
      </c>
      <c r="D61" s="44">
        <f>Source!I207</f>
        <v>0.2</v>
      </c>
      <c r="E61" s="42"/>
    </row>
    <row r="62" spans="1:5" ht="28.5" x14ac:dyDescent="0.2">
      <c r="A62" s="41">
        <v>22.1</v>
      </c>
      <c r="B62" s="42" t="str">
        <f>Source!G208</f>
        <v>Краны латунные шаровые муфтовые проходные, марка 11б27п, диаметр 20 мм</v>
      </c>
      <c r="C62" s="43" t="str">
        <f>Source!H208</f>
        <v>шт.</v>
      </c>
      <c r="D62" s="44">
        <f>Source!I208</f>
        <v>2</v>
      </c>
      <c r="E62" s="42"/>
    </row>
    <row r="63" spans="1:5" ht="16.5" x14ac:dyDescent="0.25">
      <c r="A63" s="68" t="str">
        <f>CONCATENATE("Подраздел: ", Source!G240)</f>
        <v>Подраздел: Электрика</v>
      </c>
      <c r="B63" s="68"/>
      <c r="C63" s="68"/>
      <c r="D63" s="68"/>
      <c r="E63" s="68"/>
    </row>
    <row r="64" spans="1:5" ht="28.5" x14ac:dyDescent="0.2">
      <c r="A64" s="41">
        <v>23</v>
      </c>
      <c r="B64" s="42" t="str">
        <f>Source!G244</f>
        <v>Замена электроустановочных изделий, открытая проводка, выключатель, розетка (без стоимости материалов)</v>
      </c>
      <c r="C64" s="43" t="str">
        <f>Source!H244</f>
        <v>100 шт.</v>
      </c>
      <c r="D64" s="44">
        <f>Source!I244</f>
        <v>0.03</v>
      </c>
      <c r="E64" s="42"/>
    </row>
    <row r="65" spans="1:5" ht="14.25" x14ac:dyDescent="0.2">
      <c r="A65" s="41">
        <v>23.1</v>
      </c>
      <c r="B65" s="42" t="str">
        <f>Source!G245</f>
        <v>Розетка 2х2P+E Schuko со шторками, 16A-250В, IP20 (или эквивалент)</v>
      </c>
      <c r="C65" s="43" t="str">
        <f>Source!H245</f>
        <v>шт.</v>
      </c>
      <c r="D65" s="44">
        <f>Source!I245</f>
        <v>2</v>
      </c>
      <c r="E65" s="42"/>
    </row>
    <row r="66" spans="1:5" ht="28.5" x14ac:dyDescent="0.2">
      <c r="A66" s="41">
        <v>23.2</v>
      </c>
      <c r="B66" s="42" t="str">
        <f>Source!G246</f>
        <v>Выключатели, серия "Прима", напряжение 250 В, сила тока 6 А, тип: А16-051, одноклавишный, открытой установки</v>
      </c>
      <c r="C66" s="43" t="str">
        <f>Source!H246</f>
        <v>шт.</v>
      </c>
      <c r="D66" s="44">
        <f>Source!I246</f>
        <v>1</v>
      </c>
      <c r="E66" s="42"/>
    </row>
    <row r="67" spans="1:5" ht="16.5" x14ac:dyDescent="0.25">
      <c r="A67" s="68" t="str">
        <f>CONCATENATE("Подраздел: ", Source!G278)</f>
        <v>Подраздел: Прочее</v>
      </c>
      <c r="B67" s="68"/>
      <c r="C67" s="68"/>
      <c r="D67" s="68"/>
      <c r="E67" s="68"/>
    </row>
    <row r="68" spans="1:5" ht="28.5" x14ac:dyDescent="0.2">
      <c r="A68" s="41">
        <v>24</v>
      </c>
      <c r="B68" s="42" t="str">
        <f>Source!G282</f>
        <v>Смена вентиляционных решеток стальных штампованных, тип РШ, размеры 200х200 мм</v>
      </c>
      <c r="C68" s="43" t="str">
        <f>Source!H282</f>
        <v>100 шт.</v>
      </c>
      <c r="D68" s="44">
        <f>Source!I282</f>
        <v>0.02</v>
      </c>
      <c r="E68" s="42"/>
    </row>
    <row r="69" spans="1:5" ht="28.5" x14ac:dyDescent="0.2">
      <c r="A69" s="41">
        <v>24.1</v>
      </c>
      <c r="B69" s="42" t="str">
        <f>Source!G283</f>
        <v>Решетки вентиляционные, жалюзийные, регулируемые, стальные, марка РС-Г, размер 625х225 мм (600х300 мм)</v>
      </c>
      <c r="C69" s="43" t="str">
        <f>Source!H283</f>
        <v>шт.</v>
      </c>
      <c r="D69" s="44">
        <f>Source!I283</f>
        <v>2</v>
      </c>
      <c r="E69" s="42"/>
    </row>
    <row r="70" spans="1:5" ht="28.5" x14ac:dyDescent="0.2">
      <c r="A70" s="41">
        <v>24.2</v>
      </c>
      <c r="B70" s="42" t="str">
        <f>Source!G284</f>
        <v>Решетки вентиляционные стальные штампованные, тип РШ, размеры 200х200 мм</v>
      </c>
      <c r="C70" s="43" t="str">
        <f>Source!H284</f>
        <v>шт.</v>
      </c>
      <c r="D70" s="44">
        <f>Source!I284</f>
        <v>-2</v>
      </c>
      <c r="E70" s="42"/>
    </row>
    <row r="71" spans="1:5" ht="16.5" x14ac:dyDescent="0.25">
      <c r="A71" s="68" t="str">
        <f>CONCATENATE("Раздел: ", Source!G346)</f>
        <v>Раздел: Мусор</v>
      </c>
      <c r="B71" s="68"/>
      <c r="C71" s="68"/>
      <c r="D71" s="68"/>
      <c r="E71" s="68"/>
    </row>
    <row r="72" spans="1:5" ht="28.5" x14ac:dyDescent="0.2">
      <c r="A72" s="41">
        <v>25</v>
      </c>
      <c r="B72" s="42" t="str">
        <f>Source!G350</f>
        <v>Механизированная погрузка строительного мусора в автомобили-самосвалы</v>
      </c>
      <c r="C72" s="43" t="str">
        <f>Source!H350</f>
        <v>т</v>
      </c>
      <c r="D72" s="44">
        <f>Source!I350</f>
        <v>0.309</v>
      </c>
      <c r="E72" s="42"/>
    </row>
    <row r="73" spans="1:5" ht="28.5" x14ac:dyDescent="0.2">
      <c r="A73" s="41">
        <v>26</v>
      </c>
      <c r="B73" s="42" t="str">
        <f>Source!G351</f>
        <v>Перевозка строительного мусора автосамосвалами грузоподъемностью до 10 т на расстояние 1 км - при механизированной погрузке</v>
      </c>
      <c r="C73" s="43" t="str">
        <f>Source!H351</f>
        <v>т</v>
      </c>
      <c r="D73" s="44">
        <f>Source!I351</f>
        <v>0.309</v>
      </c>
      <c r="E73" s="42"/>
    </row>
    <row r="74" spans="1:5" ht="28.5" x14ac:dyDescent="0.2">
      <c r="A74" s="37">
        <v>27</v>
      </c>
      <c r="B74" s="38" t="str">
        <f>Source!G352</f>
        <v>Перевозка строительного мусора автосамосвалами грузоподъемностью до 10 т - добавляется на каждый последующий 1 км до 100 км</v>
      </c>
      <c r="C74" s="39" t="str">
        <f>Source!H352</f>
        <v>т</v>
      </c>
      <c r="D74" s="40">
        <f>Source!I352</f>
        <v>0.309</v>
      </c>
      <c r="E74" s="38"/>
    </row>
    <row r="77" spans="1:5" ht="15" x14ac:dyDescent="0.25">
      <c r="A77" s="30" t="s">
        <v>481</v>
      </c>
      <c r="B77" s="30"/>
      <c r="C77" s="30" t="s">
        <v>482</v>
      </c>
      <c r="D77" s="30"/>
      <c r="E77" s="30"/>
    </row>
  </sheetData>
  <mergeCells count="14">
    <mergeCell ref="A67:E67"/>
    <mergeCell ref="A71:E71"/>
    <mergeCell ref="A21:E21"/>
    <mergeCell ref="A37:E37"/>
    <mergeCell ref="A40:E40"/>
    <mergeCell ref="A42:E42"/>
    <mergeCell ref="A49:E49"/>
    <mergeCell ref="A63:E63"/>
    <mergeCell ref="A20:E20"/>
    <mergeCell ref="A11:D11"/>
    <mergeCell ref="A12:D12"/>
    <mergeCell ref="A19:E19"/>
    <mergeCell ref="C5:E5"/>
    <mergeCell ref="C7:E7"/>
  </mergeCells>
  <pageMargins left="0.4" right="0.2" top="0.2" bottom="0.4" header="0.2" footer="0.2"/>
  <pageSetup paperSize="9" scale="77" fitToHeight="0" orientation="portrait" r:id="rId1"/>
  <headerFooter>
    <oddHeader>&amp;L&amp;8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5"/>
  <sheetViews>
    <sheetView workbookViewId="0"/>
  </sheetViews>
  <sheetFormatPr defaultRowHeight="12.75" x14ac:dyDescent="0.2"/>
  <sheetData>
    <row r="1" spans="1:28" x14ac:dyDescent="0.2">
      <c r="A1" t="s">
        <v>511</v>
      </c>
      <c r="B1" t="s">
        <v>513</v>
      </c>
      <c r="C1" t="s">
        <v>514</v>
      </c>
      <c r="D1" t="s">
        <v>515</v>
      </c>
      <c r="E1" t="s">
        <v>516</v>
      </c>
      <c r="F1" t="s">
        <v>517</v>
      </c>
      <c r="G1" t="s">
        <v>518</v>
      </c>
      <c r="H1" t="s">
        <v>519</v>
      </c>
      <c r="I1" t="s">
        <v>520</v>
      </c>
      <c r="J1" t="s">
        <v>521</v>
      </c>
      <c r="K1" t="s">
        <v>522</v>
      </c>
      <c r="L1" t="s">
        <v>523</v>
      </c>
      <c r="M1" t="s">
        <v>524</v>
      </c>
      <c r="N1" t="s">
        <v>525</v>
      </c>
      <c r="O1" t="s">
        <v>512</v>
      </c>
    </row>
    <row r="2" spans="1:28" x14ac:dyDescent="0.2">
      <c r="A2">
        <v>1</v>
      </c>
      <c r="B2">
        <v>1</v>
      </c>
      <c r="C2">
        <v>1</v>
      </c>
      <c r="D2">
        <v>1</v>
      </c>
      <c r="E2">
        <v>1</v>
      </c>
      <c r="F2">
        <v>1</v>
      </c>
      <c r="G2">
        <v>1</v>
      </c>
      <c r="H2">
        <v>0</v>
      </c>
      <c r="I2">
        <v>1</v>
      </c>
      <c r="J2">
        <v>0</v>
      </c>
      <c r="K2">
        <v>1</v>
      </c>
      <c r="L2">
        <v>75703208</v>
      </c>
      <c r="M2">
        <v>0</v>
      </c>
      <c r="N2">
        <v>0</v>
      </c>
      <c r="O2">
        <v>0</v>
      </c>
    </row>
    <row r="4" spans="1:28" x14ac:dyDescent="0.2">
      <c r="A4" t="s">
        <v>483</v>
      </c>
      <c r="B4" t="s">
        <v>484</v>
      </c>
      <c r="C4" t="s">
        <v>485</v>
      </c>
      <c r="D4" t="s">
        <v>486</v>
      </c>
      <c r="E4" t="s">
        <v>487</v>
      </c>
      <c r="F4" t="s">
        <v>488</v>
      </c>
      <c r="G4" t="s">
        <v>489</v>
      </c>
      <c r="H4" t="s">
        <v>490</v>
      </c>
      <c r="I4" t="s">
        <v>491</v>
      </c>
      <c r="J4" t="s">
        <v>492</v>
      </c>
      <c r="K4" t="s">
        <v>493</v>
      </c>
      <c r="L4" t="s">
        <v>494</v>
      </c>
      <c r="M4" t="s">
        <v>495</v>
      </c>
      <c r="N4" t="s">
        <v>496</v>
      </c>
      <c r="O4" t="s">
        <v>497</v>
      </c>
      <c r="P4" t="s">
        <v>498</v>
      </c>
      <c r="Q4" t="s">
        <v>499</v>
      </c>
      <c r="R4" t="s">
        <v>500</v>
      </c>
      <c r="S4" t="s">
        <v>501</v>
      </c>
      <c r="T4" t="s">
        <v>502</v>
      </c>
      <c r="U4" t="s">
        <v>506</v>
      </c>
      <c r="V4" t="s">
        <v>507</v>
      </c>
      <c r="W4" t="s">
        <v>508</v>
      </c>
      <c r="X4" t="s">
        <v>509</v>
      </c>
      <c r="Y4" t="s">
        <v>510</v>
      </c>
      <c r="Z4" t="s">
        <v>503</v>
      </c>
      <c r="AA4" t="s">
        <v>504</v>
      </c>
      <c r="AB4" t="s">
        <v>505</v>
      </c>
    </row>
    <row r="6" spans="1:28" x14ac:dyDescent="0.2">
      <c r="A6">
        <f>Source!A20</f>
        <v>3</v>
      </c>
      <c r="B6">
        <v>20</v>
      </c>
      <c r="G6" t="str">
        <f>Source!G20</f>
        <v>Новая локальная смета</v>
      </c>
    </row>
    <row r="7" spans="1:28" x14ac:dyDescent="0.2">
      <c r="A7">
        <f>Source!A24</f>
        <v>4</v>
      </c>
      <c r="B7">
        <v>24</v>
      </c>
      <c r="G7" t="str">
        <f>Source!G24</f>
        <v>Второй этаж, кабинет № 204</v>
      </c>
    </row>
    <row r="8" spans="1:28" x14ac:dyDescent="0.2">
      <c r="A8">
        <f>Source!A28</f>
        <v>5</v>
      </c>
      <c r="B8">
        <v>28</v>
      </c>
      <c r="G8" t="str">
        <f>Source!G28</f>
        <v>Полы</v>
      </c>
    </row>
    <row r="9" spans="1:28" x14ac:dyDescent="0.2">
      <c r="A9">
        <v>20</v>
      </c>
      <c r="B9">
        <v>2</v>
      </c>
      <c r="C9">
        <v>2</v>
      </c>
      <c r="D9">
        <v>0</v>
      </c>
      <c r="E9">
        <f>SmtRes!AV2</f>
        <v>0</v>
      </c>
      <c r="F9" t="str">
        <f>SmtRes!I2</f>
        <v>22.1-30-56</v>
      </c>
      <c r="G9" t="str">
        <f>SmtRes!K2</f>
        <v>Шуруповерты</v>
      </c>
      <c r="H9" t="str">
        <f>SmtRes!O2</f>
        <v>маш.-ч</v>
      </c>
      <c r="I9">
        <f>SmtRes!Y2*Source!I32</f>
        <v>8.9999999999999993E-3</v>
      </c>
      <c r="J9">
        <f>SmtRes!AO2</f>
        <v>1</v>
      </c>
      <c r="K9">
        <f>SmtRes!AF2</f>
        <v>7.44</v>
      </c>
      <c r="L9">
        <f>SmtRes!DB2</f>
        <v>7.44</v>
      </c>
      <c r="M9">
        <f>ROUND(ROUND(L9*Source!I32, 6)*1, 2)</f>
        <v>7.0000000000000007E-2</v>
      </c>
      <c r="N9">
        <f>SmtRes!AB2</f>
        <v>7.44</v>
      </c>
      <c r="O9">
        <f>ROUND(ROUND(L9*Source!I32, 6)*SmtRes!DA2, 2)</f>
        <v>7.0000000000000007E-2</v>
      </c>
      <c r="P9">
        <f>SmtRes!AG2</f>
        <v>0.01</v>
      </c>
      <c r="Q9">
        <f>SmtRes!DC2</f>
        <v>0.01</v>
      </c>
      <c r="R9">
        <f>ROUND(ROUND(Q9*Source!I32, 6)*1, 2)</f>
        <v>0</v>
      </c>
      <c r="S9">
        <f>SmtRes!AC2</f>
        <v>0.01</v>
      </c>
      <c r="T9">
        <f>ROUND(ROUND(Q9*Source!I32, 6)*SmtRes!AK2, 2)</f>
        <v>0</v>
      </c>
      <c r="U9">
        <v>2</v>
      </c>
      <c r="Z9">
        <f>SmtRes!X2</f>
        <v>-247555338</v>
      </c>
      <c r="AA9">
        <v>-1795244417</v>
      </c>
      <c r="AB9">
        <v>-1795244417</v>
      </c>
    </row>
    <row r="10" spans="1:28" x14ac:dyDescent="0.2">
      <c r="A10">
        <v>20</v>
      </c>
      <c r="B10">
        <v>6</v>
      </c>
      <c r="C10">
        <v>3</v>
      </c>
      <c r="D10">
        <v>0</v>
      </c>
      <c r="E10">
        <f>SmtRes!AV6</f>
        <v>0</v>
      </c>
      <c r="F10" t="str">
        <f>SmtRes!I6</f>
        <v>21.1-11-46</v>
      </c>
      <c r="G10" t="str">
        <f>SmtRes!K6</f>
        <v>Гвозди строительные</v>
      </c>
      <c r="H10" t="str">
        <f>SmtRes!O6</f>
        <v>т</v>
      </c>
      <c r="I10">
        <f>SmtRes!Y6*Source!I34</f>
        <v>1.3230000000000002E-4</v>
      </c>
      <c r="J10">
        <f>SmtRes!AO6</f>
        <v>1</v>
      </c>
      <c r="K10">
        <f>SmtRes!AE6</f>
        <v>95976.83</v>
      </c>
      <c r="L10">
        <f>SmtRes!DB6</f>
        <v>40.31</v>
      </c>
      <c r="M10">
        <f>ROUND(ROUND(L10*Source!I34, 6)*1, 2)</f>
        <v>12.7</v>
      </c>
      <c r="N10">
        <f>SmtRes!AA6</f>
        <v>95976.83</v>
      </c>
      <c r="O10">
        <f>ROUND(ROUND(L10*Source!I34, 6)*SmtRes!DA6, 2)</f>
        <v>12.7</v>
      </c>
      <c r="P10">
        <f>SmtRes!AG6</f>
        <v>0</v>
      </c>
      <c r="Q10">
        <f>SmtRes!DC6</f>
        <v>0</v>
      </c>
      <c r="R10">
        <f>ROUND(ROUND(Q10*Source!I34, 6)*1, 2)</f>
        <v>0</v>
      </c>
      <c r="S10">
        <f>SmtRes!AC6</f>
        <v>0</v>
      </c>
      <c r="T10">
        <f>ROUND(ROUND(Q10*Source!I34, 6)*SmtRes!AK6, 2)</f>
        <v>0</v>
      </c>
      <c r="U10">
        <v>3</v>
      </c>
      <c r="Z10">
        <f>SmtRes!X6</f>
        <v>-799169102</v>
      </c>
      <c r="AA10">
        <v>1916598461</v>
      </c>
      <c r="AB10">
        <v>1916598461</v>
      </c>
    </row>
    <row r="11" spans="1:28" x14ac:dyDescent="0.2">
      <c r="A11">
        <f>Source!A35</f>
        <v>18</v>
      </c>
      <c r="B11">
        <v>35</v>
      </c>
      <c r="C11">
        <v>3</v>
      </c>
      <c r="D11">
        <f>Source!BI35</f>
        <v>4</v>
      </c>
      <c r="E11">
        <f>Source!FS35</f>
        <v>0</v>
      </c>
      <c r="F11" t="str">
        <f>Source!F35</f>
        <v>цена пост.</v>
      </c>
      <c r="G11" t="str">
        <f>Source!G35</f>
        <v>Плинтус деревянный сращенный ПКС-50 13x50x2200 мм хвоя Экстра (или эквивалент)</v>
      </c>
      <c r="H11" t="str">
        <f>Source!H35</f>
        <v>м</v>
      </c>
      <c r="I11">
        <f>Source!I35</f>
        <v>33.075000000000003</v>
      </c>
      <c r="J11">
        <v>1</v>
      </c>
      <c r="K11">
        <f>Source!AC35</f>
        <v>87.13</v>
      </c>
      <c r="M11">
        <f>ROUND(K11*I11, 2)</f>
        <v>2881.82</v>
      </c>
      <c r="N11">
        <f>Source!AC35*IF(Source!BC35&lt;&gt; 0, Source!BC35, 1)</f>
        <v>87.13</v>
      </c>
      <c r="O11">
        <f>ROUND(N11*I11, 2)</f>
        <v>2881.82</v>
      </c>
      <c r="P11">
        <f>Source!AE35</f>
        <v>0</v>
      </c>
      <c r="R11">
        <f>ROUND(P11*I11, 2)</f>
        <v>0</v>
      </c>
      <c r="S11">
        <f>Source!AE35*IF(Source!BS35&lt;&gt; 0, Source!BS35, 1)</f>
        <v>0</v>
      </c>
      <c r="T11">
        <f>ROUND(S11*I11, 2)</f>
        <v>0</v>
      </c>
      <c r="U11">
        <v>3</v>
      </c>
      <c r="Z11">
        <f>Source!GF35</f>
        <v>1643166817</v>
      </c>
      <c r="AA11">
        <v>816279899</v>
      </c>
      <c r="AB11">
        <v>816279899</v>
      </c>
    </row>
    <row r="12" spans="1:28" x14ac:dyDescent="0.2">
      <c r="A12">
        <f>Source!A38</f>
        <v>18</v>
      </c>
      <c r="B12">
        <v>38</v>
      </c>
      <c r="C12">
        <v>3</v>
      </c>
      <c r="D12">
        <f>Source!BI38</f>
        <v>4</v>
      </c>
      <c r="E12">
        <f>Source!FS38</f>
        <v>0</v>
      </c>
      <c r="F12" t="str">
        <f>Source!F38</f>
        <v>21.1-8-4</v>
      </c>
      <c r="G12" t="str">
        <f>Source!G38</f>
        <v>Морилка натуральная (в 2 слоя)</v>
      </c>
      <c r="H12" t="str">
        <f>Source!H38</f>
        <v>кг</v>
      </c>
      <c r="I12">
        <f>Source!I38</f>
        <v>0.39500000000000002</v>
      </c>
      <c r="J12">
        <v>1</v>
      </c>
      <c r="K12">
        <f>Source!AC38</f>
        <v>309.42</v>
      </c>
      <c r="M12">
        <f>ROUND(K12*I12, 2)</f>
        <v>122.22</v>
      </c>
      <c r="N12">
        <f>Source!AC38*IF(Source!BC38&lt;&gt; 0, Source!BC38, 1)</f>
        <v>309.42</v>
      </c>
      <c r="O12">
        <f>ROUND(N12*I12, 2)</f>
        <v>122.22</v>
      </c>
      <c r="P12">
        <f>Source!AE38</f>
        <v>0</v>
      </c>
      <c r="R12">
        <f>ROUND(P12*I12, 2)</f>
        <v>0</v>
      </c>
      <c r="S12">
        <f>Source!AE38*IF(Source!BS38&lt;&gt; 0, Source!BS38, 1)</f>
        <v>0</v>
      </c>
      <c r="T12">
        <f>ROUND(S12*I12, 2)</f>
        <v>0</v>
      </c>
      <c r="U12">
        <v>3</v>
      </c>
      <c r="Z12">
        <f>Source!GF38</f>
        <v>1429785642</v>
      </c>
      <c r="AA12">
        <v>-1601762150</v>
      </c>
      <c r="AB12">
        <v>-1601762150</v>
      </c>
    </row>
    <row r="13" spans="1:28" x14ac:dyDescent="0.2">
      <c r="A13">
        <v>20</v>
      </c>
      <c r="B13">
        <v>17</v>
      </c>
      <c r="C13">
        <v>3</v>
      </c>
      <c r="D13">
        <v>0</v>
      </c>
      <c r="E13">
        <f>SmtRes!AV17</f>
        <v>0</v>
      </c>
      <c r="F13" t="str">
        <f>SmtRes!I17</f>
        <v>21.7-12-1</v>
      </c>
      <c r="G13" t="str">
        <f>SmtRes!K17</f>
        <v>Профили алюминиевые, ширина 40 мм, марка СПА 3505</v>
      </c>
      <c r="H13" t="str">
        <f>SmtRes!O17</f>
        <v>м</v>
      </c>
      <c r="I13">
        <f>SmtRes!Y17*Source!I40</f>
        <v>0.94499999999999995</v>
      </c>
      <c r="J13">
        <f>SmtRes!AO17</f>
        <v>1</v>
      </c>
      <c r="K13">
        <f>SmtRes!AE17</f>
        <v>154.56</v>
      </c>
      <c r="L13">
        <f>SmtRes!DB17</f>
        <v>16228.8</v>
      </c>
      <c r="M13">
        <f>ROUND(ROUND(L13*Source!I40, 6)*1, 2)</f>
        <v>146.06</v>
      </c>
      <c r="N13">
        <f>SmtRes!AA17</f>
        <v>154.56</v>
      </c>
      <c r="O13">
        <f>ROUND(ROUND(L13*Source!I40, 6)*SmtRes!DA17, 2)</f>
        <v>146.06</v>
      </c>
      <c r="P13">
        <f>SmtRes!AG17</f>
        <v>0</v>
      </c>
      <c r="Q13">
        <f>SmtRes!DC17</f>
        <v>0</v>
      </c>
      <c r="R13">
        <f>ROUND(ROUND(Q13*Source!I40, 6)*1, 2)</f>
        <v>0</v>
      </c>
      <c r="S13">
        <f>SmtRes!AC17</f>
        <v>0</v>
      </c>
      <c r="T13">
        <f>ROUND(ROUND(Q13*Source!I40, 6)*SmtRes!AK17, 2)</f>
        <v>0</v>
      </c>
      <c r="U13">
        <v>3</v>
      </c>
      <c r="Z13">
        <f>SmtRes!X17</f>
        <v>-1781956644</v>
      </c>
      <c r="AA13">
        <v>1256870118</v>
      </c>
      <c r="AB13">
        <v>1256870118</v>
      </c>
    </row>
    <row r="14" spans="1:28" x14ac:dyDescent="0.2">
      <c r="A14">
        <v>20</v>
      </c>
      <c r="B14">
        <v>16</v>
      </c>
      <c r="C14">
        <v>3</v>
      </c>
      <c r="D14">
        <v>0</v>
      </c>
      <c r="E14">
        <f>SmtRes!AV16</f>
        <v>0</v>
      </c>
      <c r="F14" t="str">
        <f>SmtRes!I16</f>
        <v>21.1-11-32</v>
      </c>
      <c r="G14" t="str">
        <f>SmtRes!K16</f>
        <v>Винты самонарезающие оцинкованные, длина 25 мм</v>
      </c>
      <c r="H14" t="str">
        <f>SmtRes!O16</f>
        <v>кг</v>
      </c>
      <c r="I14">
        <f>SmtRes!Y16*Source!I40</f>
        <v>8.4599999999999988E-3</v>
      </c>
      <c r="J14">
        <f>SmtRes!AO16</f>
        <v>1</v>
      </c>
      <c r="K14">
        <f>SmtRes!AE16</f>
        <v>263.45</v>
      </c>
      <c r="L14">
        <f>SmtRes!DB16</f>
        <v>247.64</v>
      </c>
      <c r="M14">
        <f>ROUND(ROUND(L14*Source!I40, 6)*1, 2)</f>
        <v>2.23</v>
      </c>
      <c r="N14">
        <f>SmtRes!AA16</f>
        <v>263.45</v>
      </c>
      <c r="O14">
        <f>ROUND(ROUND(L14*Source!I40, 6)*SmtRes!DA16, 2)</f>
        <v>2.23</v>
      </c>
      <c r="P14">
        <f>SmtRes!AG16</f>
        <v>0</v>
      </c>
      <c r="Q14">
        <f>SmtRes!DC16</f>
        <v>0</v>
      </c>
      <c r="R14">
        <f>ROUND(ROUND(Q14*Source!I40, 6)*1, 2)</f>
        <v>0</v>
      </c>
      <c r="S14">
        <f>SmtRes!AC16</f>
        <v>0</v>
      </c>
      <c r="T14">
        <f>ROUND(ROUND(Q14*Source!I40, 6)*SmtRes!AK16, 2)</f>
        <v>0</v>
      </c>
      <c r="U14">
        <v>3</v>
      </c>
      <c r="Z14">
        <f>SmtRes!X16</f>
        <v>25616993</v>
      </c>
      <c r="AA14">
        <v>-1846749560</v>
      </c>
      <c r="AB14">
        <v>-1846749560</v>
      </c>
    </row>
    <row r="15" spans="1:28" x14ac:dyDescent="0.2">
      <c r="A15">
        <v>20</v>
      </c>
      <c r="B15">
        <v>15</v>
      </c>
      <c r="C15">
        <v>2</v>
      </c>
      <c r="D15">
        <v>0</v>
      </c>
      <c r="E15">
        <f>SmtRes!AV15</f>
        <v>0</v>
      </c>
      <c r="F15" t="str">
        <f>SmtRes!I15</f>
        <v>22.1-30-56</v>
      </c>
      <c r="G15" t="str">
        <f>SmtRes!K15</f>
        <v>Шуруповерты</v>
      </c>
      <c r="H15" t="str">
        <f>SmtRes!O15</f>
        <v>маш.-ч</v>
      </c>
      <c r="I15">
        <f>SmtRes!Y15*Source!I40</f>
        <v>6.5699999999999995E-2</v>
      </c>
      <c r="J15">
        <f>SmtRes!AO15</f>
        <v>1</v>
      </c>
      <c r="K15">
        <f>SmtRes!AF15</f>
        <v>7.44</v>
      </c>
      <c r="L15">
        <f>SmtRes!DB15</f>
        <v>54.31</v>
      </c>
      <c r="M15">
        <f>ROUND(ROUND(L15*Source!I40, 6)*1, 2)</f>
        <v>0.49</v>
      </c>
      <c r="N15">
        <f>SmtRes!AB15</f>
        <v>7.44</v>
      </c>
      <c r="O15">
        <f>ROUND(ROUND(L15*Source!I40, 6)*SmtRes!DA15, 2)</f>
        <v>0.49</v>
      </c>
      <c r="P15">
        <f>SmtRes!AG15</f>
        <v>0.01</v>
      </c>
      <c r="Q15">
        <f>SmtRes!DC15</f>
        <v>7.0000000000000007E-2</v>
      </c>
      <c r="R15">
        <f>ROUND(ROUND(Q15*Source!I40, 6)*1, 2)</f>
        <v>0</v>
      </c>
      <c r="S15">
        <f>SmtRes!AC15</f>
        <v>0.01</v>
      </c>
      <c r="T15">
        <f>ROUND(ROUND(Q15*Source!I40, 6)*SmtRes!AK15, 2)</f>
        <v>0</v>
      </c>
      <c r="U15">
        <v>2</v>
      </c>
      <c r="Z15">
        <f>SmtRes!X15</f>
        <v>-247555338</v>
      </c>
      <c r="AA15">
        <v>-1795244417</v>
      </c>
      <c r="AB15">
        <v>-1795244417</v>
      </c>
    </row>
    <row r="16" spans="1:28" x14ac:dyDescent="0.2">
      <c r="A16">
        <v>20</v>
      </c>
      <c r="B16">
        <v>14</v>
      </c>
      <c r="C16">
        <v>2</v>
      </c>
      <c r="D16">
        <v>0</v>
      </c>
      <c r="E16">
        <f>SmtRes!AV14</f>
        <v>0</v>
      </c>
      <c r="F16" t="str">
        <f>SmtRes!I14</f>
        <v>22.1-30-27</v>
      </c>
      <c r="G16" t="str">
        <f>SmtRes!K14</f>
        <v>Пилы дисковые электрические для резки пиломатериалов</v>
      </c>
      <c r="H16" t="str">
        <f>SmtRes!O14</f>
        <v>маш.-ч</v>
      </c>
      <c r="I16">
        <f>SmtRes!Y14*Source!I40</f>
        <v>4.0499999999999998E-3</v>
      </c>
      <c r="J16">
        <f>SmtRes!AO14</f>
        <v>1</v>
      </c>
      <c r="K16">
        <f>SmtRes!AF14</f>
        <v>6.09</v>
      </c>
      <c r="L16">
        <f>SmtRes!DB14</f>
        <v>2.74</v>
      </c>
      <c r="M16">
        <f>ROUND(ROUND(L16*Source!I40, 6)*1, 2)</f>
        <v>0.02</v>
      </c>
      <c r="N16">
        <f>SmtRes!AB14</f>
        <v>6.09</v>
      </c>
      <c r="O16">
        <f>ROUND(ROUND(L16*Source!I40, 6)*SmtRes!DA14, 2)</f>
        <v>0.02</v>
      </c>
      <c r="P16">
        <f>SmtRes!AG14</f>
        <v>0.01</v>
      </c>
      <c r="Q16">
        <f>SmtRes!DC14</f>
        <v>0</v>
      </c>
      <c r="R16">
        <f>ROUND(ROUND(Q16*Source!I40, 6)*1, 2)</f>
        <v>0</v>
      </c>
      <c r="S16">
        <f>SmtRes!AC14</f>
        <v>0.01</v>
      </c>
      <c r="T16">
        <f>ROUND(ROUND(Q16*Source!I40, 6)*SmtRes!AK14, 2)</f>
        <v>0</v>
      </c>
      <c r="U16">
        <v>2</v>
      </c>
      <c r="Z16">
        <f>SmtRes!X14</f>
        <v>-156276122</v>
      </c>
      <c r="AA16">
        <v>1696645965</v>
      </c>
      <c r="AB16">
        <v>1696645965</v>
      </c>
    </row>
    <row r="17" spans="1:28" x14ac:dyDescent="0.2">
      <c r="A17">
        <v>20</v>
      </c>
      <c r="B17">
        <v>13</v>
      </c>
      <c r="C17">
        <v>2</v>
      </c>
      <c r="D17">
        <v>0</v>
      </c>
      <c r="E17">
        <f>SmtRes!AV13</f>
        <v>0</v>
      </c>
      <c r="F17" t="str">
        <f>SmtRes!I13</f>
        <v>22.1-30-102</v>
      </c>
      <c r="G17" t="str">
        <f>SmtRes!K13</f>
        <v>Дрели электрические, двухскоростные, мощностью 600 Вт</v>
      </c>
      <c r="H17" t="str">
        <f>SmtRes!O13</f>
        <v>маш.-ч</v>
      </c>
      <c r="I17">
        <f>SmtRes!Y13*Source!I40</f>
        <v>4.8239999999999998E-2</v>
      </c>
      <c r="J17">
        <f>SmtRes!AO13</f>
        <v>1</v>
      </c>
      <c r="K17">
        <f>SmtRes!AF13</f>
        <v>6.13</v>
      </c>
      <c r="L17">
        <f>SmtRes!DB13</f>
        <v>32.86</v>
      </c>
      <c r="M17">
        <f>ROUND(ROUND(L17*Source!I40, 6)*1, 2)</f>
        <v>0.3</v>
      </c>
      <c r="N17">
        <f>SmtRes!AB13</f>
        <v>6.13</v>
      </c>
      <c r="O17">
        <f>ROUND(ROUND(L17*Source!I40, 6)*SmtRes!DA13, 2)</f>
        <v>0.3</v>
      </c>
      <c r="P17">
        <f>SmtRes!AG13</f>
        <v>1.91</v>
      </c>
      <c r="Q17">
        <f>SmtRes!DC13</f>
        <v>10.24</v>
      </c>
      <c r="R17">
        <f>ROUND(ROUND(Q17*Source!I40, 6)*1, 2)</f>
        <v>0.09</v>
      </c>
      <c r="S17">
        <f>SmtRes!AC13</f>
        <v>1.91</v>
      </c>
      <c r="T17">
        <f>ROUND(ROUND(Q17*Source!I40, 6)*SmtRes!AK13, 2)</f>
        <v>0.09</v>
      </c>
      <c r="U17">
        <v>2</v>
      </c>
      <c r="Z17">
        <f>SmtRes!X13</f>
        <v>1989376342</v>
      </c>
      <c r="AA17">
        <v>1891803891</v>
      </c>
      <c r="AB17">
        <v>1891803891</v>
      </c>
    </row>
    <row r="18" spans="1:28" x14ac:dyDescent="0.2">
      <c r="A18">
        <v>20</v>
      </c>
      <c r="B18">
        <v>27</v>
      </c>
      <c r="C18">
        <v>3</v>
      </c>
      <c r="D18">
        <v>0</v>
      </c>
      <c r="E18">
        <f>SmtRes!AV27</f>
        <v>0</v>
      </c>
      <c r="F18" t="str">
        <f>SmtRes!I27</f>
        <v>21.3-2-120</v>
      </c>
      <c r="G18" t="str">
        <f>SmtRes!K27</f>
        <v>Смеси сухие цементно-песчаные для устройства стяжки, самовыравнивающиеся: В15 (М200), F50</v>
      </c>
      <c r="H18" t="str">
        <f>SmtRes!O27</f>
        <v>т</v>
      </c>
      <c r="I18">
        <f>SmtRes!Y27*Source!I42</f>
        <v>0.46310000000000001</v>
      </c>
      <c r="J18">
        <f>SmtRes!AO27</f>
        <v>1</v>
      </c>
      <c r="K18">
        <f>SmtRes!AE27</f>
        <v>37996.660000000003</v>
      </c>
      <c r="L18">
        <f>SmtRes!DB27</f>
        <v>31993.19</v>
      </c>
      <c r="M18">
        <f>ROUND(ROUND(L18*Source!I42, 6)*1, 2)</f>
        <v>17596.25</v>
      </c>
      <c r="N18">
        <f>SmtRes!AA27</f>
        <v>37996.660000000003</v>
      </c>
      <c r="O18">
        <f>ROUND(ROUND(L18*Source!I42, 6)*SmtRes!DA27, 2)</f>
        <v>17596.25</v>
      </c>
      <c r="P18">
        <f>SmtRes!AG27</f>
        <v>0</v>
      </c>
      <c r="Q18">
        <f>SmtRes!DC27</f>
        <v>0</v>
      </c>
      <c r="R18">
        <f>ROUND(ROUND(Q18*Source!I42, 6)*1, 2)</f>
        <v>0</v>
      </c>
      <c r="S18">
        <f>SmtRes!AC27</f>
        <v>0</v>
      </c>
      <c r="T18">
        <f>ROUND(ROUND(Q18*Source!I42, 6)*SmtRes!AK27, 2)</f>
        <v>0</v>
      </c>
      <c r="U18">
        <v>3</v>
      </c>
      <c r="Z18">
        <f>SmtRes!X27</f>
        <v>837212414</v>
      </c>
      <c r="AA18">
        <v>-2002525921</v>
      </c>
      <c r="AB18">
        <v>-2002525921</v>
      </c>
    </row>
    <row r="19" spans="1:28" x14ac:dyDescent="0.2">
      <c r="A19">
        <v>20</v>
      </c>
      <c r="B19">
        <v>26</v>
      </c>
      <c r="C19">
        <v>3</v>
      </c>
      <c r="D19">
        <v>0</v>
      </c>
      <c r="E19">
        <f>SmtRes!AV26</f>
        <v>0</v>
      </c>
      <c r="F19" t="str">
        <f>SmtRes!I26</f>
        <v>21.1-6-183</v>
      </c>
      <c r="G19" t="str">
        <f>SmtRes!K26</f>
        <v>Грунтовка водно-дисперсионная на акриловых сополимерах с токопроводящими добавками</v>
      </c>
      <c r="H19" t="str">
        <f>SmtRes!O26</f>
        <v>кг</v>
      </c>
      <c r="I19">
        <f>SmtRes!Y26*Source!I42</f>
        <v>11</v>
      </c>
      <c r="J19">
        <f>SmtRes!AO26</f>
        <v>1</v>
      </c>
      <c r="K19">
        <f>SmtRes!AE26</f>
        <v>915.75</v>
      </c>
      <c r="L19">
        <f>SmtRes!DB26</f>
        <v>18315</v>
      </c>
      <c r="M19">
        <f>ROUND(ROUND(L19*Source!I42, 6)*1, 2)</f>
        <v>10073.25</v>
      </c>
      <c r="N19">
        <f>SmtRes!AA26</f>
        <v>915.75</v>
      </c>
      <c r="O19">
        <f>ROUND(ROUND(L19*Source!I42, 6)*SmtRes!DA26, 2)</f>
        <v>10073.25</v>
      </c>
      <c r="P19">
        <f>SmtRes!AG26</f>
        <v>0</v>
      </c>
      <c r="Q19">
        <f>SmtRes!DC26</f>
        <v>0</v>
      </c>
      <c r="R19">
        <f>ROUND(ROUND(Q19*Source!I42, 6)*1, 2)</f>
        <v>0</v>
      </c>
      <c r="S19">
        <f>SmtRes!AC26</f>
        <v>0</v>
      </c>
      <c r="T19">
        <f>ROUND(ROUND(Q19*Source!I42, 6)*SmtRes!AK26, 2)</f>
        <v>0</v>
      </c>
      <c r="U19">
        <v>3</v>
      </c>
      <c r="Z19">
        <f>SmtRes!X26</f>
        <v>1856405498</v>
      </c>
      <c r="AA19">
        <v>1664722683</v>
      </c>
      <c r="AB19">
        <v>1664722683</v>
      </c>
    </row>
    <row r="20" spans="1:28" x14ac:dyDescent="0.2">
      <c r="A20">
        <v>20</v>
      </c>
      <c r="B20">
        <v>25</v>
      </c>
      <c r="C20">
        <v>3</v>
      </c>
      <c r="D20">
        <v>0</v>
      </c>
      <c r="E20">
        <f>SmtRes!AV25</f>
        <v>0</v>
      </c>
      <c r="F20" t="str">
        <f>SmtRes!I25</f>
        <v>21.1-25-257</v>
      </c>
      <c r="G20" t="str">
        <f>SmtRes!K25</f>
        <v>Пленка полиэтиленовая, толщина 80 мкм</v>
      </c>
      <c r="H20" t="str">
        <f>SmtRes!O25</f>
        <v>м2</v>
      </c>
      <c r="I20">
        <f>SmtRes!Y25*Source!I42</f>
        <v>5.5</v>
      </c>
      <c r="J20">
        <f>SmtRes!AO25</f>
        <v>1</v>
      </c>
      <c r="K20">
        <f>SmtRes!AE25</f>
        <v>10.62</v>
      </c>
      <c r="L20">
        <f>SmtRes!DB25</f>
        <v>106.2</v>
      </c>
      <c r="M20">
        <f>ROUND(ROUND(L20*Source!I42, 6)*1, 2)</f>
        <v>58.41</v>
      </c>
      <c r="N20">
        <f>SmtRes!AA25</f>
        <v>10.62</v>
      </c>
      <c r="O20">
        <f>ROUND(ROUND(L20*Source!I42, 6)*SmtRes!DA25, 2)</f>
        <v>58.41</v>
      </c>
      <c r="P20">
        <f>SmtRes!AG25</f>
        <v>0</v>
      </c>
      <c r="Q20">
        <f>SmtRes!DC25</f>
        <v>0</v>
      </c>
      <c r="R20">
        <f>ROUND(ROUND(Q20*Source!I42, 6)*1, 2)</f>
        <v>0</v>
      </c>
      <c r="S20">
        <f>SmtRes!AC25</f>
        <v>0</v>
      </c>
      <c r="T20">
        <f>ROUND(ROUND(Q20*Source!I42, 6)*SmtRes!AK25, 2)</f>
        <v>0</v>
      </c>
      <c r="U20">
        <v>3</v>
      </c>
      <c r="Z20">
        <f>SmtRes!X25</f>
        <v>1627923774</v>
      </c>
      <c r="AA20">
        <v>-745564717</v>
      </c>
      <c r="AB20">
        <v>-745564717</v>
      </c>
    </row>
    <row r="21" spans="1:28" x14ac:dyDescent="0.2">
      <c r="A21">
        <v>20</v>
      </c>
      <c r="B21">
        <v>24</v>
      </c>
      <c r="C21">
        <v>3</v>
      </c>
      <c r="D21">
        <v>0</v>
      </c>
      <c r="E21">
        <f>SmtRes!AV24</f>
        <v>0</v>
      </c>
      <c r="F21" t="str">
        <f>SmtRes!I24</f>
        <v>21.1-25-13</v>
      </c>
      <c r="G21" t="str">
        <f>SmtRes!K24</f>
        <v>Вода</v>
      </c>
      <c r="H21" t="str">
        <f>SmtRes!O24</f>
        <v>м3</v>
      </c>
      <c r="I21">
        <f>SmtRes!Y24*Source!I42</f>
        <v>0.1661</v>
      </c>
      <c r="J21">
        <f>SmtRes!AO24</f>
        <v>1</v>
      </c>
      <c r="K21">
        <f>SmtRes!AE24</f>
        <v>49.83</v>
      </c>
      <c r="L21">
        <f>SmtRes!DB24</f>
        <v>15.05</v>
      </c>
      <c r="M21">
        <f>ROUND(ROUND(L21*Source!I42, 6)*1, 2)</f>
        <v>8.2799999999999994</v>
      </c>
      <c r="N21">
        <f>SmtRes!AA24</f>
        <v>49.83</v>
      </c>
      <c r="O21">
        <f>ROUND(ROUND(L21*Source!I42, 6)*SmtRes!DA24, 2)</f>
        <v>8.2799999999999994</v>
      </c>
      <c r="P21">
        <f>SmtRes!AG24</f>
        <v>0</v>
      </c>
      <c r="Q21">
        <f>SmtRes!DC24</f>
        <v>0</v>
      </c>
      <c r="R21">
        <f>ROUND(ROUND(Q21*Source!I42, 6)*1, 2)</f>
        <v>0</v>
      </c>
      <c r="S21">
        <f>SmtRes!AC24</f>
        <v>0</v>
      </c>
      <c r="T21">
        <f>ROUND(ROUND(Q21*Source!I42, 6)*SmtRes!AK24, 2)</f>
        <v>0</v>
      </c>
      <c r="U21">
        <v>3</v>
      </c>
      <c r="Z21">
        <f>SmtRes!X24</f>
        <v>973433911</v>
      </c>
      <c r="AA21">
        <v>1405492101</v>
      </c>
      <c r="AB21">
        <v>1405492101</v>
      </c>
    </row>
    <row r="22" spans="1:28" x14ac:dyDescent="0.2">
      <c r="A22">
        <v>20</v>
      </c>
      <c r="B22">
        <v>23</v>
      </c>
      <c r="C22">
        <v>2</v>
      </c>
      <c r="D22">
        <v>0</v>
      </c>
      <c r="E22">
        <f>SmtRes!AV23</f>
        <v>0</v>
      </c>
      <c r="F22" t="str">
        <f>SmtRes!I23</f>
        <v>22.1-4-1</v>
      </c>
      <c r="G22" t="str">
        <f>SmtRes!K23</f>
        <v>Погрузчики универсальные на пневмоколесном ходу, грузоподъемность до 1 т</v>
      </c>
      <c r="H22" t="str">
        <f>SmtRes!O23</f>
        <v>маш.-ч</v>
      </c>
      <c r="I22">
        <f>SmtRes!Y23*Source!I42</f>
        <v>1.1000000000000001E-2</v>
      </c>
      <c r="J22">
        <f>SmtRes!AO23</f>
        <v>1</v>
      </c>
      <c r="K22">
        <f>SmtRes!AF23</f>
        <v>1472.88</v>
      </c>
      <c r="L22">
        <f>SmtRes!DB23</f>
        <v>29.46</v>
      </c>
      <c r="M22">
        <f>ROUND(ROUND(L22*Source!I42, 6)*1, 2)</f>
        <v>16.2</v>
      </c>
      <c r="N22">
        <f>SmtRes!AB23</f>
        <v>1472.88</v>
      </c>
      <c r="O22">
        <f>ROUND(ROUND(L22*Source!I42, 6)*SmtRes!DA23, 2)</f>
        <v>16.2</v>
      </c>
      <c r="P22">
        <f>SmtRes!AG23</f>
        <v>893.16</v>
      </c>
      <c r="Q22">
        <f>SmtRes!DC23</f>
        <v>17.86</v>
      </c>
      <c r="R22">
        <f>ROUND(ROUND(Q22*Source!I42, 6)*1, 2)</f>
        <v>9.82</v>
      </c>
      <c r="S22">
        <f>SmtRes!AC23</f>
        <v>893.16</v>
      </c>
      <c r="T22">
        <f>ROUND(ROUND(Q22*Source!I42, 6)*SmtRes!AK23, 2)</f>
        <v>9.82</v>
      </c>
      <c r="U22">
        <v>2</v>
      </c>
      <c r="Z22">
        <f>SmtRes!X23</f>
        <v>2002913998</v>
      </c>
      <c r="AA22">
        <v>-560972641</v>
      </c>
      <c r="AB22">
        <v>-560972641</v>
      </c>
    </row>
    <row r="23" spans="1:28" x14ac:dyDescent="0.2">
      <c r="A23">
        <v>20</v>
      </c>
      <c r="B23">
        <v>22</v>
      </c>
      <c r="C23">
        <v>2</v>
      </c>
      <c r="D23">
        <v>0</v>
      </c>
      <c r="E23">
        <f>SmtRes!AV22</f>
        <v>0</v>
      </c>
      <c r="F23" t="str">
        <f>SmtRes!I22</f>
        <v>22.1-30-103</v>
      </c>
      <c r="G23" t="str">
        <f>SmtRes!K22</f>
        <v>Перфораторы электрические, мощность до 800 Вт</v>
      </c>
      <c r="H23" t="str">
        <f>SmtRes!O22</f>
        <v>маш.-ч</v>
      </c>
      <c r="I23">
        <f>SmtRes!Y22*Source!I42</f>
        <v>2.2825000000000002</v>
      </c>
      <c r="J23">
        <f>SmtRes!AO22</f>
        <v>1</v>
      </c>
      <c r="K23">
        <f>SmtRes!AF22</f>
        <v>10.7</v>
      </c>
      <c r="L23">
        <f>SmtRes!DB22</f>
        <v>44.41</v>
      </c>
      <c r="M23">
        <f>ROUND(ROUND(L23*Source!I42, 6)*1, 2)</f>
        <v>24.43</v>
      </c>
      <c r="N23">
        <f>SmtRes!AB22</f>
        <v>10.7</v>
      </c>
      <c r="O23">
        <f>ROUND(ROUND(L23*Source!I42, 6)*SmtRes!DA22, 2)</f>
        <v>24.43</v>
      </c>
      <c r="P23">
        <f>SmtRes!AG22</f>
        <v>1.91</v>
      </c>
      <c r="Q23">
        <f>SmtRes!DC22</f>
        <v>7.93</v>
      </c>
      <c r="R23">
        <f>ROUND(ROUND(Q23*Source!I42, 6)*1, 2)</f>
        <v>4.3600000000000003</v>
      </c>
      <c r="S23">
        <f>SmtRes!AC22</f>
        <v>1.91</v>
      </c>
      <c r="T23">
        <f>ROUND(ROUND(Q23*Source!I42, 6)*SmtRes!AK22, 2)</f>
        <v>4.3600000000000003</v>
      </c>
      <c r="U23">
        <v>2</v>
      </c>
      <c r="Z23">
        <f>SmtRes!X22</f>
        <v>-684189830</v>
      </c>
      <c r="AA23">
        <v>-1048187902</v>
      </c>
      <c r="AB23">
        <v>-1048187902</v>
      </c>
    </row>
    <row r="24" spans="1:28" x14ac:dyDescent="0.2">
      <c r="A24">
        <v>20</v>
      </c>
      <c r="B24">
        <v>21</v>
      </c>
      <c r="C24">
        <v>2</v>
      </c>
      <c r="D24">
        <v>0</v>
      </c>
      <c r="E24">
        <f>SmtRes!AV21</f>
        <v>0</v>
      </c>
      <c r="F24" t="str">
        <f>SmtRes!I21</f>
        <v>22.1-14-13</v>
      </c>
      <c r="G24" t="str">
        <f>SmtRes!K21</f>
        <v>Пылесосы, потребляемая мощность 350-1200 Вт</v>
      </c>
      <c r="H24" t="str">
        <f>SmtRes!O21</f>
        <v>маш.-ч</v>
      </c>
      <c r="I24">
        <f>SmtRes!Y21*Source!I42</f>
        <v>1.6500000000000001</v>
      </c>
      <c r="J24">
        <f>SmtRes!AO21</f>
        <v>1</v>
      </c>
      <c r="K24">
        <f>SmtRes!AF21</f>
        <v>56.19</v>
      </c>
      <c r="L24">
        <f>SmtRes!DB21</f>
        <v>168.57</v>
      </c>
      <c r="M24">
        <f>ROUND(ROUND(L24*Source!I42, 6)*1, 2)</f>
        <v>92.71</v>
      </c>
      <c r="N24">
        <f>SmtRes!AB21</f>
        <v>56.19</v>
      </c>
      <c r="O24">
        <f>ROUND(ROUND(L24*Source!I42, 6)*SmtRes!DA21, 2)</f>
        <v>92.71</v>
      </c>
      <c r="P24">
        <f>SmtRes!AG21</f>
        <v>0.31</v>
      </c>
      <c r="Q24">
        <f>SmtRes!DC21</f>
        <v>0.93</v>
      </c>
      <c r="R24">
        <f>ROUND(ROUND(Q24*Source!I42, 6)*1, 2)</f>
        <v>0.51</v>
      </c>
      <c r="S24">
        <f>SmtRes!AC21</f>
        <v>0.31</v>
      </c>
      <c r="T24">
        <f>ROUND(ROUND(Q24*Source!I42, 6)*SmtRes!AK21, 2)</f>
        <v>0.51</v>
      </c>
      <c r="U24">
        <v>2</v>
      </c>
      <c r="Z24">
        <f>SmtRes!X21</f>
        <v>64700738</v>
      </c>
      <c r="AA24">
        <v>1115396703</v>
      </c>
      <c r="AB24">
        <v>1115396703</v>
      </c>
    </row>
    <row r="25" spans="1:28" x14ac:dyDescent="0.2">
      <c r="A25">
        <v>20</v>
      </c>
      <c r="B25">
        <v>32</v>
      </c>
      <c r="C25">
        <v>3</v>
      </c>
      <c r="D25">
        <v>0</v>
      </c>
      <c r="E25">
        <f>SmtRes!AV32</f>
        <v>0</v>
      </c>
      <c r="F25" t="str">
        <f>SmtRes!I32</f>
        <v>21.1-6-165</v>
      </c>
      <c r="G25" t="str">
        <f>SmtRes!K32</f>
        <v>Грунтовка водно-дисперсионная высококонцентрированная глубокопроникающая универсальная</v>
      </c>
      <c r="H25" t="str">
        <f>SmtRes!O32</f>
        <v>кг</v>
      </c>
      <c r="I25">
        <f>SmtRes!Y32*Source!I43</f>
        <v>5.6650000000000009</v>
      </c>
      <c r="J25">
        <f>SmtRes!AO32</f>
        <v>1</v>
      </c>
      <c r="K25">
        <f>SmtRes!AE32</f>
        <v>138.59</v>
      </c>
      <c r="L25">
        <f>SmtRes!DB32</f>
        <v>1427.48</v>
      </c>
      <c r="M25">
        <f>ROUND(ROUND(L25*Source!I43, 6)*1, 2)</f>
        <v>785.11</v>
      </c>
      <c r="N25">
        <f>SmtRes!AA32</f>
        <v>138.59</v>
      </c>
      <c r="O25">
        <f>ROUND(ROUND(L25*Source!I43, 6)*SmtRes!DA32, 2)</f>
        <v>785.11</v>
      </c>
      <c r="P25">
        <f>SmtRes!AG32</f>
        <v>0</v>
      </c>
      <c r="Q25">
        <f>SmtRes!DC32</f>
        <v>0</v>
      </c>
      <c r="R25">
        <f>ROUND(ROUND(Q25*Source!I43, 6)*1, 2)</f>
        <v>0</v>
      </c>
      <c r="S25">
        <f>SmtRes!AC32</f>
        <v>0</v>
      </c>
      <c r="T25">
        <f>ROUND(ROUND(Q25*Source!I43, 6)*SmtRes!AK32, 2)</f>
        <v>0</v>
      </c>
      <c r="U25">
        <v>3</v>
      </c>
      <c r="Z25">
        <f>SmtRes!X32</f>
        <v>538144241</v>
      </c>
      <c r="AA25">
        <v>127690875</v>
      </c>
      <c r="AB25">
        <v>127690875</v>
      </c>
    </row>
    <row r="26" spans="1:28" x14ac:dyDescent="0.2">
      <c r="A26">
        <v>20</v>
      </c>
      <c r="B26">
        <v>31</v>
      </c>
      <c r="C26">
        <v>3</v>
      </c>
      <c r="D26">
        <v>0</v>
      </c>
      <c r="E26">
        <f>SmtRes!AV31</f>
        <v>0</v>
      </c>
      <c r="F26" t="str">
        <f>SmtRes!I31</f>
        <v>21.1-25-100</v>
      </c>
      <c r="G26" t="str">
        <f>SmtRes!K31</f>
        <v>Клей водно-дисперсионный акриловый, универсальный для укладки поливинилхлоридных и текстильных покрытий</v>
      </c>
      <c r="H26" t="str">
        <f>SmtRes!O31</f>
        <v>кг</v>
      </c>
      <c r="I26">
        <f>SmtRes!Y31*Source!I43</f>
        <v>16.995000000000001</v>
      </c>
      <c r="J26">
        <f>SmtRes!AO31</f>
        <v>1</v>
      </c>
      <c r="K26">
        <f>SmtRes!AE31</f>
        <v>221.14</v>
      </c>
      <c r="L26">
        <f>SmtRes!DB31</f>
        <v>6833.23</v>
      </c>
      <c r="M26">
        <f>ROUND(ROUND(L26*Source!I43, 6)*1, 2)</f>
        <v>3758.28</v>
      </c>
      <c r="N26">
        <f>SmtRes!AA31</f>
        <v>221.14</v>
      </c>
      <c r="O26">
        <f>ROUND(ROUND(L26*Source!I43, 6)*SmtRes!DA31, 2)</f>
        <v>3758.28</v>
      </c>
      <c r="P26">
        <f>SmtRes!AG31</f>
        <v>0</v>
      </c>
      <c r="Q26">
        <f>SmtRes!DC31</f>
        <v>0</v>
      </c>
      <c r="R26">
        <f>ROUND(ROUND(Q26*Source!I43, 6)*1, 2)</f>
        <v>0</v>
      </c>
      <c r="S26">
        <f>SmtRes!AC31</f>
        <v>0</v>
      </c>
      <c r="T26">
        <f>ROUND(ROUND(Q26*Source!I43, 6)*SmtRes!AK31, 2)</f>
        <v>0</v>
      </c>
      <c r="U26">
        <v>3</v>
      </c>
      <c r="Z26">
        <f>SmtRes!X31</f>
        <v>713614851</v>
      </c>
      <c r="AA26">
        <v>-1833135714</v>
      </c>
      <c r="AB26">
        <v>-1833135714</v>
      </c>
    </row>
    <row r="27" spans="1:28" x14ac:dyDescent="0.2">
      <c r="A27">
        <v>20</v>
      </c>
      <c r="B27">
        <v>29</v>
      </c>
      <c r="C27">
        <v>2</v>
      </c>
      <c r="D27">
        <v>0</v>
      </c>
      <c r="E27">
        <f>SmtRes!AV29</f>
        <v>0</v>
      </c>
      <c r="F27" t="str">
        <f>SmtRes!I29</f>
        <v>22.1-14-13</v>
      </c>
      <c r="G27" t="str">
        <f>SmtRes!K29</f>
        <v>Пылесосы, потребляемая мощность 350-1200 Вт</v>
      </c>
      <c r="H27" t="str">
        <f>SmtRes!O29</f>
        <v>маш.-ч</v>
      </c>
      <c r="I27">
        <f>SmtRes!Y29*Source!I43</f>
        <v>3.6520000000000001</v>
      </c>
      <c r="J27">
        <f>SmtRes!AO29</f>
        <v>1</v>
      </c>
      <c r="K27">
        <f>SmtRes!AF29</f>
        <v>56.19</v>
      </c>
      <c r="L27">
        <f>SmtRes!DB29</f>
        <v>373.1</v>
      </c>
      <c r="M27">
        <f>ROUND(ROUND(L27*Source!I43, 6)*1, 2)</f>
        <v>205.21</v>
      </c>
      <c r="N27">
        <f>SmtRes!AB29</f>
        <v>56.19</v>
      </c>
      <c r="O27">
        <f>ROUND(ROUND(L27*Source!I43, 6)*SmtRes!DA29, 2)</f>
        <v>205.21</v>
      </c>
      <c r="P27">
        <f>SmtRes!AG29</f>
        <v>0.31</v>
      </c>
      <c r="Q27">
        <f>SmtRes!DC29</f>
        <v>2.06</v>
      </c>
      <c r="R27">
        <f>ROUND(ROUND(Q27*Source!I43, 6)*1, 2)</f>
        <v>1.1299999999999999</v>
      </c>
      <c r="S27">
        <f>SmtRes!AC29</f>
        <v>0.31</v>
      </c>
      <c r="T27">
        <f>ROUND(ROUND(Q27*Source!I43, 6)*SmtRes!AK29, 2)</f>
        <v>1.1299999999999999</v>
      </c>
      <c r="U27">
        <v>2</v>
      </c>
      <c r="Z27">
        <f>SmtRes!X29</f>
        <v>64700738</v>
      </c>
      <c r="AA27">
        <v>1115396703</v>
      </c>
      <c r="AB27">
        <v>1115396703</v>
      </c>
    </row>
    <row r="28" spans="1:28" x14ac:dyDescent="0.2">
      <c r="A28">
        <f>Source!A44</f>
        <v>18</v>
      </c>
      <c r="B28">
        <v>44</v>
      </c>
      <c r="C28">
        <v>3</v>
      </c>
      <c r="D28">
        <f>Source!BI44</f>
        <v>4</v>
      </c>
      <c r="E28">
        <f>Source!FS44</f>
        <v>0</v>
      </c>
      <c r="F28" t="str">
        <f>Source!F44</f>
        <v>цена пост.</v>
      </c>
      <c r="G28" t="str">
        <f>Source!G44</f>
        <v>Утеплитель односторонний фольгированный 2 мм (или эквивалент)</v>
      </c>
      <c r="H28" t="str">
        <f>Source!H44</f>
        <v>м2</v>
      </c>
      <c r="I28">
        <f>Source!I44</f>
        <v>56.65</v>
      </c>
      <c r="J28">
        <v>1</v>
      </c>
      <c r="K28">
        <f>Source!AC44</f>
        <v>22.78</v>
      </c>
      <c r="M28">
        <f>ROUND(K28*I28, 2)</f>
        <v>1290.49</v>
      </c>
      <c r="N28">
        <f>Source!AC44*IF(Source!BC44&lt;&gt; 0, Source!BC44, 1)</f>
        <v>22.78</v>
      </c>
      <c r="O28">
        <f>ROUND(N28*I28, 2)</f>
        <v>1290.49</v>
      </c>
      <c r="P28">
        <f>Source!AE44</f>
        <v>0</v>
      </c>
      <c r="R28">
        <f>ROUND(P28*I28, 2)</f>
        <v>0</v>
      </c>
      <c r="S28">
        <f>Source!AE44*IF(Source!BS44&lt;&gt; 0, Source!BS44, 1)</f>
        <v>0</v>
      </c>
      <c r="T28">
        <f>ROUND(S28*I28, 2)</f>
        <v>0</v>
      </c>
      <c r="U28">
        <v>3</v>
      </c>
      <c r="Z28">
        <f>Source!GF44</f>
        <v>236700427</v>
      </c>
      <c r="AA28">
        <v>-338022217</v>
      </c>
      <c r="AB28">
        <v>-338022217</v>
      </c>
    </row>
    <row r="29" spans="1:28" x14ac:dyDescent="0.2">
      <c r="A29">
        <v>20</v>
      </c>
      <c r="B29">
        <v>41</v>
      </c>
      <c r="C29">
        <v>3</v>
      </c>
      <c r="D29">
        <v>0</v>
      </c>
      <c r="E29">
        <f>SmtRes!AV41</f>
        <v>0</v>
      </c>
      <c r="F29" t="str">
        <f>SmtRes!I41</f>
        <v>21.1-6-165</v>
      </c>
      <c r="G29" t="str">
        <f>SmtRes!K41</f>
        <v>Грунтовка водно-дисперсионная высококонцентрированная глубокопроникающая универсальная</v>
      </c>
      <c r="H29" t="str">
        <f>SmtRes!O41</f>
        <v>кг</v>
      </c>
      <c r="I29">
        <f>SmtRes!Y41*Source!I46</f>
        <v>5.6650000000000009</v>
      </c>
      <c r="J29">
        <f>SmtRes!AO41</f>
        <v>1</v>
      </c>
      <c r="K29">
        <f>SmtRes!AE41</f>
        <v>138.59</v>
      </c>
      <c r="L29">
        <f>SmtRes!DB41</f>
        <v>1427.48</v>
      </c>
      <c r="M29">
        <f>ROUND(ROUND(L29*Source!I46, 6)*1, 2)</f>
        <v>785.11</v>
      </c>
      <c r="N29">
        <f>SmtRes!AA41</f>
        <v>138.59</v>
      </c>
      <c r="O29">
        <f>ROUND(ROUND(L29*Source!I46, 6)*SmtRes!DA41, 2)</f>
        <v>785.11</v>
      </c>
      <c r="P29">
        <f>SmtRes!AG41</f>
        <v>0</v>
      </c>
      <c r="Q29">
        <f>SmtRes!DC41</f>
        <v>0</v>
      </c>
      <c r="R29">
        <f>ROUND(ROUND(Q29*Source!I46, 6)*1, 2)</f>
        <v>0</v>
      </c>
      <c r="S29">
        <f>SmtRes!AC41</f>
        <v>0</v>
      </c>
      <c r="T29">
        <f>ROUND(ROUND(Q29*Source!I46, 6)*SmtRes!AK41, 2)</f>
        <v>0</v>
      </c>
      <c r="U29">
        <v>3</v>
      </c>
      <c r="Z29">
        <f>SmtRes!X41</f>
        <v>538144241</v>
      </c>
      <c r="AA29">
        <v>127690875</v>
      </c>
      <c r="AB29">
        <v>127690875</v>
      </c>
    </row>
    <row r="30" spans="1:28" x14ac:dyDescent="0.2">
      <c r="A30">
        <v>20</v>
      </c>
      <c r="B30">
        <v>40</v>
      </c>
      <c r="C30">
        <v>3</v>
      </c>
      <c r="D30">
        <v>0</v>
      </c>
      <c r="E30">
        <f>SmtRes!AV40</f>
        <v>0</v>
      </c>
      <c r="F30" t="str">
        <f>SmtRes!I40</f>
        <v>21.1-25-748</v>
      </c>
      <c r="G30" t="str">
        <f>SmtRes!K40</f>
        <v>Шнур для сварки швов поливинилхлоридного линолеума</v>
      </c>
      <c r="H30" t="str">
        <f>SmtRes!O40</f>
        <v>м</v>
      </c>
      <c r="I30">
        <f>SmtRes!Y40*Source!I46</f>
        <v>33</v>
      </c>
      <c r="J30">
        <f>SmtRes!AO40</f>
        <v>1</v>
      </c>
      <c r="K30">
        <f>SmtRes!AE40</f>
        <v>57.6</v>
      </c>
      <c r="L30">
        <f>SmtRes!DB40</f>
        <v>3456</v>
      </c>
      <c r="M30">
        <f>ROUND(ROUND(L30*Source!I46, 6)*1, 2)</f>
        <v>1900.8</v>
      </c>
      <c r="N30">
        <f>SmtRes!AA40</f>
        <v>57.6</v>
      </c>
      <c r="O30">
        <f>ROUND(ROUND(L30*Source!I46, 6)*SmtRes!DA40, 2)</f>
        <v>1900.8</v>
      </c>
      <c r="P30">
        <f>SmtRes!AG40</f>
        <v>0</v>
      </c>
      <c r="Q30">
        <f>SmtRes!DC40</f>
        <v>0</v>
      </c>
      <c r="R30">
        <f>ROUND(ROUND(Q30*Source!I46, 6)*1, 2)</f>
        <v>0</v>
      </c>
      <c r="S30">
        <f>SmtRes!AC40</f>
        <v>0</v>
      </c>
      <c r="T30">
        <f>ROUND(ROUND(Q30*Source!I46, 6)*SmtRes!AK40, 2)</f>
        <v>0</v>
      </c>
      <c r="U30">
        <v>3</v>
      </c>
      <c r="Z30">
        <f>SmtRes!X40</f>
        <v>-1400349757</v>
      </c>
      <c r="AA30">
        <v>-2006813742</v>
      </c>
      <c r="AB30">
        <v>-2006813742</v>
      </c>
    </row>
    <row r="31" spans="1:28" x14ac:dyDescent="0.2">
      <c r="A31">
        <v>20</v>
      </c>
      <c r="B31">
        <v>39</v>
      </c>
      <c r="C31">
        <v>3</v>
      </c>
      <c r="D31">
        <v>0</v>
      </c>
      <c r="E31">
        <f>SmtRes!AV39</f>
        <v>0</v>
      </c>
      <c r="F31" t="str">
        <f>SmtRes!I39</f>
        <v>21.1-25-736</v>
      </c>
      <c r="G31" t="str">
        <f>SmtRes!K39</f>
        <v>Линолеум поливинилхлоридный высокой износостойкости, класс 34/43, истираемость 110 (86) мкм (Р), группа горючести Г1, толщина 2 мм</v>
      </c>
      <c r="H31" t="str">
        <f>SmtRes!O39</f>
        <v>м2</v>
      </c>
      <c r="I31">
        <f>SmtRes!Y39*Source!I46</f>
        <v>58.85</v>
      </c>
      <c r="J31">
        <f>SmtRes!AO39</f>
        <v>1</v>
      </c>
      <c r="K31">
        <f>SmtRes!AE39</f>
        <v>1117.3499999999999</v>
      </c>
      <c r="L31">
        <f>SmtRes!DB39</f>
        <v>119556.45</v>
      </c>
      <c r="M31">
        <f>ROUND(ROUND(L31*Source!I46, 6)*1, 2)</f>
        <v>65756.05</v>
      </c>
      <c r="N31">
        <f>SmtRes!AA39</f>
        <v>1117.3499999999999</v>
      </c>
      <c r="O31">
        <f>ROUND(ROUND(L31*Source!I46, 6)*SmtRes!DA39, 2)</f>
        <v>65756.05</v>
      </c>
      <c r="P31">
        <f>SmtRes!AG39</f>
        <v>0</v>
      </c>
      <c r="Q31">
        <f>SmtRes!DC39</f>
        <v>0</v>
      </c>
      <c r="R31">
        <f>ROUND(ROUND(Q31*Source!I46, 6)*1, 2)</f>
        <v>0</v>
      </c>
      <c r="S31">
        <f>SmtRes!AC39</f>
        <v>0</v>
      </c>
      <c r="T31">
        <f>ROUND(ROUND(Q31*Source!I46, 6)*SmtRes!AK39, 2)</f>
        <v>0</v>
      </c>
      <c r="U31">
        <v>3</v>
      </c>
      <c r="Z31">
        <f>SmtRes!X39</f>
        <v>-1901445925</v>
      </c>
      <c r="AA31">
        <v>1879435092</v>
      </c>
      <c r="AB31">
        <v>1879435092</v>
      </c>
    </row>
    <row r="32" spans="1:28" x14ac:dyDescent="0.2">
      <c r="A32">
        <v>20</v>
      </c>
      <c r="B32">
        <v>38</v>
      </c>
      <c r="C32">
        <v>3</v>
      </c>
      <c r="D32">
        <v>0</v>
      </c>
      <c r="E32">
        <f>SmtRes!AV38</f>
        <v>0</v>
      </c>
      <c r="F32" t="str">
        <f>SmtRes!I38</f>
        <v>21.1-25-100</v>
      </c>
      <c r="G32" t="str">
        <f>SmtRes!K38</f>
        <v>Клей водно-дисперсионный акриловый, универсальный для укладки поливинилхлоридных и текстильных покрытий</v>
      </c>
      <c r="H32" t="str">
        <f>SmtRes!O38</f>
        <v>кг</v>
      </c>
      <c r="I32">
        <f>SmtRes!Y38*Source!I46</f>
        <v>19.827500000000001</v>
      </c>
      <c r="J32">
        <f>SmtRes!AO38</f>
        <v>1</v>
      </c>
      <c r="K32">
        <f>SmtRes!AE38</f>
        <v>221.14</v>
      </c>
      <c r="L32">
        <f>SmtRes!DB38</f>
        <v>7972.1</v>
      </c>
      <c r="M32">
        <f>ROUND(ROUND(L32*Source!I46, 6)*1, 2)</f>
        <v>4384.66</v>
      </c>
      <c r="N32">
        <f>SmtRes!AA38</f>
        <v>221.14</v>
      </c>
      <c r="O32">
        <f>ROUND(ROUND(L32*Source!I46, 6)*SmtRes!DA38, 2)</f>
        <v>4384.66</v>
      </c>
      <c r="P32">
        <f>SmtRes!AG38</f>
        <v>0</v>
      </c>
      <c r="Q32">
        <f>SmtRes!DC38</f>
        <v>0</v>
      </c>
      <c r="R32">
        <f>ROUND(ROUND(Q32*Source!I46, 6)*1, 2)</f>
        <v>0</v>
      </c>
      <c r="S32">
        <f>SmtRes!AC38</f>
        <v>0</v>
      </c>
      <c r="T32">
        <f>ROUND(ROUND(Q32*Source!I46, 6)*SmtRes!AK38, 2)</f>
        <v>0</v>
      </c>
      <c r="U32">
        <v>3</v>
      </c>
      <c r="Z32">
        <f>SmtRes!X38</f>
        <v>713614851</v>
      </c>
      <c r="AA32">
        <v>-1833135714</v>
      </c>
      <c r="AB32">
        <v>-1833135714</v>
      </c>
    </row>
    <row r="33" spans="1:28" x14ac:dyDescent="0.2">
      <c r="A33">
        <v>20</v>
      </c>
      <c r="B33">
        <v>37</v>
      </c>
      <c r="C33">
        <v>2</v>
      </c>
      <c r="D33">
        <v>0</v>
      </c>
      <c r="E33">
        <f>SmtRes!AV37</f>
        <v>0</v>
      </c>
      <c r="F33" t="str">
        <f>SmtRes!I37</f>
        <v>22.1-30-23</v>
      </c>
      <c r="G33" t="str">
        <f>SmtRes!K37</f>
        <v>Приспособления для снятия фасок</v>
      </c>
      <c r="H33" t="str">
        <f>SmtRes!O37</f>
        <v>маш.-ч</v>
      </c>
      <c r="I33">
        <f>SmtRes!Y37*Source!I46</f>
        <v>0.82500000000000007</v>
      </c>
      <c r="J33">
        <f>SmtRes!AO37</f>
        <v>1</v>
      </c>
      <c r="K33">
        <f>SmtRes!AF37</f>
        <v>3.57</v>
      </c>
      <c r="L33">
        <f>SmtRes!DB37</f>
        <v>5.36</v>
      </c>
      <c r="M33">
        <f>ROUND(ROUND(L33*Source!I46, 6)*1, 2)</f>
        <v>2.95</v>
      </c>
      <c r="N33">
        <f>SmtRes!AB37</f>
        <v>3.57</v>
      </c>
      <c r="O33">
        <f>ROUND(ROUND(L33*Source!I46, 6)*SmtRes!DA37, 2)</f>
        <v>2.95</v>
      </c>
      <c r="P33">
        <f>SmtRes!AG37</f>
        <v>0.01</v>
      </c>
      <c r="Q33">
        <f>SmtRes!DC37</f>
        <v>0.02</v>
      </c>
      <c r="R33">
        <f>ROUND(ROUND(Q33*Source!I46, 6)*1, 2)</f>
        <v>0.01</v>
      </c>
      <c r="S33">
        <f>SmtRes!AC37</f>
        <v>0.01</v>
      </c>
      <c r="T33">
        <f>ROUND(ROUND(Q33*Source!I46, 6)*SmtRes!AK37, 2)</f>
        <v>0.01</v>
      </c>
      <c r="U33">
        <v>2</v>
      </c>
      <c r="Z33">
        <f>SmtRes!X37</f>
        <v>-1279016800</v>
      </c>
      <c r="AA33">
        <v>1804376768</v>
      </c>
      <c r="AB33">
        <v>1804376768</v>
      </c>
    </row>
    <row r="34" spans="1:28" x14ac:dyDescent="0.2">
      <c r="A34">
        <v>20</v>
      </c>
      <c r="B34">
        <v>36</v>
      </c>
      <c r="C34">
        <v>2</v>
      </c>
      <c r="D34">
        <v>0</v>
      </c>
      <c r="E34">
        <f>SmtRes!AV36</f>
        <v>0</v>
      </c>
      <c r="F34" t="str">
        <f>SmtRes!I36</f>
        <v>22.1-17-156</v>
      </c>
      <c r="G34" t="str">
        <f>SmtRes!K36</f>
        <v>Фены строительные, мощность 2 кВт</v>
      </c>
      <c r="H34" t="str">
        <f>SmtRes!O36</f>
        <v>маш.-ч</v>
      </c>
      <c r="I34">
        <f>SmtRes!Y36*Source!I46</f>
        <v>2.5850000000000004</v>
      </c>
      <c r="J34">
        <f>SmtRes!AO36</f>
        <v>1</v>
      </c>
      <c r="K34">
        <f>SmtRes!AF36</f>
        <v>10.02</v>
      </c>
      <c r="L34">
        <f>SmtRes!DB36</f>
        <v>47.09</v>
      </c>
      <c r="M34">
        <f>ROUND(ROUND(L34*Source!I46, 6)*1, 2)</f>
        <v>25.9</v>
      </c>
      <c r="N34">
        <f>SmtRes!AB36</f>
        <v>10.02</v>
      </c>
      <c r="O34">
        <f>ROUND(ROUND(L34*Source!I46, 6)*SmtRes!DA36, 2)</f>
        <v>25.9</v>
      </c>
      <c r="P34">
        <f>SmtRes!AG36</f>
        <v>0</v>
      </c>
      <c r="Q34">
        <f>SmtRes!DC36</f>
        <v>0</v>
      </c>
      <c r="R34">
        <f>ROUND(ROUND(Q34*Source!I46, 6)*1, 2)</f>
        <v>0</v>
      </c>
      <c r="S34">
        <f>SmtRes!AC36</f>
        <v>0</v>
      </c>
      <c r="T34">
        <f>ROUND(ROUND(Q34*Source!I46, 6)*SmtRes!AK36, 2)</f>
        <v>0</v>
      </c>
      <c r="U34">
        <v>2</v>
      </c>
      <c r="Z34">
        <f>SmtRes!X36</f>
        <v>-476797040</v>
      </c>
      <c r="AA34">
        <v>222818004</v>
      </c>
      <c r="AB34">
        <v>222818004</v>
      </c>
    </row>
    <row r="35" spans="1:28" x14ac:dyDescent="0.2">
      <c r="A35">
        <v>20</v>
      </c>
      <c r="B35">
        <v>35</v>
      </c>
      <c r="C35">
        <v>2</v>
      </c>
      <c r="D35">
        <v>0</v>
      </c>
      <c r="E35">
        <f>SmtRes!AV35</f>
        <v>0</v>
      </c>
      <c r="F35" t="str">
        <f>SmtRes!I35</f>
        <v>22.1-14-13</v>
      </c>
      <c r="G35" t="str">
        <f>SmtRes!K35</f>
        <v>Пылесосы, потребляемая мощность 350-1200 Вт</v>
      </c>
      <c r="H35" t="str">
        <f>SmtRes!O35</f>
        <v>маш.-ч</v>
      </c>
      <c r="I35">
        <f>SmtRes!Y35*Source!I46</f>
        <v>3.6520000000000001</v>
      </c>
      <c r="J35">
        <f>SmtRes!AO35</f>
        <v>1</v>
      </c>
      <c r="K35">
        <f>SmtRes!AF35</f>
        <v>56.19</v>
      </c>
      <c r="L35">
        <f>SmtRes!DB35</f>
        <v>373.1</v>
      </c>
      <c r="M35">
        <f>ROUND(ROUND(L35*Source!I46, 6)*1, 2)</f>
        <v>205.21</v>
      </c>
      <c r="N35">
        <f>SmtRes!AB35</f>
        <v>56.19</v>
      </c>
      <c r="O35">
        <f>ROUND(ROUND(L35*Source!I46, 6)*SmtRes!DA35, 2)</f>
        <v>205.21</v>
      </c>
      <c r="P35">
        <f>SmtRes!AG35</f>
        <v>0.31</v>
      </c>
      <c r="Q35">
        <f>SmtRes!DC35</f>
        <v>2.06</v>
      </c>
      <c r="R35">
        <f>ROUND(ROUND(Q35*Source!I46, 6)*1, 2)</f>
        <v>1.1299999999999999</v>
      </c>
      <c r="S35">
        <f>SmtRes!AC35</f>
        <v>0.31</v>
      </c>
      <c r="T35">
        <f>ROUND(ROUND(Q35*Source!I46, 6)*SmtRes!AK35, 2)</f>
        <v>1.1299999999999999</v>
      </c>
      <c r="U35">
        <v>2</v>
      </c>
      <c r="Z35">
        <f>SmtRes!X35</f>
        <v>64700738</v>
      </c>
      <c r="AA35">
        <v>1115396703</v>
      </c>
      <c r="AB35">
        <v>1115396703</v>
      </c>
    </row>
    <row r="36" spans="1:28" x14ac:dyDescent="0.2">
      <c r="A36">
        <f>Source!A78</f>
        <v>5</v>
      </c>
      <c r="B36">
        <v>78</v>
      </c>
      <c r="G36" t="str">
        <f>Source!G78</f>
        <v>Стены</v>
      </c>
    </row>
    <row r="37" spans="1:28" x14ac:dyDescent="0.2">
      <c r="A37">
        <v>20</v>
      </c>
      <c r="B37">
        <v>49</v>
      </c>
      <c r="C37">
        <v>3</v>
      </c>
      <c r="D37">
        <v>0</v>
      </c>
      <c r="E37">
        <f>SmtRes!AV49</f>
        <v>0</v>
      </c>
      <c r="F37" t="str">
        <f>SmtRes!I49</f>
        <v>21.1-6-221</v>
      </c>
      <c r="G37" t="str">
        <f>SmtRes!K49</f>
        <v>Грунтовка водно-дисперсионная акриловая укрепляющая для минеральных поверхностей, типа ВД-АК-0110</v>
      </c>
      <c r="H37" t="str">
        <f>SmtRes!O49</f>
        <v>кг</v>
      </c>
      <c r="I37">
        <f>SmtRes!Y49*Source!I82</f>
        <v>10.891999999999999</v>
      </c>
      <c r="J37">
        <f>SmtRes!AO49</f>
        <v>1</v>
      </c>
      <c r="K37">
        <f>SmtRes!AE49</f>
        <v>80.599999999999994</v>
      </c>
      <c r="L37">
        <f>SmtRes!DB49</f>
        <v>1128.4000000000001</v>
      </c>
      <c r="M37">
        <f>ROUND(ROUND(L37*Source!I82, 6)*1, 2)</f>
        <v>877.9</v>
      </c>
      <c r="N37">
        <f>SmtRes!AA49</f>
        <v>80.599999999999994</v>
      </c>
      <c r="O37">
        <f>ROUND(ROUND(L37*Source!I82, 6)*SmtRes!DA49, 2)</f>
        <v>877.9</v>
      </c>
      <c r="P37">
        <f>SmtRes!AG49</f>
        <v>0</v>
      </c>
      <c r="Q37">
        <f>SmtRes!DC49</f>
        <v>0</v>
      </c>
      <c r="R37">
        <f>ROUND(ROUND(Q37*Source!I82, 6)*1, 2)</f>
        <v>0</v>
      </c>
      <c r="S37">
        <f>SmtRes!AC49</f>
        <v>0</v>
      </c>
      <c r="T37">
        <f>ROUND(ROUND(Q37*Source!I82, 6)*SmtRes!AK49, 2)</f>
        <v>0</v>
      </c>
      <c r="U37">
        <v>3</v>
      </c>
      <c r="Z37">
        <f>SmtRes!X49</f>
        <v>2089374929</v>
      </c>
      <c r="AA37">
        <v>-172959861</v>
      </c>
      <c r="AB37">
        <v>-172959861</v>
      </c>
    </row>
    <row r="38" spans="1:28" x14ac:dyDescent="0.2">
      <c r="A38">
        <v>20</v>
      </c>
      <c r="B38">
        <v>48</v>
      </c>
      <c r="C38">
        <v>3</v>
      </c>
      <c r="D38">
        <v>0</v>
      </c>
      <c r="E38">
        <f>SmtRes!AV48</f>
        <v>0</v>
      </c>
      <c r="F38" t="str">
        <f>SmtRes!I48</f>
        <v>21.1-6-219</v>
      </c>
      <c r="G38" t="str">
        <f>SmtRes!K48</f>
        <v>Краски водно-дисперсионные акриловые износостойкие, интерьерные, моющиеся, типа ВД-АК-210, белые</v>
      </c>
      <c r="H38" t="str">
        <f>SmtRes!O48</f>
        <v>кг</v>
      </c>
      <c r="I38">
        <f>SmtRes!Y48*Source!I82</f>
        <v>19.2944</v>
      </c>
      <c r="J38">
        <f>SmtRes!AO48</f>
        <v>1</v>
      </c>
      <c r="K38">
        <f>SmtRes!AE48</f>
        <v>215.72</v>
      </c>
      <c r="L38">
        <f>SmtRes!DB48</f>
        <v>5349.86</v>
      </c>
      <c r="M38">
        <f>ROUND(ROUND(L38*Source!I82, 6)*1, 2)</f>
        <v>4162.1899999999996</v>
      </c>
      <c r="N38">
        <f>SmtRes!AA48</f>
        <v>215.72</v>
      </c>
      <c r="O38">
        <f>ROUND(ROUND(L38*Source!I82, 6)*SmtRes!DA48, 2)</f>
        <v>4162.1899999999996</v>
      </c>
      <c r="P38">
        <f>SmtRes!AG48</f>
        <v>0</v>
      </c>
      <c r="Q38">
        <f>SmtRes!DC48</f>
        <v>0</v>
      </c>
      <c r="R38">
        <f>ROUND(ROUND(Q38*Source!I82, 6)*1, 2)</f>
        <v>0</v>
      </c>
      <c r="S38">
        <f>SmtRes!AC48</f>
        <v>0</v>
      </c>
      <c r="T38">
        <f>ROUND(ROUND(Q38*Source!I82, 6)*SmtRes!AK48, 2)</f>
        <v>0</v>
      </c>
      <c r="U38">
        <v>3</v>
      </c>
      <c r="Z38">
        <f>SmtRes!X48</f>
        <v>-1799487693</v>
      </c>
      <c r="AA38">
        <v>1845104999</v>
      </c>
      <c r="AB38">
        <v>1845104999</v>
      </c>
    </row>
    <row r="39" spans="1:28" x14ac:dyDescent="0.2">
      <c r="A39">
        <v>20</v>
      </c>
      <c r="B39">
        <v>46</v>
      </c>
      <c r="C39">
        <v>3</v>
      </c>
      <c r="D39">
        <v>0</v>
      </c>
      <c r="E39">
        <f>SmtRes!AV46</f>
        <v>0</v>
      </c>
      <c r="F39" t="str">
        <f>SmtRes!I46</f>
        <v>21.1-25-404</v>
      </c>
      <c r="G39" t="str">
        <f>SmtRes!K46</f>
        <v>Шпатлевка водно-дисперсионная акриловая</v>
      </c>
      <c r="H39" t="str">
        <f>SmtRes!O46</f>
        <v>т</v>
      </c>
      <c r="I39">
        <f>SmtRes!Y46*Source!I82</f>
        <v>4.9792000000000005E-3</v>
      </c>
      <c r="J39">
        <f>SmtRes!AO46</f>
        <v>1</v>
      </c>
      <c r="K39">
        <f>SmtRes!AE46</f>
        <v>76204.789999999994</v>
      </c>
      <c r="L39">
        <f>SmtRes!DB46</f>
        <v>487.71</v>
      </c>
      <c r="M39">
        <f>ROUND(ROUND(L39*Source!I82, 6)*1, 2)</f>
        <v>379.44</v>
      </c>
      <c r="N39">
        <f>SmtRes!AA46</f>
        <v>76204.789999999994</v>
      </c>
      <c r="O39">
        <f>ROUND(ROUND(L39*Source!I82, 6)*SmtRes!DA46, 2)</f>
        <v>379.44</v>
      </c>
      <c r="P39">
        <f>SmtRes!AG46</f>
        <v>0</v>
      </c>
      <c r="Q39">
        <f>SmtRes!DC46</f>
        <v>0</v>
      </c>
      <c r="R39">
        <f>ROUND(ROUND(Q39*Source!I82, 6)*1, 2)</f>
        <v>0</v>
      </c>
      <c r="S39">
        <f>SmtRes!AC46</f>
        <v>0</v>
      </c>
      <c r="T39">
        <f>ROUND(ROUND(Q39*Source!I82, 6)*SmtRes!AK46, 2)</f>
        <v>0</v>
      </c>
      <c r="U39">
        <v>3</v>
      </c>
      <c r="Z39">
        <f>SmtRes!X46</f>
        <v>1133369200</v>
      </c>
      <c r="AA39">
        <v>358603207</v>
      </c>
      <c r="AB39">
        <v>358603207</v>
      </c>
    </row>
    <row r="40" spans="1:28" x14ac:dyDescent="0.2">
      <c r="A40">
        <v>20</v>
      </c>
      <c r="B40">
        <v>45</v>
      </c>
      <c r="C40">
        <v>3</v>
      </c>
      <c r="D40">
        <v>0</v>
      </c>
      <c r="E40">
        <f>SmtRes!AV45</f>
        <v>0</v>
      </c>
      <c r="F40" t="str">
        <f>SmtRes!I45</f>
        <v>21.1-25-388</v>
      </c>
      <c r="G40" t="str">
        <f>SmtRes!K45</f>
        <v>Шкурка шлифовальная на бумажной основе</v>
      </c>
      <c r="H40" t="str">
        <f>SmtRes!O45</f>
        <v>м2</v>
      </c>
      <c r="I40">
        <f>SmtRes!Y45*Source!I82</f>
        <v>0.62240000000000006</v>
      </c>
      <c r="J40">
        <f>SmtRes!AO45</f>
        <v>1</v>
      </c>
      <c r="K40">
        <f>SmtRes!AE45</f>
        <v>338.51</v>
      </c>
      <c r="L40">
        <f>SmtRes!DB45</f>
        <v>270.81</v>
      </c>
      <c r="M40">
        <f>ROUND(ROUND(L40*Source!I82, 6)*1, 2)</f>
        <v>210.69</v>
      </c>
      <c r="N40">
        <f>SmtRes!AA45</f>
        <v>338.51</v>
      </c>
      <c r="O40">
        <f>ROUND(ROUND(L40*Source!I82, 6)*SmtRes!DA45, 2)</f>
        <v>210.69</v>
      </c>
      <c r="P40">
        <f>SmtRes!AG45</f>
        <v>0</v>
      </c>
      <c r="Q40">
        <f>SmtRes!DC45</f>
        <v>0</v>
      </c>
      <c r="R40">
        <f>ROUND(ROUND(Q40*Source!I82, 6)*1, 2)</f>
        <v>0</v>
      </c>
      <c r="S40">
        <f>SmtRes!AC45</f>
        <v>0</v>
      </c>
      <c r="T40">
        <f>ROUND(ROUND(Q40*Source!I82, 6)*SmtRes!AK45, 2)</f>
        <v>0</v>
      </c>
      <c r="U40">
        <v>3</v>
      </c>
      <c r="Z40">
        <f>SmtRes!X45</f>
        <v>-668698448</v>
      </c>
      <c r="AA40">
        <v>1781192509</v>
      </c>
      <c r="AB40">
        <v>1781192509</v>
      </c>
    </row>
    <row r="41" spans="1:28" x14ac:dyDescent="0.2">
      <c r="A41">
        <v>20</v>
      </c>
      <c r="B41">
        <v>44</v>
      </c>
      <c r="C41">
        <v>3</v>
      </c>
      <c r="D41">
        <v>0</v>
      </c>
      <c r="E41">
        <f>SmtRes!AV44</f>
        <v>0</v>
      </c>
      <c r="F41" t="str">
        <f>SmtRes!I44</f>
        <v>21.1-25-13</v>
      </c>
      <c r="G41" t="str">
        <f>SmtRes!K44</f>
        <v>Вода</v>
      </c>
      <c r="H41" t="str">
        <f>SmtRes!O44</f>
        <v>м3</v>
      </c>
      <c r="I41">
        <f>SmtRes!Y44*Source!I82</f>
        <v>0.18672</v>
      </c>
      <c r="J41">
        <f>SmtRes!AO44</f>
        <v>1</v>
      </c>
      <c r="K41">
        <f>SmtRes!AE44</f>
        <v>49.83</v>
      </c>
      <c r="L41">
        <f>SmtRes!DB44</f>
        <v>11.96</v>
      </c>
      <c r="M41">
        <f>ROUND(ROUND(L41*Source!I82, 6)*1, 2)</f>
        <v>9.3000000000000007</v>
      </c>
      <c r="N41">
        <f>SmtRes!AA44</f>
        <v>49.83</v>
      </c>
      <c r="O41">
        <f>ROUND(ROUND(L41*Source!I82, 6)*SmtRes!DA44, 2)</f>
        <v>9.3000000000000007</v>
      </c>
      <c r="P41">
        <f>SmtRes!AG44</f>
        <v>0</v>
      </c>
      <c r="Q41">
        <f>SmtRes!DC44</f>
        <v>0</v>
      </c>
      <c r="R41">
        <f>ROUND(ROUND(Q41*Source!I82, 6)*1, 2)</f>
        <v>0</v>
      </c>
      <c r="S41">
        <f>SmtRes!AC44</f>
        <v>0</v>
      </c>
      <c r="T41">
        <f>ROUND(ROUND(Q41*Source!I82, 6)*SmtRes!AK44, 2)</f>
        <v>0</v>
      </c>
      <c r="U41">
        <v>3</v>
      </c>
      <c r="Z41">
        <f>SmtRes!X44</f>
        <v>973433911</v>
      </c>
      <c r="AA41">
        <v>1405492101</v>
      </c>
      <c r="AB41">
        <v>1405492101</v>
      </c>
    </row>
    <row r="42" spans="1:28" x14ac:dyDescent="0.2">
      <c r="A42">
        <v>20</v>
      </c>
      <c r="B42">
        <v>43</v>
      </c>
      <c r="C42">
        <v>3</v>
      </c>
      <c r="D42">
        <v>0</v>
      </c>
      <c r="E42">
        <f>SmtRes!AV43</f>
        <v>0</v>
      </c>
      <c r="F42" t="str">
        <f>SmtRes!I43</f>
        <v>21.1-20-7</v>
      </c>
      <c r="G42" t="str">
        <f>SmtRes!K43</f>
        <v>Ветошь</v>
      </c>
      <c r="H42" t="str">
        <f>SmtRes!O43</f>
        <v>кг</v>
      </c>
      <c r="I42">
        <f>SmtRes!Y43*Source!I82</f>
        <v>0.28008</v>
      </c>
      <c r="J42">
        <f>SmtRes!AO43</f>
        <v>1</v>
      </c>
      <c r="K42">
        <f>SmtRes!AE43</f>
        <v>26.09</v>
      </c>
      <c r="L42">
        <f>SmtRes!DB43</f>
        <v>9.39</v>
      </c>
      <c r="M42">
        <f>ROUND(ROUND(L42*Source!I82, 6)*1, 2)</f>
        <v>7.31</v>
      </c>
      <c r="N42">
        <f>SmtRes!AA43</f>
        <v>26.09</v>
      </c>
      <c r="O42">
        <f>ROUND(ROUND(L42*Source!I82, 6)*SmtRes!DA43, 2)</f>
        <v>7.31</v>
      </c>
      <c r="P42">
        <f>SmtRes!AG43</f>
        <v>0</v>
      </c>
      <c r="Q42">
        <f>SmtRes!DC43</f>
        <v>0</v>
      </c>
      <c r="R42">
        <f>ROUND(ROUND(Q42*Source!I82, 6)*1, 2)</f>
        <v>0</v>
      </c>
      <c r="S42">
        <f>SmtRes!AC43</f>
        <v>0</v>
      </c>
      <c r="T42">
        <f>ROUND(ROUND(Q42*Source!I82, 6)*SmtRes!AK43, 2)</f>
        <v>0</v>
      </c>
      <c r="U42">
        <v>3</v>
      </c>
      <c r="Z42">
        <f>SmtRes!X43</f>
        <v>1118017035</v>
      </c>
      <c r="AA42">
        <v>777677002</v>
      </c>
      <c r="AB42">
        <v>777677002</v>
      </c>
    </row>
    <row r="43" spans="1:28" x14ac:dyDescent="0.2">
      <c r="A43">
        <f>Source!A83</f>
        <v>18</v>
      </c>
      <c r="B43">
        <v>83</v>
      </c>
      <c r="C43">
        <v>3</v>
      </c>
      <c r="D43">
        <f>Source!BI83</f>
        <v>4</v>
      </c>
      <c r="E43">
        <f>Source!FS83</f>
        <v>0</v>
      </c>
      <c r="F43" t="str">
        <f>Source!F83</f>
        <v>21.1-6-103</v>
      </c>
      <c r="G43" t="str">
        <f>Source!G83</f>
        <v>Пигменты сухие для красок, охра золотистая (цвет по согласованию)</v>
      </c>
      <c r="H43" t="str">
        <f>Source!H83</f>
        <v>т</v>
      </c>
      <c r="I43">
        <f>Source!I83</f>
        <v>1.323E-3</v>
      </c>
      <c r="J43">
        <v>1</v>
      </c>
      <c r="K43">
        <f>Source!AC83</f>
        <v>198992.34</v>
      </c>
      <c r="M43">
        <f>ROUND(K43*I43, 2)</f>
        <v>263.27</v>
      </c>
      <c r="N43">
        <f>Source!AC83*IF(Source!BC83&lt;&gt; 0, Source!BC83, 1)</f>
        <v>198992.34</v>
      </c>
      <c r="O43">
        <f>ROUND(N43*I43, 2)</f>
        <v>263.27</v>
      </c>
      <c r="P43">
        <f>Source!AE83</f>
        <v>0</v>
      </c>
      <c r="R43">
        <f>ROUND(P43*I43, 2)</f>
        <v>0</v>
      </c>
      <c r="S43">
        <f>Source!AE83*IF(Source!BS83&lt;&gt; 0, Source!BS83, 1)</f>
        <v>0</v>
      </c>
      <c r="T43">
        <f>ROUND(S43*I43, 2)</f>
        <v>0</v>
      </c>
      <c r="U43">
        <v>3</v>
      </c>
      <c r="Z43">
        <f>Source!GF83</f>
        <v>812432982</v>
      </c>
      <c r="AA43">
        <v>1057484904</v>
      </c>
      <c r="AB43">
        <v>1057484904</v>
      </c>
    </row>
    <row r="44" spans="1:28" x14ac:dyDescent="0.2">
      <c r="A44">
        <f>Source!A115</f>
        <v>5</v>
      </c>
      <c r="B44">
        <v>115</v>
      </c>
      <c r="G44" t="str">
        <f>Source!G115</f>
        <v>Потолок</v>
      </c>
    </row>
    <row r="45" spans="1:28" x14ac:dyDescent="0.2">
      <c r="A45">
        <v>20</v>
      </c>
      <c r="B45">
        <v>56</v>
      </c>
      <c r="C45">
        <v>3</v>
      </c>
      <c r="D45">
        <v>0</v>
      </c>
      <c r="E45">
        <f>SmtRes!AV56</f>
        <v>0</v>
      </c>
      <c r="F45" t="str">
        <f>SmtRes!I56</f>
        <v>21.1-6-221</v>
      </c>
      <c r="G45" t="str">
        <f>SmtRes!K56</f>
        <v>Грунтовка водно-дисперсионная акриловая укрепляющая для минеральных поверхностей, типа ВД-АК-0110</v>
      </c>
      <c r="H45" t="str">
        <f>SmtRes!O56</f>
        <v>кг</v>
      </c>
      <c r="I45">
        <f>SmtRes!Y56*Source!I119</f>
        <v>7.7000000000000011</v>
      </c>
      <c r="J45">
        <f>SmtRes!AO56</f>
        <v>1</v>
      </c>
      <c r="K45">
        <f>SmtRes!AE56</f>
        <v>80.599999999999994</v>
      </c>
      <c r="L45">
        <f>SmtRes!DB56</f>
        <v>1128.4000000000001</v>
      </c>
      <c r="M45">
        <f>ROUND(ROUND(L45*Source!I119, 6)*1, 2)</f>
        <v>620.62</v>
      </c>
      <c r="N45">
        <f>SmtRes!AA56</f>
        <v>80.599999999999994</v>
      </c>
      <c r="O45">
        <f>ROUND(ROUND(L45*Source!I119, 6)*SmtRes!DA56, 2)</f>
        <v>620.62</v>
      </c>
      <c r="P45">
        <f>SmtRes!AG56</f>
        <v>0</v>
      </c>
      <c r="Q45">
        <f>SmtRes!DC56</f>
        <v>0</v>
      </c>
      <c r="R45">
        <f>ROUND(ROUND(Q45*Source!I119, 6)*1, 2)</f>
        <v>0</v>
      </c>
      <c r="S45">
        <f>SmtRes!AC56</f>
        <v>0</v>
      </c>
      <c r="T45">
        <f>ROUND(ROUND(Q45*Source!I119, 6)*SmtRes!AK56, 2)</f>
        <v>0</v>
      </c>
      <c r="U45">
        <v>3</v>
      </c>
      <c r="Z45">
        <f>SmtRes!X56</f>
        <v>2089374929</v>
      </c>
      <c r="AA45">
        <v>-172959861</v>
      </c>
      <c r="AB45">
        <v>-172959861</v>
      </c>
    </row>
    <row r="46" spans="1:28" x14ac:dyDescent="0.2">
      <c r="A46">
        <v>20</v>
      </c>
      <c r="B46">
        <v>55</v>
      </c>
      <c r="C46">
        <v>3</v>
      </c>
      <c r="D46">
        <v>0</v>
      </c>
      <c r="E46">
        <f>SmtRes!AV55</f>
        <v>0</v>
      </c>
      <c r="F46" t="str">
        <f>SmtRes!I55</f>
        <v>21.1-6-218</v>
      </c>
      <c r="G46" t="str">
        <f>SmtRes!K55</f>
        <v>Краски водно-дисперсионные акриловые износостойкие, интерьерные и фасадные, влагостойкие, типа ВД-АК-120, белые</v>
      </c>
      <c r="H46" t="str">
        <f>SmtRes!O55</f>
        <v>кг</v>
      </c>
      <c r="I46">
        <f>SmtRes!Y55*Source!I119</f>
        <v>13.640000000000002</v>
      </c>
      <c r="J46">
        <f>SmtRes!AO55</f>
        <v>1</v>
      </c>
      <c r="K46">
        <f>SmtRes!AE55</f>
        <v>157.52000000000001</v>
      </c>
      <c r="L46">
        <f>SmtRes!DB55</f>
        <v>3906.5</v>
      </c>
      <c r="M46">
        <f>ROUND(ROUND(L46*Source!I119, 6)*1, 2)</f>
        <v>2148.58</v>
      </c>
      <c r="N46">
        <f>SmtRes!AA55</f>
        <v>157.52000000000001</v>
      </c>
      <c r="O46">
        <f>ROUND(ROUND(L46*Source!I119, 6)*SmtRes!DA55, 2)</f>
        <v>2148.58</v>
      </c>
      <c r="P46">
        <f>SmtRes!AG55</f>
        <v>0</v>
      </c>
      <c r="Q46">
        <f>SmtRes!DC55</f>
        <v>0</v>
      </c>
      <c r="R46">
        <f>ROUND(ROUND(Q46*Source!I119, 6)*1, 2)</f>
        <v>0</v>
      </c>
      <c r="S46">
        <f>SmtRes!AC55</f>
        <v>0</v>
      </c>
      <c r="T46">
        <f>ROUND(ROUND(Q46*Source!I119, 6)*SmtRes!AK55, 2)</f>
        <v>0</v>
      </c>
      <c r="U46">
        <v>3</v>
      </c>
      <c r="Z46">
        <f>SmtRes!X55</f>
        <v>-959966110</v>
      </c>
      <c r="AA46">
        <v>265603619</v>
      </c>
      <c r="AB46">
        <v>265603619</v>
      </c>
    </row>
    <row r="47" spans="1:28" x14ac:dyDescent="0.2">
      <c r="A47">
        <v>20</v>
      </c>
      <c r="B47">
        <v>54</v>
      </c>
      <c r="C47">
        <v>3</v>
      </c>
      <c r="D47">
        <v>0</v>
      </c>
      <c r="E47">
        <f>SmtRes!AV54</f>
        <v>0</v>
      </c>
      <c r="F47" t="str">
        <f>SmtRes!I54</f>
        <v>21.1-25-404</v>
      </c>
      <c r="G47" t="str">
        <f>SmtRes!K54</f>
        <v>Шпатлевка водно-дисперсионная акриловая</v>
      </c>
      <c r="H47" t="str">
        <f>SmtRes!O54</f>
        <v>т</v>
      </c>
      <c r="I47">
        <f>SmtRes!Y54*Source!I119</f>
        <v>3.7400000000000003E-3</v>
      </c>
      <c r="J47">
        <f>SmtRes!AO54</f>
        <v>1</v>
      </c>
      <c r="K47">
        <f>SmtRes!AE54</f>
        <v>76204.789999999994</v>
      </c>
      <c r="L47">
        <f>SmtRes!DB54</f>
        <v>518.19000000000005</v>
      </c>
      <c r="M47">
        <f>ROUND(ROUND(L47*Source!I119, 6)*1, 2)</f>
        <v>285</v>
      </c>
      <c r="N47">
        <f>SmtRes!AA54</f>
        <v>76204.789999999994</v>
      </c>
      <c r="O47">
        <f>ROUND(ROUND(L47*Source!I119, 6)*SmtRes!DA54, 2)</f>
        <v>285</v>
      </c>
      <c r="P47">
        <f>SmtRes!AG54</f>
        <v>0</v>
      </c>
      <c r="Q47">
        <f>SmtRes!DC54</f>
        <v>0</v>
      </c>
      <c r="R47">
        <f>ROUND(ROUND(Q47*Source!I119, 6)*1, 2)</f>
        <v>0</v>
      </c>
      <c r="S47">
        <f>SmtRes!AC54</f>
        <v>0</v>
      </c>
      <c r="T47">
        <f>ROUND(ROUND(Q47*Source!I119, 6)*SmtRes!AK54, 2)</f>
        <v>0</v>
      </c>
      <c r="U47">
        <v>3</v>
      </c>
      <c r="Z47">
        <f>SmtRes!X54</f>
        <v>1133369200</v>
      </c>
      <c r="AA47">
        <v>358603207</v>
      </c>
      <c r="AB47">
        <v>358603207</v>
      </c>
    </row>
    <row r="48" spans="1:28" x14ac:dyDescent="0.2">
      <c r="A48">
        <v>20</v>
      </c>
      <c r="B48">
        <v>53</v>
      </c>
      <c r="C48">
        <v>3</v>
      </c>
      <c r="D48">
        <v>0</v>
      </c>
      <c r="E48">
        <f>SmtRes!AV53</f>
        <v>0</v>
      </c>
      <c r="F48" t="str">
        <f>SmtRes!I53</f>
        <v>21.1-25-388</v>
      </c>
      <c r="G48" t="str">
        <f>SmtRes!K53</f>
        <v>Шкурка шлифовальная на бумажной основе</v>
      </c>
      <c r="H48" t="str">
        <f>SmtRes!O53</f>
        <v>м2</v>
      </c>
      <c r="I48">
        <f>SmtRes!Y53*Source!I119</f>
        <v>0.88000000000000012</v>
      </c>
      <c r="J48">
        <f>SmtRes!AO53</f>
        <v>1</v>
      </c>
      <c r="K48">
        <f>SmtRes!AE53</f>
        <v>338.51</v>
      </c>
      <c r="L48">
        <f>SmtRes!DB53</f>
        <v>541.62</v>
      </c>
      <c r="M48">
        <f>ROUND(ROUND(L48*Source!I119, 6)*1, 2)</f>
        <v>297.89</v>
      </c>
      <c r="N48">
        <f>SmtRes!AA53</f>
        <v>338.51</v>
      </c>
      <c r="O48">
        <f>ROUND(ROUND(L48*Source!I119, 6)*SmtRes!DA53, 2)</f>
        <v>297.89</v>
      </c>
      <c r="P48">
        <f>SmtRes!AG53</f>
        <v>0</v>
      </c>
      <c r="Q48">
        <f>SmtRes!DC53</f>
        <v>0</v>
      </c>
      <c r="R48">
        <f>ROUND(ROUND(Q48*Source!I119, 6)*1, 2)</f>
        <v>0</v>
      </c>
      <c r="S48">
        <f>SmtRes!AC53</f>
        <v>0</v>
      </c>
      <c r="T48">
        <f>ROUND(ROUND(Q48*Source!I119, 6)*SmtRes!AK53, 2)</f>
        <v>0</v>
      </c>
      <c r="U48">
        <v>3</v>
      </c>
      <c r="Z48">
        <f>SmtRes!X53</f>
        <v>-668698448</v>
      </c>
      <c r="AA48">
        <v>1781192509</v>
      </c>
      <c r="AB48">
        <v>1781192509</v>
      </c>
    </row>
    <row r="49" spans="1:28" x14ac:dyDescent="0.2">
      <c r="A49">
        <v>20</v>
      </c>
      <c r="B49">
        <v>52</v>
      </c>
      <c r="C49">
        <v>3</v>
      </c>
      <c r="D49">
        <v>0</v>
      </c>
      <c r="E49">
        <f>SmtRes!AV52</f>
        <v>0</v>
      </c>
      <c r="F49" t="str">
        <f>SmtRes!I52</f>
        <v>21.1-25-13</v>
      </c>
      <c r="G49" t="str">
        <f>SmtRes!K52</f>
        <v>Вода</v>
      </c>
      <c r="H49" t="str">
        <f>SmtRes!O52</f>
        <v>м3</v>
      </c>
      <c r="I49">
        <f>SmtRes!Y52*Source!I119</f>
        <v>0.13200000000000001</v>
      </c>
      <c r="J49">
        <f>SmtRes!AO52</f>
        <v>1</v>
      </c>
      <c r="K49">
        <f>SmtRes!AE52</f>
        <v>49.83</v>
      </c>
      <c r="L49">
        <f>SmtRes!DB52</f>
        <v>11.96</v>
      </c>
      <c r="M49">
        <f>ROUND(ROUND(L49*Source!I119, 6)*1, 2)</f>
        <v>6.58</v>
      </c>
      <c r="N49">
        <f>SmtRes!AA52</f>
        <v>49.83</v>
      </c>
      <c r="O49">
        <f>ROUND(ROUND(L49*Source!I119, 6)*SmtRes!DA52, 2)</f>
        <v>6.58</v>
      </c>
      <c r="P49">
        <f>SmtRes!AG52</f>
        <v>0</v>
      </c>
      <c r="Q49">
        <f>SmtRes!DC52</f>
        <v>0</v>
      </c>
      <c r="R49">
        <f>ROUND(ROUND(Q49*Source!I119, 6)*1, 2)</f>
        <v>0</v>
      </c>
      <c r="S49">
        <f>SmtRes!AC52</f>
        <v>0</v>
      </c>
      <c r="T49">
        <f>ROUND(ROUND(Q49*Source!I119, 6)*SmtRes!AK52, 2)</f>
        <v>0</v>
      </c>
      <c r="U49">
        <v>3</v>
      </c>
      <c r="Z49">
        <f>SmtRes!X52</f>
        <v>973433911</v>
      </c>
      <c r="AA49">
        <v>1405492101</v>
      </c>
      <c r="AB49">
        <v>1405492101</v>
      </c>
    </row>
    <row r="50" spans="1:28" x14ac:dyDescent="0.2">
      <c r="A50">
        <v>20</v>
      </c>
      <c r="B50">
        <v>51</v>
      </c>
      <c r="C50">
        <v>3</v>
      </c>
      <c r="D50">
        <v>0</v>
      </c>
      <c r="E50">
        <f>SmtRes!AV51</f>
        <v>0</v>
      </c>
      <c r="F50" t="str">
        <f>SmtRes!I51</f>
        <v>21.1-20-7</v>
      </c>
      <c r="G50" t="str">
        <f>SmtRes!K51</f>
        <v>Ветошь</v>
      </c>
      <c r="H50" t="str">
        <f>SmtRes!O51</f>
        <v>кг</v>
      </c>
      <c r="I50">
        <f>SmtRes!Y51*Source!I119</f>
        <v>0.19800000000000001</v>
      </c>
      <c r="J50">
        <f>SmtRes!AO51</f>
        <v>1</v>
      </c>
      <c r="K50">
        <f>SmtRes!AE51</f>
        <v>26.09</v>
      </c>
      <c r="L50">
        <f>SmtRes!DB51</f>
        <v>9.39</v>
      </c>
      <c r="M50">
        <f>ROUND(ROUND(L50*Source!I119, 6)*1, 2)</f>
        <v>5.16</v>
      </c>
      <c r="N50">
        <f>SmtRes!AA51</f>
        <v>26.09</v>
      </c>
      <c r="O50">
        <f>ROUND(ROUND(L50*Source!I119, 6)*SmtRes!DA51, 2)</f>
        <v>5.16</v>
      </c>
      <c r="P50">
        <f>SmtRes!AG51</f>
        <v>0</v>
      </c>
      <c r="Q50">
        <f>SmtRes!DC51</f>
        <v>0</v>
      </c>
      <c r="R50">
        <f>ROUND(ROUND(Q50*Source!I119, 6)*1, 2)</f>
        <v>0</v>
      </c>
      <c r="S50">
        <f>SmtRes!AC51</f>
        <v>0</v>
      </c>
      <c r="T50">
        <f>ROUND(ROUND(Q50*Source!I119, 6)*SmtRes!AK51, 2)</f>
        <v>0</v>
      </c>
      <c r="U50">
        <v>3</v>
      </c>
      <c r="Z50">
        <f>SmtRes!X51</f>
        <v>1118017035</v>
      </c>
      <c r="AA50">
        <v>777677002</v>
      </c>
      <c r="AB50">
        <v>777677002</v>
      </c>
    </row>
    <row r="51" spans="1:28" x14ac:dyDescent="0.2">
      <c r="A51">
        <f>Source!A151</f>
        <v>5</v>
      </c>
      <c r="B51">
        <v>151</v>
      </c>
      <c r="G51" t="str">
        <f>Source!G151</f>
        <v>Окна</v>
      </c>
    </row>
    <row r="52" spans="1:28" x14ac:dyDescent="0.2">
      <c r="A52">
        <v>20</v>
      </c>
      <c r="B52">
        <v>66</v>
      </c>
      <c r="C52">
        <v>3</v>
      </c>
      <c r="D52">
        <v>0</v>
      </c>
      <c r="E52">
        <f>SmtRes!AV66</f>
        <v>0</v>
      </c>
      <c r="F52" t="str">
        <f>SmtRes!I66</f>
        <v>21.1-25-85</v>
      </c>
      <c r="G52" t="str">
        <f>SmtRes!K66</f>
        <v>Клей акриловый универсальный, водостойкий</v>
      </c>
      <c r="H52" t="str">
        <f>SmtRes!O66</f>
        <v>л</v>
      </c>
      <c r="I52">
        <f>SmtRes!Y66*Source!I157</f>
        <v>7.0109999999999992E-2</v>
      </c>
      <c r="J52">
        <f>SmtRes!AO66</f>
        <v>1</v>
      </c>
      <c r="K52">
        <f>SmtRes!AE66</f>
        <v>594.64</v>
      </c>
      <c r="L52">
        <f>SmtRes!DB66</f>
        <v>338.94</v>
      </c>
      <c r="M52">
        <f>ROUND(ROUND(L52*Source!I157, 6)*1, 2)</f>
        <v>41.69</v>
      </c>
      <c r="N52">
        <f>SmtRes!AA66</f>
        <v>594.64</v>
      </c>
      <c r="O52">
        <f>ROUND(ROUND(L52*Source!I157, 6)*SmtRes!DA66, 2)</f>
        <v>41.69</v>
      </c>
      <c r="P52">
        <f>SmtRes!AG66</f>
        <v>0</v>
      </c>
      <c r="Q52">
        <f>SmtRes!DC66</f>
        <v>0</v>
      </c>
      <c r="R52">
        <f>ROUND(ROUND(Q52*Source!I157, 6)*1, 2)</f>
        <v>0</v>
      </c>
      <c r="S52">
        <f>SmtRes!AC66</f>
        <v>0</v>
      </c>
      <c r="T52">
        <f>ROUND(ROUND(Q52*Source!I157, 6)*SmtRes!AK66, 2)</f>
        <v>0</v>
      </c>
      <c r="U52">
        <v>3</v>
      </c>
      <c r="Z52">
        <f>SmtRes!X66</f>
        <v>2116147259</v>
      </c>
      <c r="AA52">
        <v>809103601</v>
      </c>
      <c r="AB52">
        <v>809103601</v>
      </c>
    </row>
    <row r="53" spans="1:28" x14ac:dyDescent="0.2">
      <c r="A53">
        <v>20</v>
      </c>
      <c r="B53">
        <v>65</v>
      </c>
      <c r="C53">
        <v>3</v>
      </c>
      <c r="D53">
        <v>0</v>
      </c>
      <c r="E53">
        <f>SmtRes!AV65</f>
        <v>0</v>
      </c>
      <c r="F53" t="str">
        <f>SmtRes!I65</f>
        <v>21.1-25-152</v>
      </c>
      <c r="G53" t="str">
        <f>SmtRes!K65</f>
        <v>Лента-скотч малярный, ширина 50 мм</v>
      </c>
      <c r="H53" t="str">
        <f>SmtRes!O65</f>
        <v>м</v>
      </c>
      <c r="I53">
        <f>SmtRes!Y65*Source!I157</f>
        <v>1.599</v>
      </c>
      <c r="J53">
        <f>SmtRes!AO65</f>
        <v>1</v>
      </c>
      <c r="K53">
        <f>SmtRes!AE65</f>
        <v>2.2400000000000002</v>
      </c>
      <c r="L53">
        <f>SmtRes!DB65</f>
        <v>29.12</v>
      </c>
      <c r="M53">
        <f>ROUND(ROUND(L53*Source!I157, 6)*1, 2)</f>
        <v>3.58</v>
      </c>
      <c r="N53">
        <f>SmtRes!AA65</f>
        <v>2.2400000000000002</v>
      </c>
      <c r="O53">
        <f>ROUND(ROUND(L53*Source!I157, 6)*SmtRes!DA65, 2)</f>
        <v>3.58</v>
      </c>
      <c r="P53">
        <f>SmtRes!AG65</f>
        <v>0</v>
      </c>
      <c r="Q53">
        <f>SmtRes!DC65</f>
        <v>0</v>
      </c>
      <c r="R53">
        <f>ROUND(ROUND(Q53*Source!I157, 6)*1, 2)</f>
        <v>0</v>
      </c>
      <c r="S53">
        <f>SmtRes!AC65</f>
        <v>0</v>
      </c>
      <c r="T53">
        <f>ROUND(ROUND(Q53*Source!I157, 6)*SmtRes!AK65, 2)</f>
        <v>0</v>
      </c>
      <c r="U53">
        <v>3</v>
      </c>
      <c r="Z53">
        <f>SmtRes!X65</f>
        <v>1792308677</v>
      </c>
      <c r="AA53">
        <v>-2134427384</v>
      </c>
      <c r="AB53">
        <v>-2134427384</v>
      </c>
    </row>
    <row r="54" spans="1:28" x14ac:dyDescent="0.2">
      <c r="A54">
        <f>Source!A158</f>
        <v>18</v>
      </c>
      <c r="B54">
        <v>158</v>
      </c>
      <c r="C54">
        <v>3</v>
      </c>
      <c r="D54">
        <f>Source!BI158</f>
        <v>4</v>
      </c>
      <c r="E54">
        <f>Source!FS158</f>
        <v>0</v>
      </c>
      <c r="F54" t="str">
        <f>Source!F158</f>
        <v>21.1-25-1068</v>
      </c>
      <c r="G54" t="str">
        <f>Source!G158</f>
        <v>Уголки поливинилхлоридные декоративные для внутренней облицовки, внешние, размеры 40х40 мм, белые</v>
      </c>
      <c r="H54" t="str">
        <f>Source!H158</f>
        <v>м</v>
      </c>
      <c r="I54">
        <f>Source!I158</f>
        <v>12.423</v>
      </c>
      <c r="J54">
        <v>1</v>
      </c>
      <c r="K54">
        <f>Source!AC158</f>
        <v>28.54</v>
      </c>
      <c r="M54">
        <f>ROUND(K54*I54, 2)</f>
        <v>354.55</v>
      </c>
      <c r="N54">
        <f>Source!AC158*IF(Source!BC158&lt;&gt; 0, Source!BC158, 1)</f>
        <v>28.54</v>
      </c>
      <c r="O54">
        <f>ROUND(N54*I54, 2)</f>
        <v>354.55</v>
      </c>
      <c r="P54">
        <f>Source!AE158</f>
        <v>0</v>
      </c>
      <c r="R54">
        <f>ROUND(P54*I54, 2)</f>
        <v>0</v>
      </c>
      <c r="S54">
        <f>Source!AE158*IF(Source!BS158&lt;&gt; 0, Source!BS158, 1)</f>
        <v>0</v>
      </c>
      <c r="T54">
        <f>ROUND(S54*I54, 2)</f>
        <v>0</v>
      </c>
      <c r="U54">
        <v>3</v>
      </c>
      <c r="Z54">
        <f>Source!GF158</f>
        <v>170470939</v>
      </c>
      <c r="AA54">
        <v>53392314</v>
      </c>
      <c r="AB54">
        <v>53392314</v>
      </c>
    </row>
    <row r="55" spans="1:28" x14ac:dyDescent="0.2">
      <c r="A55">
        <v>20</v>
      </c>
      <c r="B55">
        <v>70</v>
      </c>
      <c r="C55">
        <v>3</v>
      </c>
      <c r="D55">
        <v>0</v>
      </c>
      <c r="E55">
        <f>SmtRes!AV70</f>
        <v>0</v>
      </c>
      <c r="F55" t="str">
        <f>SmtRes!I70</f>
        <v>21.1-25-85</v>
      </c>
      <c r="G55" t="str">
        <f>SmtRes!K70</f>
        <v>Клей акриловый универсальный, водостойкий</v>
      </c>
      <c r="H55" t="str">
        <f>SmtRes!O70</f>
        <v>л</v>
      </c>
      <c r="I55">
        <f>SmtRes!Y70*Source!I159</f>
        <v>4.1039999999999993E-2</v>
      </c>
      <c r="J55">
        <f>SmtRes!AO70</f>
        <v>1</v>
      </c>
      <c r="K55">
        <f>SmtRes!AE70</f>
        <v>594.64</v>
      </c>
      <c r="L55">
        <f>SmtRes!DB70</f>
        <v>338.94</v>
      </c>
      <c r="M55">
        <f>ROUND(ROUND(L55*Source!I159, 6)*1, 2)</f>
        <v>24.4</v>
      </c>
      <c r="N55">
        <f>SmtRes!AA70</f>
        <v>594.64</v>
      </c>
      <c r="O55">
        <f>ROUND(ROUND(L55*Source!I159, 6)*SmtRes!DA70, 2)</f>
        <v>24.4</v>
      </c>
      <c r="P55">
        <f>SmtRes!AG70</f>
        <v>0</v>
      </c>
      <c r="Q55">
        <f>SmtRes!DC70</f>
        <v>0</v>
      </c>
      <c r="R55">
        <f>ROUND(ROUND(Q55*Source!I159, 6)*1, 2)</f>
        <v>0</v>
      </c>
      <c r="S55">
        <f>SmtRes!AC70</f>
        <v>0</v>
      </c>
      <c r="T55">
        <f>ROUND(ROUND(Q55*Source!I159, 6)*SmtRes!AK70, 2)</f>
        <v>0</v>
      </c>
      <c r="U55">
        <v>3</v>
      </c>
      <c r="Z55">
        <f>SmtRes!X70</f>
        <v>2116147259</v>
      </c>
      <c r="AA55">
        <v>809103601</v>
      </c>
      <c r="AB55">
        <v>809103601</v>
      </c>
    </row>
    <row r="56" spans="1:28" x14ac:dyDescent="0.2">
      <c r="A56">
        <v>20</v>
      </c>
      <c r="B56">
        <v>69</v>
      </c>
      <c r="C56">
        <v>3</v>
      </c>
      <c r="D56">
        <v>0</v>
      </c>
      <c r="E56">
        <f>SmtRes!AV69</f>
        <v>0</v>
      </c>
      <c r="F56" t="str">
        <f>SmtRes!I69</f>
        <v>21.1-25-152</v>
      </c>
      <c r="G56" t="str">
        <f>SmtRes!K69</f>
        <v>Лента-скотч малярный, ширина 50 мм</v>
      </c>
      <c r="H56" t="str">
        <f>SmtRes!O69</f>
        <v>м</v>
      </c>
      <c r="I56">
        <f>SmtRes!Y69*Source!I159</f>
        <v>0.93599999999999994</v>
      </c>
      <c r="J56">
        <f>SmtRes!AO69</f>
        <v>1</v>
      </c>
      <c r="K56">
        <f>SmtRes!AE69</f>
        <v>2.2400000000000002</v>
      </c>
      <c r="L56">
        <f>SmtRes!DB69</f>
        <v>29.12</v>
      </c>
      <c r="M56">
        <f>ROUND(ROUND(L56*Source!I159, 6)*1, 2)</f>
        <v>2.1</v>
      </c>
      <c r="N56">
        <f>SmtRes!AA69</f>
        <v>2.2400000000000002</v>
      </c>
      <c r="O56">
        <f>ROUND(ROUND(L56*Source!I159, 6)*SmtRes!DA69, 2)</f>
        <v>2.1</v>
      </c>
      <c r="P56">
        <f>SmtRes!AG69</f>
        <v>0</v>
      </c>
      <c r="Q56">
        <f>SmtRes!DC69</f>
        <v>0</v>
      </c>
      <c r="R56">
        <f>ROUND(ROUND(Q56*Source!I159, 6)*1, 2)</f>
        <v>0</v>
      </c>
      <c r="S56">
        <f>SmtRes!AC69</f>
        <v>0</v>
      </c>
      <c r="T56">
        <f>ROUND(ROUND(Q56*Source!I159, 6)*SmtRes!AK69, 2)</f>
        <v>0</v>
      </c>
      <c r="U56">
        <v>3</v>
      </c>
      <c r="Z56">
        <f>SmtRes!X69</f>
        <v>1792308677</v>
      </c>
      <c r="AA56">
        <v>-2134427384</v>
      </c>
      <c r="AB56">
        <v>-2134427384</v>
      </c>
    </row>
    <row r="57" spans="1:28" x14ac:dyDescent="0.2">
      <c r="A57">
        <f>Source!A160</f>
        <v>18</v>
      </c>
      <c r="B57">
        <v>160</v>
      </c>
      <c r="C57">
        <v>3</v>
      </c>
      <c r="D57">
        <f>Source!BI160</f>
        <v>4</v>
      </c>
      <c r="E57">
        <f>Source!FS160</f>
        <v>0</v>
      </c>
      <c r="F57" t="str">
        <f>Source!F160</f>
        <v>21.1-25-1068</v>
      </c>
      <c r="G57" t="str">
        <f>Source!G160</f>
        <v>Уголки поливинилхлоридные декоративные для внутренней облицовки, внешние, размеры 40х40 мм, белые</v>
      </c>
      <c r="H57" t="str">
        <f>Source!H160</f>
        <v>м</v>
      </c>
      <c r="I57">
        <f>Source!I160</f>
        <v>7.2720000000000002</v>
      </c>
      <c r="J57">
        <v>1</v>
      </c>
      <c r="K57">
        <f>Source!AC160</f>
        <v>28.54</v>
      </c>
      <c r="M57">
        <f>ROUND(K57*I57, 2)</f>
        <v>207.54</v>
      </c>
      <c r="N57">
        <f>Source!AC160*IF(Source!BC160&lt;&gt; 0, Source!BC160, 1)</f>
        <v>28.54</v>
      </c>
      <c r="O57">
        <f>ROUND(N57*I57, 2)</f>
        <v>207.54</v>
      </c>
      <c r="P57">
        <f>Source!AE160</f>
        <v>0</v>
      </c>
      <c r="R57">
        <f>ROUND(P57*I57, 2)</f>
        <v>0</v>
      </c>
      <c r="S57">
        <f>Source!AE160*IF(Source!BS160&lt;&gt; 0, Source!BS160, 1)</f>
        <v>0</v>
      </c>
      <c r="T57">
        <f>ROUND(S57*I57, 2)</f>
        <v>0</v>
      </c>
      <c r="U57">
        <v>3</v>
      </c>
      <c r="Z57">
        <f>Source!GF160</f>
        <v>170470939</v>
      </c>
      <c r="AA57">
        <v>53392314</v>
      </c>
      <c r="AB57">
        <v>53392314</v>
      </c>
    </row>
    <row r="58" spans="1:28" x14ac:dyDescent="0.2">
      <c r="A58">
        <f>Source!A192</f>
        <v>5</v>
      </c>
      <c r="B58">
        <v>192</v>
      </c>
      <c r="G58" t="str">
        <f>Source!G192</f>
        <v>Инженерные сети</v>
      </c>
    </row>
    <row r="59" spans="1:28" x14ac:dyDescent="0.2">
      <c r="A59">
        <v>20</v>
      </c>
      <c r="B59">
        <v>76</v>
      </c>
      <c r="C59">
        <v>3</v>
      </c>
      <c r="D59">
        <v>0</v>
      </c>
      <c r="E59">
        <f>SmtRes!AV76</f>
        <v>0</v>
      </c>
      <c r="F59" t="str">
        <f>SmtRes!I76</f>
        <v>21.9-12-46</v>
      </c>
      <c r="G59" t="str">
        <f>SmtRes!K76</f>
        <v>Раскладки хвойных пород, окрашенные, сечение 19х13(24) мм</v>
      </c>
      <c r="H59" t="str">
        <f>SmtRes!O76</f>
        <v>м</v>
      </c>
      <c r="I59">
        <f>SmtRes!Y76*Source!I197</f>
        <v>4</v>
      </c>
      <c r="J59">
        <f>SmtRes!AO76</f>
        <v>1</v>
      </c>
      <c r="K59">
        <f>SmtRes!AE76</f>
        <v>27.14</v>
      </c>
      <c r="L59">
        <f>SmtRes!DB76</f>
        <v>10856</v>
      </c>
      <c r="M59">
        <f>ROUND(ROUND(L59*Source!I197, 6)*1, 2)</f>
        <v>108.56</v>
      </c>
      <c r="N59">
        <f>SmtRes!AA76</f>
        <v>27.14</v>
      </c>
      <c r="O59">
        <f>ROUND(ROUND(L59*Source!I197, 6)*SmtRes!DA76, 2)</f>
        <v>108.56</v>
      </c>
      <c r="P59">
        <f>SmtRes!AG76</f>
        <v>0</v>
      </c>
      <c r="Q59">
        <f>SmtRes!DC76</f>
        <v>0</v>
      </c>
      <c r="R59">
        <f>ROUND(ROUND(Q59*Source!I197, 6)*1, 2)</f>
        <v>0</v>
      </c>
      <c r="S59">
        <f>SmtRes!AC76</f>
        <v>0</v>
      </c>
      <c r="T59">
        <f>ROUND(ROUND(Q59*Source!I197, 6)*SmtRes!AK76, 2)</f>
        <v>0</v>
      </c>
      <c r="U59">
        <v>3</v>
      </c>
      <c r="Z59">
        <f>SmtRes!X76</f>
        <v>-1908336614</v>
      </c>
      <c r="AA59">
        <v>895668758</v>
      </c>
      <c r="AB59">
        <v>895668758</v>
      </c>
    </row>
    <row r="60" spans="1:28" x14ac:dyDescent="0.2">
      <c r="A60">
        <v>20</v>
      </c>
      <c r="B60">
        <v>75</v>
      </c>
      <c r="C60">
        <v>3</v>
      </c>
      <c r="D60">
        <v>0</v>
      </c>
      <c r="E60">
        <f>SmtRes!AV75</f>
        <v>0</v>
      </c>
      <c r="F60" t="str">
        <f>SmtRes!I75</f>
        <v>21.1-11-84</v>
      </c>
      <c r="G60" t="str">
        <f>SmtRes!K75</f>
        <v>Поковки строительные (скобы, закрепы, хомуты) простые, масса 1,8 кг</v>
      </c>
      <c r="H60" t="str">
        <f>SmtRes!O75</f>
        <v>т</v>
      </c>
      <c r="I60">
        <f>SmtRes!Y75*Source!I197</f>
        <v>3.5000000000000005E-4</v>
      </c>
      <c r="J60">
        <f>SmtRes!AO75</f>
        <v>1</v>
      </c>
      <c r="K60">
        <f>SmtRes!AE75</f>
        <v>87313.75</v>
      </c>
      <c r="L60">
        <f>SmtRes!DB75</f>
        <v>3055.98</v>
      </c>
      <c r="M60">
        <f>ROUND(ROUND(L60*Source!I197, 6)*1, 2)</f>
        <v>30.56</v>
      </c>
      <c r="N60">
        <f>SmtRes!AA75</f>
        <v>87313.75</v>
      </c>
      <c r="O60">
        <f>ROUND(ROUND(L60*Source!I197, 6)*SmtRes!DA75, 2)</f>
        <v>30.56</v>
      </c>
      <c r="P60">
        <f>SmtRes!AG75</f>
        <v>0</v>
      </c>
      <c r="Q60">
        <f>SmtRes!DC75</f>
        <v>0</v>
      </c>
      <c r="R60">
        <f>ROUND(ROUND(Q60*Source!I197, 6)*1, 2)</f>
        <v>0</v>
      </c>
      <c r="S60">
        <f>SmtRes!AC75</f>
        <v>0</v>
      </c>
      <c r="T60">
        <f>ROUND(ROUND(Q60*Source!I197, 6)*SmtRes!AK75, 2)</f>
        <v>0</v>
      </c>
      <c r="U60">
        <v>3</v>
      </c>
      <c r="Z60">
        <f>SmtRes!X75</f>
        <v>-1980536396</v>
      </c>
      <c r="AA60">
        <v>1251560671</v>
      </c>
      <c r="AB60">
        <v>1251560671</v>
      </c>
    </row>
    <row r="61" spans="1:28" x14ac:dyDescent="0.2">
      <c r="A61">
        <v>20</v>
      </c>
      <c r="B61">
        <v>74</v>
      </c>
      <c r="C61">
        <v>3</v>
      </c>
      <c r="D61">
        <v>0</v>
      </c>
      <c r="E61">
        <f>SmtRes!AV74</f>
        <v>0</v>
      </c>
      <c r="F61" t="str">
        <f>SmtRes!I74</f>
        <v>21.1-11-46</v>
      </c>
      <c r="G61" t="str">
        <f>SmtRes!K74</f>
        <v>Гвозди строительные</v>
      </c>
      <c r="H61" t="str">
        <f>SmtRes!O74</f>
        <v>т</v>
      </c>
      <c r="I61">
        <f>SmtRes!Y74*Source!I197</f>
        <v>1.2E-4</v>
      </c>
      <c r="J61">
        <f>SmtRes!AO74</f>
        <v>1</v>
      </c>
      <c r="K61">
        <f>SmtRes!AE74</f>
        <v>95976.83</v>
      </c>
      <c r="L61">
        <f>SmtRes!DB74</f>
        <v>1151.72</v>
      </c>
      <c r="M61">
        <f>ROUND(ROUND(L61*Source!I197, 6)*1, 2)</f>
        <v>11.52</v>
      </c>
      <c r="N61">
        <f>SmtRes!AA74</f>
        <v>95976.83</v>
      </c>
      <c r="O61">
        <f>ROUND(ROUND(L61*Source!I197, 6)*SmtRes!DA74, 2)</f>
        <v>11.52</v>
      </c>
      <c r="P61">
        <f>SmtRes!AG74</f>
        <v>0</v>
      </c>
      <c r="Q61">
        <f>SmtRes!DC74</f>
        <v>0</v>
      </c>
      <c r="R61">
        <f>ROUND(ROUND(Q61*Source!I197, 6)*1, 2)</f>
        <v>0</v>
      </c>
      <c r="S61">
        <f>SmtRes!AC74</f>
        <v>0</v>
      </c>
      <c r="T61">
        <f>ROUND(ROUND(Q61*Source!I197, 6)*SmtRes!AK74, 2)</f>
        <v>0</v>
      </c>
      <c r="U61">
        <v>3</v>
      </c>
      <c r="Z61">
        <f>SmtRes!X74</f>
        <v>-799169102</v>
      </c>
      <c r="AA61">
        <v>1916598461</v>
      </c>
      <c r="AB61">
        <v>1916598461</v>
      </c>
    </row>
    <row r="62" spans="1:28" x14ac:dyDescent="0.2">
      <c r="A62">
        <v>20</v>
      </c>
      <c r="B62">
        <v>88</v>
      </c>
      <c r="C62">
        <v>3</v>
      </c>
      <c r="D62">
        <v>0</v>
      </c>
      <c r="E62">
        <f>SmtRes!AV88</f>
        <v>0</v>
      </c>
      <c r="F62" t="str">
        <f>SmtRes!I88</f>
        <v>21.17-2-15</v>
      </c>
      <c r="G62" t="str">
        <f>SmtRes!K88</f>
        <v>Сифоны бутылочные из цветных металлов, латунные</v>
      </c>
      <c r="H62" t="str">
        <f>SmtRes!O88</f>
        <v>шт.</v>
      </c>
      <c r="I62">
        <f>SmtRes!Y88*Source!I198</f>
        <v>1</v>
      </c>
      <c r="J62">
        <f>SmtRes!AO88</f>
        <v>1</v>
      </c>
      <c r="K62">
        <f>SmtRes!AE88</f>
        <v>603.87</v>
      </c>
      <c r="L62">
        <f>SmtRes!DB88</f>
        <v>603.87</v>
      </c>
      <c r="M62">
        <f>ROUND(ROUND(L62*Source!I198, 6)*1, 2)</f>
        <v>603.87</v>
      </c>
      <c r="N62">
        <f>SmtRes!AA88</f>
        <v>603.87</v>
      </c>
      <c r="O62">
        <f>ROUND(ROUND(L62*Source!I198, 6)*SmtRes!DA88, 2)</f>
        <v>603.87</v>
      </c>
      <c r="P62">
        <f>SmtRes!AG88</f>
        <v>0</v>
      </c>
      <c r="Q62">
        <f>SmtRes!DC88</f>
        <v>0</v>
      </c>
      <c r="R62">
        <f>ROUND(ROUND(Q62*Source!I198, 6)*1, 2)</f>
        <v>0</v>
      </c>
      <c r="S62">
        <f>SmtRes!AC88</f>
        <v>0</v>
      </c>
      <c r="T62">
        <f>ROUND(ROUND(Q62*Source!I198, 6)*SmtRes!AK88, 2)</f>
        <v>0</v>
      </c>
      <c r="U62">
        <v>3</v>
      </c>
      <c r="Z62">
        <f>SmtRes!X88</f>
        <v>530957503</v>
      </c>
      <c r="AA62">
        <v>794469052</v>
      </c>
      <c r="AB62">
        <v>794469052</v>
      </c>
    </row>
    <row r="63" spans="1:28" x14ac:dyDescent="0.2">
      <c r="A63">
        <v>20</v>
      </c>
      <c r="B63">
        <v>87</v>
      </c>
      <c r="C63">
        <v>3</v>
      </c>
      <c r="D63">
        <v>0</v>
      </c>
      <c r="E63">
        <f>SmtRes!AV87</f>
        <v>0</v>
      </c>
      <c r="F63" t="str">
        <f>SmtRes!I87</f>
        <v>21.17-2-12</v>
      </c>
      <c r="G63" t="str">
        <f>SmtRes!K87</f>
        <v>Кронштейны чугунные для умывальников и моек скрытый большой КСБ, длина 320 мм</v>
      </c>
      <c r="H63" t="str">
        <f>SmtRes!O87</f>
        <v>шт.</v>
      </c>
      <c r="I63">
        <f>SmtRes!Y87*Source!I198</f>
        <v>2</v>
      </c>
      <c r="J63">
        <f>SmtRes!AO87</f>
        <v>1</v>
      </c>
      <c r="K63">
        <f>SmtRes!AE87</f>
        <v>271.39999999999998</v>
      </c>
      <c r="L63">
        <f>SmtRes!DB87</f>
        <v>542.79999999999995</v>
      </c>
      <c r="M63">
        <f>ROUND(ROUND(L63*Source!I198, 6)*1, 2)</f>
        <v>542.79999999999995</v>
      </c>
      <c r="N63">
        <f>SmtRes!AA87</f>
        <v>271.39999999999998</v>
      </c>
      <c r="O63">
        <f>ROUND(ROUND(L63*Source!I198, 6)*SmtRes!DA87, 2)</f>
        <v>542.79999999999995</v>
      </c>
      <c r="P63">
        <f>SmtRes!AG87</f>
        <v>0</v>
      </c>
      <c r="Q63">
        <f>SmtRes!DC87</f>
        <v>0</v>
      </c>
      <c r="R63">
        <f>ROUND(ROUND(Q63*Source!I198, 6)*1, 2)</f>
        <v>0</v>
      </c>
      <c r="S63">
        <f>SmtRes!AC87</f>
        <v>0</v>
      </c>
      <c r="T63">
        <f>ROUND(ROUND(Q63*Source!I198, 6)*SmtRes!AK87, 2)</f>
        <v>0</v>
      </c>
      <c r="U63">
        <v>3</v>
      </c>
      <c r="Z63">
        <f>SmtRes!X87</f>
        <v>911396742</v>
      </c>
      <c r="AA63">
        <v>496642280</v>
      </c>
      <c r="AB63">
        <v>496642280</v>
      </c>
    </row>
    <row r="64" spans="1:28" x14ac:dyDescent="0.2">
      <c r="A64">
        <v>20</v>
      </c>
      <c r="B64">
        <v>85</v>
      </c>
      <c r="C64">
        <v>3</v>
      </c>
      <c r="D64">
        <v>0</v>
      </c>
      <c r="E64">
        <f>SmtRes!AV85</f>
        <v>0</v>
      </c>
      <c r="F64" t="str">
        <f>SmtRes!I85</f>
        <v>21.1-6-90</v>
      </c>
      <c r="G64" t="str">
        <f>SmtRes!K85</f>
        <v>Олифа для окраски комбинированная оксоль</v>
      </c>
      <c r="H64" t="str">
        <f>SmtRes!O85</f>
        <v>кг</v>
      </c>
      <c r="I64">
        <f>SmtRes!Y85*Source!I198</f>
        <v>0.04</v>
      </c>
      <c r="J64">
        <f>SmtRes!AO85</f>
        <v>1</v>
      </c>
      <c r="K64">
        <f>SmtRes!AE85</f>
        <v>99.65</v>
      </c>
      <c r="L64">
        <f>SmtRes!DB85</f>
        <v>3.99</v>
      </c>
      <c r="M64">
        <f>ROUND(ROUND(L64*Source!I198, 6)*1, 2)</f>
        <v>3.99</v>
      </c>
      <c r="N64">
        <f>SmtRes!AA85</f>
        <v>99.65</v>
      </c>
      <c r="O64">
        <f>ROUND(ROUND(L64*Source!I198, 6)*SmtRes!DA85, 2)</f>
        <v>3.99</v>
      </c>
      <c r="P64">
        <f>SmtRes!AG85</f>
        <v>0</v>
      </c>
      <c r="Q64">
        <f>SmtRes!DC85</f>
        <v>0</v>
      </c>
      <c r="R64">
        <f>ROUND(ROUND(Q64*Source!I198, 6)*1, 2)</f>
        <v>0</v>
      </c>
      <c r="S64">
        <f>SmtRes!AC85</f>
        <v>0</v>
      </c>
      <c r="T64">
        <f>ROUND(ROUND(Q64*Source!I198, 6)*SmtRes!AK85, 2)</f>
        <v>0</v>
      </c>
      <c r="U64">
        <v>3</v>
      </c>
      <c r="Z64">
        <f>SmtRes!X85</f>
        <v>720467407</v>
      </c>
      <c r="AA64">
        <v>541381503</v>
      </c>
      <c r="AB64">
        <v>541381503</v>
      </c>
    </row>
    <row r="65" spans="1:28" x14ac:dyDescent="0.2">
      <c r="A65">
        <v>20</v>
      </c>
      <c r="B65">
        <v>84</v>
      </c>
      <c r="C65">
        <v>3</v>
      </c>
      <c r="D65">
        <v>0</v>
      </c>
      <c r="E65">
        <f>SmtRes!AV84</f>
        <v>0</v>
      </c>
      <c r="F65" t="str">
        <f>SmtRes!I84</f>
        <v>21.1-6-46</v>
      </c>
      <c r="G65" t="str">
        <f>SmtRes!K84</f>
        <v>Краски масляные жидкотертые цветные (готовые к употреблению) для наружных и внутренних работ, марка МА-15, сурик железный для окраски по металлу</v>
      </c>
      <c r="H65" t="str">
        <f>SmtRes!O84</f>
        <v>т</v>
      </c>
      <c r="I65">
        <f>SmtRes!Y84*Source!I198</f>
        <v>3.8000000000000002E-4</v>
      </c>
      <c r="J65">
        <f>SmtRes!AO84</f>
        <v>1</v>
      </c>
      <c r="K65">
        <f>SmtRes!AE84</f>
        <v>91558.65</v>
      </c>
      <c r="L65">
        <f>SmtRes!DB84</f>
        <v>34.79</v>
      </c>
      <c r="M65">
        <f>ROUND(ROUND(L65*Source!I198, 6)*1, 2)</f>
        <v>34.79</v>
      </c>
      <c r="N65">
        <f>SmtRes!AA84</f>
        <v>91558.65</v>
      </c>
      <c r="O65">
        <f>ROUND(ROUND(L65*Source!I198, 6)*SmtRes!DA84, 2)</f>
        <v>34.79</v>
      </c>
      <c r="P65">
        <f>SmtRes!AG84</f>
        <v>0</v>
      </c>
      <c r="Q65">
        <f>SmtRes!DC84</f>
        <v>0</v>
      </c>
      <c r="R65">
        <f>ROUND(ROUND(Q65*Source!I198, 6)*1, 2)</f>
        <v>0</v>
      </c>
      <c r="S65">
        <f>SmtRes!AC84</f>
        <v>0</v>
      </c>
      <c r="T65">
        <f>ROUND(ROUND(Q65*Source!I198, 6)*SmtRes!AK84, 2)</f>
        <v>0</v>
      </c>
      <c r="U65">
        <v>3</v>
      </c>
      <c r="Z65">
        <f>SmtRes!X84</f>
        <v>169962723</v>
      </c>
      <c r="AA65">
        <v>913770738</v>
      </c>
      <c r="AB65">
        <v>913770738</v>
      </c>
    </row>
    <row r="66" spans="1:28" x14ac:dyDescent="0.2">
      <c r="A66">
        <v>20</v>
      </c>
      <c r="B66">
        <v>83</v>
      </c>
      <c r="C66">
        <v>3</v>
      </c>
      <c r="D66">
        <v>0</v>
      </c>
      <c r="E66">
        <f>SmtRes!AV83</f>
        <v>0</v>
      </c>
      <c r="F66" t="str">
        <f>SmtRes!I83</f>
        <v>21.1-25-56</v>
      </c>
      <c r="G66" t="str">
        <f>SmtRes!K83</f>
        <v>Замазка суриковая</v>
      </c>
      <c r="H66" t="str">
        <f>SmtRes!O83</f>
        <v>т</v>
      </c>
      <c r="I66">
        <f>SmtRes!Y83*Source!I198</f>
        <v>2.0000000000000001E-4</v>
      </c>
      <c r="J66">
        <f>SmtRes!AO83</f>
        <v>1</v>
      </c>
      <c r="K66">
        <f>SmtRes!AE83</f>
        <v>58866.75</v>
      </c>
      <c r="L66">
        <f>SmtRes!DB83</f>
        <v>11.77</v>
      </c>
      <c r="M66">
        <f>ROUND(ROUND(L66*Source!I198, 6)*1, 2)</f>
        <v>11.77</v>
      </c>
      <c r="N66">
        <f>SmtRes!AA83</f>
        <v>58866.75</v>
      </c>
      <c r="O66">
        <f>ROUND(ROUND(L66*Source!I198, 6)*SmtRes!DA83, 2)</f>
        <v>11.77</v>
      </c>
      <c r="P66">
        <f>SmtRes!AG83</f>
        <v>0</v>
      </c>
      <c r="Q66">
        <f>SmtRes!DC83</f>
        <v>0</v>
      </c>
      <c r="R66">
        <f>ROUND(ROUND(Q66*Source!I198, 6)*1, 2)</f>
        <v>0</v>
      </c>
      <c r="S66">
        <f>SmtRes!AC83</f>
        <v>0</v>
      </c>
      <c r="T66">
        <f>ROUND(ROUND(Q66*Source!I198, 6)*SmtRes!AK83, 2)</f>
        <v>0</v>
      </c>
      <c r="U66">
        <v>3</v>
      </c>
      <c r="Z66">
        <f>SmtRes!X83</f>
        <v>-1019129760</v>
      </c>
      <c r="AA66">
        <v>109297667</v>
      </c>
      <c r="AB66">
        <v>109297667</v>
      </c>
    </row>
    <row r="67" spans="1:28" x14ac:dyDescent="0.2">
      <c r="A67">
        <v>20</v>
      </c>
      <c r="B67">
        <v>82</v>
      </c>
      <c r="C67">
        <v>3</v>
      </c>
      <c r="D67">
        <v>0</v>
      </c>
      <c r="E67">
        <f>SmtRes!AV82</f>
        <v>0</v>
      </c>
      <c r="F67" t="str">
        <f>SmtRes!I82</f>
        <v>21.1-25-16</v>
      </c>
      <c r="G67" t="str">
        <f>SmtRes!K82</f>
        <v>Волокно льняное №11 для уплотнения резьбовых соединений при монтаже систем водоснабжения и отопления</v>
      </c>
      <c r="H67" t="str">
        <f>SmtRes!O82</f>
        <v>кг</v>
      </c>
      <c r="I67">
        <f>SmtRes!Y82*Source!I198</f>
        <v>0.03</v>
      </c>
      <c r="J67">
        <f>SmtRes!AO82</f>
        <v>1</v>
      </c>
      <c r="K67">
        <f>SmtRes!AE82</f>
        <v>656.56</v>
      </c>
      <c r="L67">
        <f>SmtRes!DB82</f>
        <v>19.7</v>
      </c>
      <c r="M67">
        <f>ROUND(ROUND(L67*Source!I198, 6)*1, 2)</f>
        <v>19.7</v>
      </c>
      <c r="N67">
        <f>SmtRes!AA82</f>
        <v>656.56</v>
      </c>
      <c r="O67">
        <f>ROUND(ROUND(L67*Source!I198, 6)*SmtRes!DA82, 2)</f>
        <v>19.7</v>
      </c>
      <c r="P67">
        <f>SmtRes!AG82</f>
        <v>0</v>
      </c>
      <c r="Q67">
        <f>SmtRes!DC82</f>
        <v>0</v>
      </c>
      <c r="R67">
        <f>ROUND(ROUND(Q67*Source!I198, 6)*1, 2)</f>
        <v>0</v>
      </c>
      <c r="S67">
        <f>SmtRes!AC82</f>
        <v>0</v>
      </c>
      <c r="T67">
        <f>ROUND(ROUND(Q67*Source!I198, 6)*SmtRes!AK82, 2)</f>
        <v>0</v>
      </c>
      <c r="U67">
        <v>3</v>
      </c>
      <c r="Z67">
        <f>SmtRes!X82</f>
        <v>-901272518</v>
      </c>
      <c r="AA67">
        <v>-507751513</v>
      </c>
      <c r="AB67">
        <v>-507751513</v>
      </c>
    </row>
    <row r="68" spans="1:28" x14ac:dyDescent="0.2">
      <c r="A68">
        <v>20</v>
      </c>
      <c r="B68">
        <v>81</v>
      </c>
      <c r="C68">
        <v>3</v>
      </c>
      <c r="D68">
        <v>0</v>
      </c>
      <c r="E68">
        <f>SmtRes!AV81</f>
        <v>0</v>
      </c>
      <c r="F68" t="str">
        <f>SmtRes!I81</f>
        <v>21.1-11-84</v>
      </c>
      <c r="G68" t="str">
        <f>SmtRes!K81</f>
        <v>Поковки строительные (скобы, закрепы, хомуты) простые, масса 1,8 кг</v>
      </c>
      <c r="H68" t="str">
        <f>SmtRes!O81</f>
        <v>т</v>
      </c>
      <c r="I68">
        <f>SmtRes!Y81*Source!I198</f>
        <v>3.6000000000000002E-4</v>
      </c>
      <c r="J68">
        <f>SmtRes!AO81</f>
        <v>1</v>
      </c>
      <c r="K68">
        <f>SmtRes!AE81</f>
        <v>87313.75</v>
      </c>
      <c r="L68">
        <f>SmtRes!DB81</f>
        <v>31.43</v>
      </c>
      <c r="M68">
        <f>ROUND(ROUND(L68*Source!I198, 6)*1, 2)</f>
        <v>31.43</v>
      </c>
      <c r="N68">
        <f>SmtRes!AA81</f>
        <v>87313.75</v>
      </c>
      <c r="O68">
        <f>ROUND(ROUND(L68*Source!I198, 6)*SmtRes!DA81, 2)</f>
        <v>31.43</v>
      </c>
      <c r="P68">
        <f>SmtRes!AG81</f>
        <v>0</v>
      </c>
      <c r="Q68">
        <f>SmtRes!DC81</f>
        <v>0</v>
      </c>
      <c r="R68">
        <f>ROUND(ROUND(Q68*Source!I198, 6)*1, 2)</f>
        <v>0</v>
      </c>
      <c r="S68">
        <f>SmtRes!AC81</f>
        <v>0</v>
      </c>
      <c r="T68">
        <f>ROUND(ROUND(Q68*Source!I198, 6)*SmtRes!AK81, 2)</f>
        <v>0</v>
      </c>
      <c r="U68">
        <v>3</v>
      </c>
      <c r="Z68">
        <f>SmtRes!X81</f>
        <v>-1980536396</v>
      </c>
      <c r="AA68">
        <v>1251560671</v>
      </c>
      <c r="AB68">
        <v>1251560671</v>
      </c>
    </row>
    <row r="69" spans="1:28" x14ac:dyDescent="0.2">
      <c r="A69">
        <v>20</v>
      </c>
      <c r="B69">
        <v>80</v>
      </c>
      <c r="C69">
        <v>3</v>
      </c>
      <c r="D69">
        <v>0</v>
      </c>
      <c r="E69">
        <f>SmtRes!AV80</f>
        <v>0</v>
      </c>
      <c r="F69" t="str">
        <f>SmtRes!I80</f>
        <v>21.1-11-198</v>
      </c>
      <c r="G69" t="str">
        <f>SmtRes!K80</f>
        <v>Дюбели пластмассовые</v>
      </c>
      <c r="H69" t="str">
        <f>SmtRes!O80</f>
        <v>шт.</v>
      </c>
      <c r="I69">
        <f>SmtRes!Y80*Source!I198</f>
        <v>0.04</v>
      </c>
      <c r="J69">
        <f>SmtRes!AO80</f>
        <v>1</v>
      </c>
      <c r="K69">
        <f>SmtRes!AE80</f>
        <v>2.31</v>
      </c>
      <c r="L69">
        <f>SmtRes!DB80</f>
        <v>0.09</v>
      </c>
      <c r="M69">
        <f>ROUND(ROUND(L69*Source!I198, 6)*1, 2)</f>
        <v>0.09</v>
      </c>
      <c r="N69">
        <f>SmtRes!AA80</f>
        <v>2.31</v>
      </c>
      <c r="O69">
        <f>ROUND(ROUND(L69*Source!I198, 6)*SmtRes!DA80, 2)</f>
        <v>0.09</v>
      </c>
      <c r="P69">
        <f>SmtRes!AG80</f>
        <v>0</v>
      </c>
      <c r="Q69">
        <f>SmtRes!DC80</f>
        <v>0</v>
      </c>
      <c r="R69">
        <f>ROUND(ROUND(Q69*Source!I198, 6)*1, 2)</f>
        <v>0</v>
      </c>
      <c r="S69">
        <f>SmtRes!AC80</f>
        <v>0</v>
      </c>
      <c r="T69">
        <f>ROUND(ROUND(Q69*Source!I198, 6)*SmtRes!AK80, 2)</f>
        <v>0</v>
      </c>
      <c r="U69">
        <v>3</v>
      </c>
      <c r="Z69">
        <f>SmtRes!X80</f>
        <v>1799219779</v>
      </c>
      <c r="AA69">
        <v>-223804902</v>
      </c>
      <c r="AB69">
        <v>-223804902</v>
      </c>
    </row>
    <row r="70" spans="1:28" x14ac:dyDescent="0.2">
      <c r="A70">
        <v>20</v>
      </c>
      <c r="B70">
        <v>79</v>
      </c>
      <c r="C70">
        <v>3</v>
      </c>
      <c r="D70">
        <v>0</v>
      </c>
      <c r="E70">
        <f>SmtRes!AV79</f>
        <v>0</v>
      </c>
      <c r="F70" t="str">
        <f>SmtRes!I79</f>
        <v>21.1-11-125</v>
      </c>
      <c r="G70" t="str">
        <f>SmtRes!K79</f>
        <v>Шурупы с потайной головкой, черные, размер 8,0х100 мм</v>
      </c>
      <c r="H70" t="str">
        <f>SmtRes!O79</f>
        <v>т</v>
      </c>
      <c r="I70">
        <f>SmtRes!Y79*Source!I198</f>
        <v>6.9999999999999994E-5</v>
      </c>
      <c r="J70">
        <f>SmtRes!AO79</f>
        <v>1</v>
      </c>
      <c r="K70">
        <f>SmtRes!AE79</f>
        <v>239140.75</v>
      </c>
      <c r="L70">
        <f>SmtRes!DB79</f>
        <v>16.739999999999998</v>
      </c>
      <c r="M70">
        <f>ROUND(ROUND(L70*Source!I198, 6)*1, 2)</f>
        <v>16.739999999999998</v>
      </c>
      <c r="N70">
        <f>SmtRes!AA79</f>
        <v>239140.75</v>
      </c>
      <c r="O70">
        <f>ROUND(ROUND(L70*Source!I198, 6)*SmtRes!DA79, 2)</f>
        <v>16.739999999999998</v>
      </c>
      <c r="P70">
        <f>SmtRes!AG79</f>
        <v>0</v>
      </c>
      <c r="Q70">
        <f>SmtRes!DC79</f>
        <v>0</v>
      </c>
      <c r="R70">
        <f>ROUND(ROUND(Q70*Source!I198, 6)*1, 2)</f>
        <v>0</v>
      </c>
      <c r="S70">
        <f>SmtRes!AC79</f>
        <v>0</v>
      </c>
      <c r="T70">
        <f>ROUND(ROUND(Q70*Source!I198, 6)*SmtRes!AK79, 2)</f>
        <v>0</v>
      </c>
      <c r="U70">
        <v>3</v>
      </c>
      <c r="Z70">
        <f>SmtRes!X79</f>
        <v>-1788654527</v>
      </c>
      <c r="AA70">
        <v>-451808164</v>
      </c>
      <c r="AB70">
        <v>-451808164</v>
      </c>
    </row>
    <row r="71" spans="1:28" x14ac:dyDescent="0.2">
      <c r="A71">
        <v>20</v>
      </c>
      <c r="B71">
        <v>78</v>
      </c>
      <c r="C71">
        <v>2</v>
      </c>
      <c r="D71">
        <v>0</v>
      </c>
      <c r="E71">
        <f>SmtRes!AV78</f>
        <v>0</v>
      </c>
      <c r="F71" t="str">
        <f>SmtRes!I78</f>
        <v>22.1-30-102</v>
      </c>
      <c r="G71" t="str">
        <f>SmtRes!K78</f>
        <v>Дрели электрические, двухскоростные, мощностью 600 Вт</v>
      </c>
      <c r="H71" t="str">
        <f>SmtRes!O78</f>
        <v>маш.-ч</v>
      </c>
      <c r="I71">
        <f>SmtRes!Y78*Source!I198</f>
        <v>0.02</v>
      </c>
      <c r="J71">
        <f>SmtRes!AO78</f>
        <v>1</v>
      </c>
      <c r="K71">
        <f>SmtRes!AF78</f>
        <v>6.13</v>
      </c>
      <c r="L71">
        <f>SmtRes!DB78</f>
        <v>0.12</v>
      </c>
      <c r="M71">
        <f>ROUND(ROUND(L71*Source!I198, 6)*1, 2)</f>
        <v>0.12</v>
      </c>
      <c r="N71">
        <f>SmtRes!AB78</f>
        <v>6.13</v>
      </c>
      <c r="O71">
        <f>ROUND(ROUND(L71*Source!I198, 6)*SmtRes!DA78, 2)</f>
        <v>0.12</v>
      </c>
      <c r="P71">
        <f>SmtRes!AG78</f>
        <v>1.91</v>
      </c>
      <c r="Q71">
        <f>SmtRes!DC78</f>
        <v>0.04</v>
      </c>
      <c r="R71">
        <f>ROUND(ROUND(Q71*Source!I198, 6)*1, 2)</f>
        <v>0.04</v>
      </c>
      <c r="S71">
        <f>SmtRes!AC78</f>
        <v>1.91</v>
      </c>
      <c r="T71">
        <f>ROUND(ROUND(Q71*Source!I198, 6)*SmtRes!AK78, 2)</f>
        <v>0.04</v>
      </c>
      <c r="U71">
        <v>2</v>
      </c>
      <c r="Z71">
        <f>SmtRes!X78</f>
        <v>1989376342</v>
      </c>
      <c r="AA71">
        <v>1891803891</v>
      </c>
      <c r="AB71">
        <v>1891803891</v>
      </c>
    </row>
    <row r="72" spans="1:28" x14ac:dyDescent="0.2">
      <c r="A72">
        <f>Source!A199</f>
        <v>18</v>
      </c>
      <c r="B72">
        <v>199</v>
      </c>
      <c r="C72">
        <v>3</v>
      </c>
      <c r="D72">
        <f>Source!BI199</f>
        <v>4</v>
      </c>
      <c r="E72">
        <f>Source!FS199</f>
        <v>0</v>
      </c>
      <c r="F72" t="str">
        <f>Source!F199</f>
        <v>21.17-2-19</v>
      </c>
      <c r="G72" t="str">
        <f>Source!G199</f>
        <v>Смесители для умывальников и моек двухрукояточные центральные набортные, излив с аэратором тип См-УмДЦБА</v>
      </c>
      <c r="H72" t="str">
        <f>Source!H199</f>
        <v>шт.</v>
      </c>
      <c r="I72">
        <f>Source!I199</f>
        <v>1</v>
      </c>
      <c r="J72">
        <v>1</v>
      </c>
      <c r="K72">
        <f>Source!AC199</f>
        <v>5025.26</v>
      </c>
      <c r="M72">
        <f>ROUND(K72*I72, 2)</f>
        <v>5025.26</v>
      </c>
      <c r="N72">
        <f>Source!AC199*IF(Source!BC199&lt;&gt; 0, Source!BC199, 1)</f>
        <v>5025.26</v>
      </c>
      <c r="O72">
        <f>ROUND(N72*I72, 2)</f>
        <v>5025.26</v>
      </c>
      <c r="P72">
        <f>Source!AE199</f>
        <v>0</v>
      </c>
      <c r="R72">
        <f>ROUND(P72*I72, 2)</f>
        <v>0</v>
      </c>
      <c r="S72">
        <f>Source!AE199*IF(Source!BS199&lt;&gt; 0, Source!BS199, 1)</f>
        <v>0</v>
      </c>
      <c r="T72">
        <f>ROUND(S72*I72, 2)</f>
        <v>0</v>
      </c>
      <c r="U72">
        <v>3</v>
      </c>
      <c r="Z72">
        <f>Source!GF199</f>
        <v>-125063506</v>
      </c>
      <c r="AA72">
        <v>1323547038</v>
      </c>
      <c r="AB72">
        <v>1323547038</v>
      </c>
    </row>
    <row r="73" spans="1:28" x14ac:dyDescent="0.2">
      <c r="A73">
        <f>Source!A200</f>
        <v>18</v>
      </c>
      <c r="B73">
        <v>200</v>
      </c>
      <c r="C73">
        <v>3</v>
      </c>
      <c r="D73">
        <f>Source!BI200</f>
        <v>4</v>
      </c>
      <c r="E73">
        <f>Source!FS200</f>
        <v>0</v>
      </c>
      <c r="F73" t="str">
        <f>Source!F200</f>
        <v>Цена пост.</v>
      </c>
      <c r="G73" t="str">
        <f>Source!G200</f>
        <v>Сантехническая манжета для канализации MPF 50x25 (или эквивалент)</v>
      </c>
      <c r="H73" t="str">
        <f>Source!H200</f>
        <v>шт.</v>
      </c>
      <c r="I73">
        <f>Source!I200</f>
        <v>1</v>
      </c>
      <c r="J73">
        <v>1</v>
      </c>
      <c r="K73">
        <f>Source!AC200</f>
        <v>37.5</v>
      </c>
      <c r="M73">
        <f>ROUND(K73*I73, 2)</f>
        <v>37.5</v>
      </c>
      <c r="N73">
        <f>Source!AC200*IF(Source!BC200&lt;&gt; 0, Source!BC200, 1)</f>
        <v>37.5</v>
      </c>
      <c r="O73">
        <f>ROUND(N73*I73, 2)</f>
        <v>37.5</v>
      </c>
      <c r="P73">
        <f>Source!AE200</f>
        <v>0</v>
      </c>
      <c r="R73">
        <f>ROUND(P73*I73, 2)</f>
        <v>0</v>
      </c>
      <c r="S73">
        <f>Source!AE200*IF(Source!BS200&lt;&gt; 0, Source!BS200, 1)</f>
        <v>0</v>
      </c>
      <c r="T73">
        <f>ROUND(S73*I73, 2)</f>
        <v>0</v>
      </c>
      <c r="U73">
        <v>3</v>
      </c>
      <c r="Z73">
        <f>Source!GF200</f>
        <v>1407851726</v>
      </c>
      <c r="AA73">
        <v>1662594525</v>
      </c>
      <c r="AB73">
        <v>1662594525</v>
      </c>
    </row>
    <row r="74" spans="1:28" x14ac:dyDescent="0.2">
      <c r="A74">
        <v>20</v>
      </c>
      <c r="B74">
        <v>95</v>
      </c>
      <c r="C74">
        <v>3</v>
      </c>
      <c r="D74">
        <v>0</v>
      </c>
      <c r="E74">
        <f>SmtRes!AV95</f>
        <v>0</v>
      </c>
      <c r="F74" t="str">
        <f>SmtRes!I95</f>
        <v>21.9-12-46</v>
      </c>
      <c r="G74" t="str">
        <f>SmtRes!K95</f>
        <v>Раскладки хвойных пород, окрашенные, сечение 19х13(24) мм</v>
      </c>
      <c r="H74" t="str">
        <f>SmtRes!O95</f>
        <v>м</v>
      </c>
      <c r="I74">
        <f>SmtRes!Y95*Source!I203</f>
        <v>4</v>
      </c>
      <c r="J74">
        <f>SmtRes!AO95</f>
        <v>1</v>
      </c>
      <c r="K74">
        <f>SmtRes!AE95</f>
        <v>27.14</v>
      </c>
      <c r="L74">
        <f>SmtRes!DB95</f>
        <v>10856</v>
      </c>
      <c r="M74">
        <f>ROUND(ROUND(L74*Source!I203, 6)*1, 2)</f>
        <v>108.56</v>
      </c>
      <c r="N74">
        <f>SmtRes!AA95</f>
        <v>27.14</v>
      </c>
      <c r="O74">
        <f>ROUND(ROUND(L74*Source!I203, 6)*SmtRes!DA95, 2)</f>
        <v>108.56</v>
      </c>
      <c r="P74">
        <f>SmtRes!AG95</f>
        <v>0</v>
      </c>
      <c r="Q74">
        <f>SmtRes!DC95</f>
        <v>0</v>
      </c>
      <c r="R74">
        <f>ROUND(ROUND(Q74*Source!I203, 6)*1, 2)</f>
        <v>0</v>
      </c>
      <c r="S74">
        <f>SmtRes!AC95</f>
        <v>0</v>
      </c>
      <c r="T74">
        <f>ROUND(ROUND(Q74*Source!I203, 6)*SmtRes!AK95, 2)</f>
        <v>0</v>
      </c>
      <c r="U74">
        <v>3</v>
      </c>
      <c r="Z74">
        <f>SmtRes!X95</f>
        <v>-1908336614</v>
      </c>
      <c r="AA74">
        <v>895668758</v>
      </c>
      <c r="AB74">
        <v>895668758</v>
      </c>
    </row>
    <row r="75" spans="1:28" x14ac:dyDescent="0.2">
      <c r="A75">
        <v>20</v>
      </c>
      <c r="B75">
        <v>94</v>
      </c>
      <c r="C75">
        <v>3</v>
      </c>
      <c r="D75">
        <v>0</v>
      </c>
      <c r="E75">
        <f>SmtRes!AV94</f>
        <v>0</v>
      </c>
      <c r="F75" t="str">
        <f>SmtRes!I94</f>
        <v>21.1-11-84</v>
      </c>
      <c r="G75" t="str">
        <f>SmtRes!K94</f>
        <v>Поковки строительные (скобы, закрепы, хомуты) простые, масса 1,8 кг</v>
      </c>
      <c r="H75" t="str">
        <f>SmtRes!O94</f>
        <v>т</v>
      </c>
      <c r="I75">
        <f>SmtRes!Y94*Source!I203</f>
        <v>3.5000000000000005E-4</v>
      </c>
      <c r="J75">
        <f>SmtRes!AO94</f>
        <v>1</v>
      </c>
      <c r="K75">
        <f>SmtRes!AE94</f>
        <v>87313.75</v>
      </c>
      <c r="L75">
        <f>SmtRes!DB94</f>
        <v>3055.98</v>
      </c>
      <c r="M75">
        <f>ROUND(ROUND(L75*Source!I203, 6)*1, 2)</f>
        <v>30.56</v>
      </c>
      <c r="N75">
        <f>SmtRes!AA94</f>
        <v>87313.75</v>
      </c>
      <c r="O75">
        <f>ROUND(ROUND(L75*Source!I203, 6)*SmtRes!DA94, 2)</f>
        <v>30.56</v>
      </c>
      <c r="P75">
        <f>SmtRes!AG94</f>
        <v>0</v>
      </c>
      <c r="Q75">
        <f>SmtRes!DC94</f>
        <v>0</v>
      </c>
      <c r="R75">
        <f>ROUND(ROUND(Q75*Source!I203, 6)*1, 2)</f>
        <v>0</v>
      </c>
      <c r="S75">
        <f>SmtRes!AC94</f>
        <v>0</v>
      </c>
      <c r="T75">
        <f>ROUND(ROUND(Q75*Source!I203, 6)*SmtRes!AK94, 2)</f>
        <v>0</v>
      </c>
      <c r="U75">
        <v>3</v>
      </c>
      <c r="Z75">
        <f>SmtRes!X94</f>
        <v>-1980536396</v>
      </c>
      <c r="AA75">
        <v>1251560671</v>
      </c>
      <c r="AB75">
        <v>1251560671</v>
      </c>
    </row>
    <row r="76" spans="1:28" x14ac:dyDescent="0.2">
      <c r="A76">
        <v>20</v>
      </c>
      <c r="B76">
        <v>93</v>
      </c>
      <c r="C76">
        <v>3</v>
      </c>
      <c r="D76">
        <v>0</v>
      </c>
      <c r="E76">
        <f>SmtRes!AV93</f>
        <v>0</v>
      </c>
      <c r="F76" t="str">
        <f>SmtRes!I93</f>
        <v>21.1-11-46</v>
      </c>
      <c r="G76" t="str">
        <f>SmtRes!K93</f>
        <v>Гвозди строительные</v>
      </c>
      <c r="H76" t="str">
        <f>SmtRes!O93</f>
        <v>т</v>
      </c>
      <c r="I76">
        <f>SmtRes!Y93*Source!I203</f>
        <v>1.2E-4</v>
      </c>
      <c r="J76">
        <f>SmtRes!AO93</f>
        <v>1</v>
      </c>
      <c r="K76">
        <f>SmtRes!AE93</f>
        <v>95976.83</v>
      </c>
      <c r="L76">
        <f>SmtRes!DB93</f>
        <v>1151.72</v>
      </c>
      <c r="M76">
        <f>ROUND(ROUND(L76*Source!I203, 6)*1, 2)</f>
        <v>11.52</v>
      </c>
      <c r="N76">
        <f>SmtRes!AA93</f>
        <v>95976.83</v>
      </c>
      <c r="O76">
        <f>ROUND(ROUND(L76*Source!I203, 6)*SmtRes!DA93, 2)</f>
        <v>11.52</v>
      </c>
      <c r="P76">
        <f>SmtRes!AG93</f>
        <v>0</v>
      </c>
      <c r="Q76">
        <f>SmtRes!DC93</f>
        <v>0</v>
      </c>
      <c r="R76">
        <f>ROUND(ROUND(Q76*Source!I203, 6)*1, 2)</f>
        <v>0</v>
      </c>
      <c r="S76">
        <f>SmtRes!AC93</f>
        <v>0</v>
      </c>
      <c r="T76">
        <f>ROUND(ROUND(Q76*Source!I203, 6)*SmtRes!AK93, 2)</f>
        <v>0</v>
      </c>
      <c r="U76">
        <v>3</v>
      </c>
      <c r="Z76">
        <f>SmtRes!X93</f>
        <v>-799169102</v>
      </c>
      <c r="AA76">
        <v>1916598461</v>
      </c>
      <c r="AB76">
        <v>1916598461</v>
      </c>
    </row>
    <row r="77" spans="1:28" x14ac:dyDescent="0.2">
      <c r="A77">
        <f>Source!A204</f>
        <v>18</v>
      </c>
      <c r="B77">
        <v>204</v>
      </c>
      <c r="C77">
        <v>3</v>
      </c>
      <c r="D77">
        <f>Source!BI204</f>
        <v>4</v>
      </c>
      <c r="E77">
        <f>Source!FS204</f>
        <v>0</v>
      </c>
      <c r="F77" t="str">
        <f>Source!F204</f>
        <v>Цена пост.</v>
      </c>
      <c r="G77" t="str">
        <f>Source!G204</f>
        <v>Тумба под раковину напольная SanStar Квадро 50см с раковиной цвет белый (или эквивалент)</v>
      </c>
      <c r="H77" t="str">
        <f>Source!H204</f>
        <v>шт.</v>
      </c>
      <c r="I77">
        <f>Source!I204</f>
        <v>1</v>
      </c>
      <c r="J77">
        <v>1</v>
      </c>
      <c r="K77">
        <f>Source!AC204</f>
        <v>10050.83</v>
      </c>
      <c r="M77">
        <f>ROUND(K77*I77, 2)</f>
        <v>10050.83</v>
      </c>
      <c r="N77">
        <f>Source!AC204*IF(Source!BC204&lt;&gt; 0, Source!BC204, 1)</f>
        <v>10050.83</v>
      </c>
      <c r="O77">
        <f>ROUND(N77*I77, 2)</f>
        <v>10050.83</v>
      </c>
      <c r="P77">
        <f>Source!AE204</f>
        <v>0</v>
      </c>
      <c r="R77">
        <f>ROUND(P77*I77, 2)</f>
        <v>0</v>
      </c>
      <c r="S77">
        <f>Source!AE204*IF(Source!BS204&lt;&gt; 0, Source!BS204, 1)</f>
        <v>0</v>
      </c>
      <c r="T77">
        <f>ROUND(S77*I77, 2)</f>
        <v>0</v>
      </c>
      <c r="U77">
        <v>3</v>
      </c>
      <c r="Z77">
        <f>Source!GF204</f>
        <v>-541391768</v>
      </c>
      <c r="AA77">
        <v>921625570</v>
      </c>
      <c r="AB77">
        <v>921625570</v>
      </c>
    </row>
    <row r="78" spans="1:28" x14ac:dyDescent="0.2">
      <c r="A78">
        <v>20</v>
      </c>
      <c r="B78">
        <v>98</v>
      </c>
      <c r="C78">
        <v>3</v>
      </c>
      <c r="D78">
        <v>0</v>
      </c>
      <c r="E78">
        <f>SmtRes!AV98</f>
        <v>0</v>
      </c>
      <c r="F78" t="str">
        <f>SmtRes!I98</f>
        <v>21.12-5-61</v>
      </c>
      <c r="G78" t="str">
        <f>SmtRes!K98</f>
        <v>Подводки к водоразборной арматуре, с двумя латунными накидными гайками, длина 500 мм</v>
      </c>
      <c r="H78" t="str">
        <f>SmtRes!O98</f>
        <v>компл.</v>
      </c>
      <c r="I78">
        <f>SmtRes!Y98*Source!I205</f>
        <v>2</v>
      </c>
      <c r="J78">
        <f>SmtRes!AO98</f>
        <v>1</v>
      </c>
      <c r="K78">
        <f>SmtRes!AE98</f>
        <v>132.30000000000001</v>
      </c>
      <c r="L78">
        <f>SmtRes!DB98</f>
        <v>26460</v>
      </c>
      <c r="M78">
        <f>ROUND(ROUND(L78*Source!I205, 6)*1, 2)</f>
        <v>264.60000000000002</v>
      </c>
      <c r="N78">
        <f>SmtRes!AA98</f>
        <v>132.30000000000001</v>
      </c>
      <c r="O78">
        <f>ROUND(ROUND(L78*Source!I205, 6)*SmtRes!DA98, 2)</f>
        <v>264.60000000000002</v>
      </c>
      <c r="P78">
        <f>SmtRes!AG98</f>
        <v>0</v>
      </c>
      <c r="Q78">
        <f>SmtRes!DC98</f>
        <v>0</v>
      </c>
      <c r="R78">
        <f>ROUND(ROUND(Q78*Source!I205, 6)*1, 2)</f>
        <v>0</v>
      </c>
      <c r="S78">
        <f>SmtRes!AC98</f>
        <v>0</v>
      </c>
      <c r="T78">
        <f>ROUND(ROUND(Q78*Source!I205, 6)*SmtRes!AK98, 2)</f>
        <v>0</v>
      </c>
      <c r="U78">
        <v>3</v>
      </c>
      <c r="Z78">
        <f>SmtRes!X98</f>
        <v>1711651658</v>
      </c>
      <c r="AA78">
        <v>-1301456157</v>
      </c>
      <c r="AB78">
        <v>-1301456157</v>
      </c>
    </row>
    <row r="79" spans="1:28" x14ac:dyDescent="0.2">
      <c r="A79">
        <v>20</v>
      </c>
      <c r="B79">
        <v>104</v>
      </c>
      <c r="C79">
        <v>3</v>
      </c>
      <c r="D79">
        <v>0</v>
      </c>
      <c r="E79">
        <f>SmtRes!AV104</f>
        <v>0</v>
      </c>
      <c r="F79" t="str">
        <f>SmtRes!I104</f>
        <v>21.1-6-90</v>
      </c>
      <c r="G79" t="str">
        <f>SmtRes!K104</f>
        <v>Олифа для окраски комбинированная оксоль</v>
      </c>
      <c r="H79" t="str">
        <f>SmtRes!O104</f>
        <v>кг</v>
      </c>
      <c r="I79">
        <f>SmtRes!Y104*Source!I207</f>
        <v>1.26E-2</v>
      </c>
      <c r="J79">
        <f>SmtRes!AO104</f>
        <v>1</v>
      </c>
      <c r="K79">
        <f>SmtRes!AE104</f>
        <v>99.65</v>
      </c>
      <c r="L79">
        <f>SmtRes!DB104</f>
        <v>6.28</v>
      </c>
      <c r="M79">
        <f>ROUND(ROUND(L79*Source!I207, 6)*1, 2)</f>
        <v>1.26</v>
      </c>
      <c r="N79">
        <f>SmtRes!AA104</f>
        <v>99.65</v>
      </c>
      <c r="O79">
        <f>ROUND(ROUND(L79*Source!I207, 6)*SmtRes!DA104, 2)</f>
        <v>1.26</v>
      </c>
      <c r="P79">
        <f>SmtRes!AG104</f>
        <v>0</v>
      </c>
      <c r="Q79">
        <f>SmtRes!DC104</f>
        <v>0</v>
      </c>
      <c r="R79">
        <f>ROUND(ROUND(Q79*Source!I207, 6)*1, 2)</f>
        <v>0</v>
      </c>
      <c r="S79">
        <f>SmtRes!AC104</f>
        <v>0</v>
      </c>
      <c r="T79">
        <f>ROUND(ROUND(Q79*Source!I207, 6)*SmtRes!AK104, 2)</f>
        <v>0</v>
      </c>
      <c r="U79">
        <v>3</v>
      </c>
      <c r="Z79">
        <f>SmtRes!X104</f>
        <v>720467407</v>
      </c>
      <c r="AA79">
        <v>541381503</v>
      </c>
      <c r="AB79">
        <v>541381503</v>
      </c>
    </row>
    <row r="80" spans="1:28" x14ac:dyDescent="0.2">
      <c r="A80">
        <v>20</v>
      </c>
      <c r="B80">
        <v>103</v>
      </c>
      <c r="C80">
        <v>3</v>
      </c>
      <c r="D80">
        <v>0</v>
      </c>
      <c r="E80">
        <f>SmtRes!AV103</f>
        <v>0</v>
      </c>
      <c r="F80" t="str">
        <f>SmtRes!I103</f>
        <v>21.1-6-46</v>
      </c>
      <c r="G80" t="str">
        <f>SmtRes!K103</f>
        <v>Краски масляные жидкотертые цветные (готовые к употреблению) для наружных и внутренних работ, марка МА-15, сурик железный для окраски по металлу</v>
      </c>
      <c r="H80" t="str">
        <f>SmtRes!O103</f>
        <v>т</v>
      </c>
      <c r="I80">
        <f>SmtRes!Y103*Source!I207</f>
        <v>2.5999999999999998E-5</v>
      </c>
      <c r="J80">
        <f>SmtRes!AO103</f>
        <v>1</v>
      </c>
      <c r="K80">
        <f>SmtRes!AE103</f>
        <v>91558.65</v>
      </c>
      <c r="L80">
        <f>SmtRes!DB103</f>
        <v>11.9</v>
      </c>
      <c r="M80">
        <f>ROUND(ROUND(L80*Source!I207, 6)*1, 2)</f>
        <v>2.38</v>
      </c>
      <c r="N80">
        <f>SmtRes!AA103</f>
        <v>91558.65</v>
      </c>
      <c r="O80">
        <f>ROUND(ROUND(L80*Source!I207, 6)*SmtRes!DA103, 2)</f>
        <v>2.38</v>
      </c>
      <c r="P80">
        <f>SmtRes!AG103</f>
        <v>0</v>
      </c>
      <c r="Q80">
        <f>SmtRes!DC103</f>
        <v>0</v>
      </c>
      <c r="R80">
        <f>ROUND(ROUND(Q80*Source!I207, 6)*1, 2)</f>
        <v>0</v>
      </c>
      <c r="S80">
        <f>SmtRes!AC103</f>
        <v>0</v>
      </c>
      <c r="T80">
        <f>ROUND(ROUND(Q80*Source!I207, 6)*SmtRes!AK103, 2)</f>
        <v>0</v>
      </c>
      <c r="U80">
        <v>3</v>
      </c>
      <c r="Z80">
        <f>SmtRes!X103</f>
        <v>169962723</v>
      </c>
      <c r="AA80">
        <v>913770738</v>
      </c>
      <c r="AB80">
        <v>913770738</v>
      </c>
    </row>
    <row r="81" spans="1:28" x14ac:dyDescent="0.2">
      <c r="A81">
        <v>20</v>
      </c>
      <c r="B81">
        <v>101</v>
      </c>
      <c r="C81">
        <v>3</v>
      </c>
      <c r="D81">
        <v>0</v>
      </c>
      <c r="E81">
        <f>SmtRes!AV101</f>
        <v>0</v>
      </c>
      <c r="F81" t="str">
        <f>SmtRes!I101</f>
        <v>21.1-25-16</v>
      </c>
      <c r="G81" t="str">
        <f>SmtRes!K101</f>
        <v>Волокно льняное №11 для уплотнения резьбовых соединений при монтаже систем водоснабжения и отопления</v>
      </c>
      <c r="H81" t="str">
        <f>SmtRes!O101</f>
        <v>кг</v>
      </c>
      <c r="I81">
        <f>SmtRes!Y101*Source!I207</f>
        <v>1.26E-2</v>
      </c>
      <c r="J81">
        <f>SmtRes!AO101</f>
        <v>1</v>
      </c>
      <c r="K81">
        <f>SmtRes!AE101</f>
        <v>656.56</v>
      </c>
      <c r="L81">
        <f>SmtRes!DB101</f>
        <v>41.36</v>
      </c>
      <c r="M81">
        <f>ROUND(ROUND(L81*Source!I207, 6)*1, 2)</f>
        <v>8.27</v>
      </c>
      <c r="N81">
        <f>SmtRes!AA101</f>
        <v>656.56</v>
      </c>
      <c r="O81">
        <f>ROUND(ROUND(L81*Source!I207, 6)*SmtRes!DA101, 2)</f>
        <v>8.27</v>
      </c>
      <c r="P81">
        <f>SmtRes!AG101</f>
        <v>0</v>
      </c>
      <c r="Q81">
        <f>SmtRes!DC101</f>
        <v>0</v>
      </c>
      <c r="R81">
        <f>ROUND(ROUND(Q81*Source!I207, 6)*1, 2)</f>
        <v>0</v>
      </c>
      <c r="S81">
        <f>SmtRes!AC101</f>
        <v>0</v>
      </c>
      <c r="T81">
        <f>ROUND(ROUND(Q81*Source!I207, 6)*SmtRes!AK101, 2)</f>
        <v>0</v>
      </c>
      <c r="U81">
        <v>3</v>
      </c>
      <c r="Z81">
        <f>SmtRes!X101</f>
        <v>-901272518</v>
      </c>
      <c r="AA81">
        <v>-507751513</v>
      </c>
      <c r="AB81">
        <v>-507751513</v>
      </c>
    </row>
    <row r="82" spans="1:28" x14ac:dyDescent="0.2">
      <c r="A82">
        <f>Source!A208</f>
        <v>18</v>
      </c>
      <c r="B82">
        <v>208</v>
      </c>
      <c r="C82">
        <v>3</v>
      </c>
      <c r="D82">
        <f>Source!BI208</f>
        <v>4</v>
      </c>
      <c r="E82">
        <f>Source!FS208</f>
        <v>0</v>
      </c>
      <c r="F82" t="str">
        <f>Source!F208</f>
        <v>21.13-4-40</v>
      </c>
      <c r="G82" t="str">
        <f>Source!G208</f>
        <v>Краны латунные шаровые муфтовые проходные, марка 11б27п, диаметр 20 мм</v>
      </c>
      <c r="H82" t="str">
        <f>Source!H208</f>
        <v>шт.</v>
      </c>
      <c r="I82">
        <f>Source!I208</f>
        <v>2</v>
      </c>
      <c r="J82">
        <v>1</v>
      </c>
      <c r="K82">
        <f>Source!AC208</f>
        <v>182.88</v>
      </c>
      <c r="M82">
        <f>ROUND(K82*I82, 2)</f>
        <v>365.76</v>
      </c>
      <c r="N82">
        <f>Source!AC208*IF(Source!BC208&lt;&gt; 0, Source!BC208, 1)</f>
        <v>182.88</v>
      </c>
      <c r="O82">
        <f>ROUND(N82*I82, 2)</f>
        <v>365.76</v>
      </c>
      <c r="P82">
        <f>Source!AE208</f>
        <v>0</v>
      </c>
      <c r="R82">
        <f>ROUND(P82*I82, 2)</f>
        <v>0</v>
      </c>
      <c r="S82">
        <f>Source!AE208*IF(Source!BS208&lt;&gt; 0, Source!BS208, 1)</f>
        <v>0</v>
      </c>
      <c r="T82">
        <f>ROUND(S82*I82, 2)</f>
        <v>0</v>
      </c>
      <c r="U82">
        <v>3</v>
      </c>
      <c r="Z82">
        <f>Source!GF208</f>
        <v>331574299</v>
      </c>
      <c r="AA82">
        <v>1604916054</v>
      </c>
      <c r="AB82">
        <v>1604916054</v>
      </c>
    </row>
    <row r="83" spans="1:28" x14ac:dyDescent="0.2">
      <c r="A83">
        <f>Source!A240</f>
        <v>5</v>
      </c>
      <c r="B83">
        <v>240</v>
      </c>
      <c r="G83" t="str">
        <f>Source!G240</f>
        <v>Электрика</v>
      </c>
    </row>
    <row r="84" spans="1:28" x14ac:dyDescent="0.2">
      <c r="A84">
        <f>Source!A245</f>
        <v>18</v>
      </c>
      <c r="B84">
        <v>245</v>
      </c>
      <c r="C84">
        <v>3</v>
      </c>
      <c r="D84">
        <f>Source!BI245</f>
        <v>4</v>
      </c>
      <c r="E84">
        <f>Source!FS245</f>
        <v>0</v>
      </c>
      <c r="F84" t="str">
        <f>Source!F245</f>
        <v>Цена пост.</v>
      </c>
      <c r="G84" t="str">
        <f>Source!G245</f>
        <v>Розетка 2х2P+E Schuko со шторками, 16A-250В, IP20 (или эквивалент)</v>
      </c>
      <c r="H84" t="str">
        <f>Source!H245</f>
        <v>шт.</v>
      </c>
      <c r="I84">
        <f>Source!I245</f>
        <v>2</v>
      </c>
      <c r="J84">
        <v>1</v>
      </c>
      <c r="K84">
        <f>Source!AC245</f>
        <v>285</v>
      </c>
      <c r="M84">
        <f>ROUND(K84*I84, 2)</f>
        <v>570</v>
      </c>
      <c r="N84">
        <f>Source!AC245*IF(Source!BC245&lt;&gt; 0, Source!BC245, 1)</f>
        <v>285</v>
      </c>
      <c r="O84">
        <f>ROUND(N84*I84, 2)</f>
        <v>570</v>
      </c>
      <c r="P84">
        <f>Source!AE245</f>
        <v>0</v>
      </c>
      <c r="R84">
        <f>ROUND(P84*I84, 2)</f>
        <v>0</v>
      </c>
      <c r="S84">
        <f>Source!AE245*IF(Source!BS245&lt;&gt; 0, Source!BS245, 1)</f>
        <v>0</v>
      </c>
      <c r="T84">
        <f>ROUND(S84*I84, 2)</f>
        <v>0</v>
      </c>
      <c r="U84">
        <v>3</v>
      </c>
      <c r="Z84">
        <f>Source!GF245</f>
        <v>-303536335</v>
      </c>
      <c r="AA84">
        <v>-1902312805</v>
      </c>
      <c r="AB84">
        <v>-1902312805</v>
      </c>
    </row>
    <row r="85" spans="1:28" x14ac:dyDescent="0.2">
      <c r="A85">
        <f>Source!A246</f>
        <v>18</v>
      </c>
      <c r="B85">
        <v>246</v>
      </c>
      <c r="C85">
        <v>3</v>
      </c>
      <c r="D85">
        <f>Source!BI246</f>
        <v>4</v>
      </c>
      <c r="E85">
        <f>Source!FS246</f>
        <v>0</v>
      </c>
      <c r="F85" t="str">
        <f>Source!F246</f>
        <v>21.21-5-24</v>
      </c>
      <c r="G85" t="str">
        <f>Source!G246</f>
        <v>Выключатели, серия "Прима", напряжение 250 В, сила тока 6 А, тип: А16-051, одноклавишный, открытой установки</v>
      </c>
      <c r="H85" t="str">
        <f>Source!H246</f>
        <v>шт.</v>
      </c>
      <c r="I85">
        <f>Source!I246</f>
        <v>1</v>
      </c>
      <c r="J85">
        <v>1</v>
      </c>
      <c r="K85">
        <f>Source!AC246</f>
        <v>90.55</v>
      </c>
      <c r="M85">
        <f>ROUND(K85*I85, 2)</f>
        <v>90.55</v>
      </c>
      <c r="N85">
        <f>Source!AC246*IF(Source!BC246&lt;&gt; 0, Source!BC246, 1)</f>
        <v>90.55</v>
      </c>
      <c r="O85">
        <f>ROUND(N85*I85, 2)</f>
        <v>90.55</v>
      </c>
      <c r="P85">
        <f>Source!AE246</f>
        <v>0</v>
      </c>
      <c r="R85">
        <f>ROUND(P85*I85, 2)</f>
        <v>0</v>
      </c>
      <c r="S85">
        <f>Source!AE246*IF(Source!BS246&lt;&gt; 0, Source!BS246, 1)</f>
        <v>0</v>
      </c>
      <c r="T85">
        <f>ROUND(S85*I85, 2)</f>
        <v>0</v>
      </c>
      <c r="U85">
        <v>3</v>
      </c>
      <c r="Z85">
        <f>Source!GF246</f>
        <v>-314732257</v>
      </c>
      <c r="AA85">
        <v>710553705</v>
      </c>
      <c r="AB85">
        <v>710553705</v>
      </c>
    </row>
    <row r="86" spans="1:28" x14ac:dyDescent="0.2">
      <c r="A86">
        <f>Source!A278</f>
        <v>5</v>
      </c>
      <c r="B86">
        <v>278</v>
      </c>
      <c r="G86" t="str">
        <f>Source!G278</f>
        <v>Прочее</v>
      </c>
    </row>
    <row r="87" spans="1:28" x14ac:dyDescent="0.2">
      <c r="A87">
        <v>20</v>
      </c>
      <c r="B87">
        <v>109</v>
      </c>
      <c r="C87">
        <v>3</v>
      </c>
      <c r="D87">
        <v>0</v>
      </c>
      <c r="E87">
        <f>SmtRes!AV109</f>
        <v>0</v>
      </c>
      <c r="F87" t="str">
        <f>SmtRes!I109</f>
        <v>21.1-2-2</v>
      </c>
      <c r="G87" t="str">
        <f>SmtRes!K109</f>
        <v>Гипсовые вяжущие (гипс) для штукатурных работ</v>
      </c>
      <c r="H87" t="str">
        <f>SmtRes!O109</f>
        <v>т</v>
      </c>
      <c r="I87">
        <f>SmtRes!Y109*Source!I282</f>
        <v>1E-3</v>
      </c>
      <c r="J87">
        <f>SmtRes!AO109</f>
        <v>1</v>
      </c>
      <c r="K87">
        <f>SmtRes!AE109</f>
        <v>8017.57</v>
      </c>
      <c r="L87">
        <f>SmtRes!DB109</f>
        <v>400.88</v>
      </c>
      <c r="M87">
        <f>ROUND(ROUND(L87*Source!I282, 6)*1, 2)</f>
        <v>8.02</v>
      </c>
      <c r="N87">
        <f>SmtRes!AA109</f>
        <v>8017.57</v>
      </c>
      <c r="O87">
        <f>ROUND(ROUND(L87*Source!I282, 6)*SmtRes!DA109, 2)</f>
        <v>8.02</v>
      </c>
      <c r="P87">
        <f>SmtRes!AG109</f>
        <v>0</v>
      </c>
      <c r="Q87">
        <f>SmtRes!DC109</f>
        <v>0</v>
      </c>
      <c r="R87">
        <f>ROUND(ROUND(Q87*Source!I282, 6)*1, 2)</f>
        <v>0</v>
      </c>
      <c r="S87">
        <f>SmtRes!AC109</f>
        <v>0</v>
      </c>
      <c r="T87">
        <f>ROUND(ROUND(Q87*Source!I282, 6)*SmtRes!AK109, 2)</f>
        <v>0</v>
      </c>
      <c r="U87">
        <v>3</v>
      </c>
      <c r="Z87">
        <f>SmtRes!X109</f>
        <v>-2049845446</v>
      </c>
      <c r="AA87">
        <v>-453821089</v>
      </c>
      <c r="AB87">
        <v>-453821089</v>
      </c>
    </row>
    <row r="88" spans="1:28" x14ac:dyDescent="0.2">
      <c r="A88">
        <f>Source!A283</f>
        <v>18</v>
      </c>
      <c r="B88">
        <v>283</v>
      </c>
      <c r="C88">
        <v>3</v>
      </c>
      <c r="D88">
        <f>Source!BI283</f>
        <v>4</v>
      </c>
      <c r="E88">
        <f>Source!FS283</f>
        <v>0</v>
      </c>
      <c r="F88" t="str">
        <f>Source!F283</f>
        <v>21.19-11-52</v>
      </c>
      <c r="G88" t="str">
        <f>Source!G283</f>
        <v>Решетки вентиляционные, жалюзийные, регулируемые, стальные, марка РС-Г, размер 625х225 мм (600х300 мм)</v>
      </c>
      <c r="H88" t="str">
        <f>Source!H283</f>
        <v>шт.</v>
      </c>
      <c r="I88">
        <f>Source!I283</f>
        <v>2</v>
      </c>
      <c r="J88">
        <v>1</v>
      </c>
      <c r="K88">
        <f>Source!AC283</f>
        <v>981.41</v>
      </c>
      <c r="M88">
        <f>ROUND(K88*I88, 2)</f>
        <v>1962.82</v>
      </c>
      <c r="N88">
        <f>Source!AC283*IF(Source!BC283&lt;&gt; 0, Source!BC283, 1)</f>
        <v>981.41</v>
      </c>
      <c r="O88">
        <f>ROUND(N88*I88, 2)</f>
        <v>1962.82</v>
      </c>
      <c r="P88">
        <f>Source!AE283</f>
        <v>0</v>
      </c>
      <c r="R88">
        <f>ROUND(P88*I88, 2)</f>
        <v>0</v>
      </c>
      <c r="S88">
        <f>Source!AE283*IF(Source!BS283&lt;&gt; 0, Source!BS283, 1)</f>
        <v>0</v>
      </c>
      <c r="T88">
        <f>ROUND(S88*I88, 2)</f>
        <v>0</v>
      </c>
      <c r="U88">
        <v>3</v>
      </c>
      <c r="Z88">
        <f>Source!GF283</f>
        <v>-2129737567</v>
      </c>
      <c r="AA88">
        <v>885410941</v>
      </c>
      <c r="AB88">
        <v>885410941</v>
      </c>
    </row>
    <row r="89" spans="1:28" x14ac:dyDescent="0.2">
      <c r="A89">
        <f>Source!A346</f>
        <v>4</v>
      </c>
      <c r="B89">
        <v>346</v>
      </c>
      <c r="G89" t="str">
        <f>Source!G346</f>
        <v>Мусор</v>
      </c>
    </row>
    <row r="90" spans="1:28" x14ac:dyDescent="0.2">
      <c r="A90">
        <v>20</v>
      </c>
      <c r="B90">
        <v>112</v>
      </c>
      <c r="C90">
        <v>2</v>
      </c>
      <c r="D90">
        <v>0</v>
      </c>
      <c r="E90">
        <f>SmtRes!AV112</f>
        <v>0</v>
      </c>
      <c r="F90" t="str">
        <f>SmtRes!I112</f>
        <v>22.1-1-5</v>
      </c>
      <c r="G90" t="str">
        <f>SmtRes!K112</f>
        <v>Экскаваторы на гусеничном ходу гидравлические, объем ковша до 0,65 м3</v>
      </c>
      <c r="H90" t="str">
        <f>SmtRes!O112</f>
        <v>маш.-ч</v>
      </c>
      <c r="I90">
        <f>SmtRes!Y112*Source!I350</f>
        <v>1.6593299999999998E-2</v>
      </c>
      <c r="J90">
        <f>SmtRes!AO112</f>
        <v>1</v>
      </c>
      <c r="K90">
        <f>SmtRes!AF112</f>
        <v>2195.02</v>
      </c>
      <c r="L90">
        <f>SmtRes!DB112</f>
        <v>117.87</v>
      </c>
      <c r="M90">
        <f>ROUND(ROUND(L90*Source!I350, 6)*1, 2)</f>
        <v>36.42</v>
      </c>
      <c r="N90">
        <f>SmtRes!AB112</f>
        <v>2195.02</v>
      </c>
      <c r="O90">
        <f>ROUND(ROUND(L90*Source!I350, 6)*SmtRes!DA112, 2)</f>
        <v>36.42</v>
      </c>
      <c r="P90">
        <f>SmtRes!AG112</f>
        <v>940.44</v>
      </c>
      <c r="Q90">
        <f>SmtRes!DC112</f>
        <v>50.5</v>
      </c>
      <c r="R90">
        <f>ROUND(ROUND(Q90*Source!I350, 6)*1, 2)</f>
        <v>15.6</v>
      </c>
      <c r="S90">
        <f>SmtRes!AC112</f>
        <v>940.44</v>
      </c>
      <c r="T90">
        <f>ROUND(ROUND(Q90*Source!I350, 6)*SmtRes!AK112, 2)</f>
        <v>15.6</v>
      </c>
      <c r="U90">
        <v>2</v>
      </c>
      <c r="Z90">
        <f>SmtRes!X112</f>
        <v>-1415669716</v>
      </c>
      <c r="AA90">
        <v>-355280745</v>
      </c>
      <c r="AB90">
        <v>-355280745</v>
      </c>
    </row>
    <row r="91" spans="1:28" x14ac:dyDescent="0.2">
      <c r="A91">
        <v>20</v>
      </c>
      <c r="B91">
        <v>114</v>
      </c>
      <c r="C91">
        <v>2</v>
      </c>
      <c r="D91">
        <v>0</v>
      </c>
      <c r="E91">
        <f>SmtRes!AV114</f>
        <v>0</v>
      </c>
      <c r="F91" t="str">
        <f>SmtRes!I114</f>
        <v>22.1-18-13</v>
      </c>
      <c r="G91" t="str">
        <f>SmtRes!K114</f>
        <v>Автомобили-самосвалы, грузоподъемность до 10 т</v>
      </c>
      <c r="H91" t="str">
        <f>SmtRes!O114</f>
        <v>маш.-ч</v>
      </c>
      <c r="I91">
        <f>SmtRes!Y114*Source!I351</f>
        <v>5.5619999999999992E-3</v>
      </c>
      <c r="J91">
        <f>SmtRes!AO114</f>
        <v>1</v>
      </c>
      <c r="K91">
        <f>SmtRes!AF114</f>
        <v>1566.41</v>
      </c>
      <c r="L91">
        <f>SmtRes!DB114</f>
        <v>28.2</v>
      </c>
      <c r="M91">
        <f>ROUND(ROUND(L91*Source!I351, 6)*1, 2)</f>
        <v>8.7100000000000009</v>
      </c>
      <c r="N91">
        <f>SmtRes!AB114</f>
        <v>1566.41</v>
      </c>
      <c r="O91">
        <f>ROUND(ROUND(L91*Source!I351, 6)*SmtRes!DA114, 2)</f>
        <v>8.7100000000000009</v>
      </c>
      <c r="P91">
        <f>SmtRes!AG114</f>
        <v>619.79</v>
      </c>
      <c r="Q91">
        <f>SmtRes!DC114</f>
        <v>11.16</v>
      </c>
      <c r="R91">
        <f>ROUND(ROUND(Q91*Source!I351, 6)*1, 2)</f>
        <v>3.45</v>
      </c>
      <c r="S91">
        <f>SmtRes!AC114</f>
        <v>619.79</v>
      </c>
      <c r="T91">
        <f>ROUND(ROUND(Q91*Source!I351, 6)*SmtRes!AK114, 2)</f>
        <v>3.45</v>
      </c>
      <c r="U91">
        <v>2</v>
      </c>
      <c r="Z91">
        <f>SmtRes!X114</f>
        <v>822486257</v>
      </c>
      <c r="AA91">
        <v>1779266029</v>
      </c>
      <c r="AB91">
        <v>1779266029</v>
      </c>
    </row>
    <row r="92" spans="1:28" x14ac:dyDescent="0.2">
      <c r="A92">
        <v>20</v>
      </c>
      <c r="B92">
        <v>113</v>
      </c>
      <c r="C92">
        <v>2</v>
      </c>
      <c r="D92">
        <v>0</v>
      </c>
      <c r="E92">
        <f>SmtRes!AV113</f>
        <v>0</v>
      </c>
      <c r="F92" t="str">
        <f>SmtRes!I113</f>
        <v>22.1-18-12</v>
      </c>
      <c r="G92" t="str">
        <f>SmtRes!K113</f>
        <v>Автомобили-самосвалы, грузоподъемность до 7 т</v>
      </c>
      <c r="H92" t="str">
        <f>SmtRes!O113</f>
        <v>маш.-ч</v>
      </c>
      <c r="I92">
        <f>SmtRes!Y113*Source!I351</f>
        <v>6.1799999999999997E-3</v>
      </c>
      <c r="J92">
        <f>SmtRes!AO113</f>
        <v>1</v>
      </c>
      <c r="K92">
        <f>SmtRes!AF113</f>
        <v>1552.57</v>
      </c>
      <c r="L92">
        <f>SmtRes!DB113</f>
        <v>31.05</v>
      </c>
      <c r="M92">
        <f>ROUND(ROUND(L92*Source!I351, 6)*1, 2)</f>
        <v>9.59</v>
      </c>
      <c r="N92">
        <f>SmtRes!AB113</f>
        <v>1552.57</v>
      </c>
      <c r="O92">
        <f>ROUND(ROUND(L92*Source!I351, 6)*SmtRes!DA113, 2)</f>
        <v>9.59</v>
      </c>
      <c r="P92">
        <f>SmtRes!AG113</f>
        <v>619.16</v>
      </c>
      <c r="Q92">
        <f>SmtRes!DC113</f>
        <v>12.38</v>
      </c>
      <c r="R92">
        <f>ROUND(ROUND(Q92*Source!I351, 6)*1, 2)</f>
        <v>3.83</v>
      </c>
      <c r="S92">
        <f>SmtRes!AC113</f>
        <v>619.16</v>
      </c>
      <c r="T92">
        <f>ROUND(ROUND(Q92*Source!I351, 6)*SmtRes!AK113, 2)</f>
        <v>3.83</v>
      </c>
      <c r="U92">
        <v>2</v>
      </c>
      <c r="Z92">
        <f>SmtRes!X113</f>
        <v>9060937</v>
      </c>
      <c r="AA92">
        <v>406812087</v>
      </c>
      <c r="AB92">
        <v>406812087</v>
      </c>
    </row>
    <row r="93" spans="1:28" x14ac:dyDescent="0.2">
      <c r="A93">
        <v>20</v>
      </c>
      <c r="B93">
        <v>116</v>
      </c>
      <c r="C93">
        <v>2</v>
      </c>
      <c r="D93">
        <v>0</v>
      </c>
      <c r="E93">
        <f>SmtRes!AV116</f>
        <v>0</v>
      </c>
      <c r="F93" t="str">
        <f>SmtRes!I116</f>
        <v>22.1-18-13</v>
      </c>
      <c r="G93" t="str">
        <f>SmtRes!K116</f>
        <v>Автомобили-самосвалы, грузоподъемность до 10 т</v>
      </c>
      <c r="H93" t="str">
        <f>SmtRes!O116</f>
        <v>маш.-ч</v>
      </c>
      <c r="I93">
        <f>SmtRes!Y116*Source!I352</f>
        <v>0.118656</v>
      </c>
      <c r="J93">
        <f>SmtRes!AO116</f>
        <v>1</v>
      </c>
      <c r="K93">
        <f>SmtRes!AF116</f>
        <v>1566.41</v>
      </c>
      <c r="L93">
        <f>SmtRes!DB116</f>
        <v>601.44000000000005</v>
      </c>
      <c r="M93">
        <f>ROUND(ROUND(L93*Source!I352, 6)*1, 2)</f>
        <v>185.84</v>
      </c>
      <c r="N93">
        <f>SmtRes!AB116</f>
        <v>1566.41</v>
      </c>
      <c r="O93">
        <f>ROUND(ROUND(L93*Source!I352, 6)*SmtRes!DA116, 2)</f>
        <v>185.84</v>
      </c>
      <c r="P93">
        <f>SmtRes!AG116</f>
        <v>619.79</v>
      </c>
      <c r="Q93">
        <f>SmtRes!DC116</f>
        <v>238.08</v>
      </c>
      <c r="R93">
        <f>ROUND(ROUND(Q93*Source!I352, 6)*1, 2)</f>
        <v>73.569999999999993</v>
      </c>
      <c r="S93">
        <f>SmtRes!AC116</f>
        <v>619.79</v>
      </c>
      <c r="T93">
        <f>ROUND(ROUND(Q93*Source!I352, 6)*SmtRes!AK116, 2)</f>
        <v>73.569999999999993</v>
      </c>
      <c r="U93">
        <v>2</v>
      </c>
      <c r="Z93">
        <f>SmtRes!X116</f>
        <v>822486257</v>
      </c>
      <c r="AA93">
        <v>1779266029</v>
      </c>
      <c r="AB93">
        <v>1779266029</v>
      </c>
    </row>
    <row r="94" spans="1:28" x14ac:dyDescent="0.2">
      <c r="A94">
        <v>20</v>
      </c>
      <c r="B94">
        <v>115</v>
      </c>
      <c r="C94">
        <v>2</v>
      </c>
      <c r="D94">
        <v>0</v>
      </c>
      <c r="E94">
        <f>SmtRes!AV115</f>
        <v>0</v>
      </c>
      <c r="F94" t="str">
        <f>SmtRes!I115</f>
        <v>22.1-18-12</v>
      </c>
      <c r="G94" t="str">
        <f>SmtRes!K115</f>
        <v>Автомобили-самосвалы, грузоподъемность до 7 т</v>
      </c>
      <c r="H94" t="str">
        <f>SmtRes!O115</f>
        <v>маш.-ч</v>
      </c>
      <c r="I94">
        <f>SmtRes!Y115*Source!I352</f>
        <v>0.14831999999999998</v>
      </c>
      <c r="J94">
        <f>SmtRes!AO115</f>
        <v>1</v>
      </c>
      <c r="K94">
        <f>SmtRes!AF115</f>
        <v>1552.57</v>
      </c>
      <c r="L94">
        <f>SmtRes!DB115</f>
        <v>745.44</v>
      </c>
      <c r="M94">
        <f>ROUND(ROUND(L94*Source!I352, 6)*1, 2)</f>
        <v>230.34</v>
      </c>
      <c r="N94">
        <f>SmtRes!AB115</f>
        <v>1552.57</v>
      </c>
      <c r="O94">
        <f>ROUND(ROUND(L94*Source!I352, 6)*SmtRes!DA115, 2)</f>
        <v>230.34</v>
      </c>
      <c r="P94">
        <f>SmtRes!AG115</f>
        <v>619.16</v>
      </c>
      <c r="Q94">
        <f>SmtRes!DC115</f>
        <v>297.12</v>
      </c>
      <c r="R94">
        <f>ROUND(ROUND(Q94*Source!I352, 6)*1, 2)</f>
        <v>91.81</v>
      </c>
      <c r="S94">
        <f>SmtRes!AC115</f>
        <v>619.16</v>
      </c>
      <c r="T94">
        <f>ROUND(ROUND(Q94*Source!I352, 6)*SmtRes!AK115, 2)</f>
        <v>91.81</v>
      </c>
      <c r="U94">
        <v>2</v>
      </c>
      <c r="Z94">
        <f>SmtRes!X115</f>
        <v>9060937</v>
      </c>
      <c r="AA94">
        <v>406812087</v>
      </c>
      <c r="AB94">
        <v>406812087</v>
      </c>
    </row>
    <row r="95" spans="1:28" x14ac:dyDescent="0.2">
      <c r="A95">
        <v>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99"/>
  <sheetViews>
    <sheetView workbookViewId="0"/>
  </sheetViews>
  <sheetFormatPr defaultRowHeight="12.75" x14ac:dyDescent="0.2"/>
  <cols>
    <col min="1" max="1" width="18.7109375" customWidth="1"/>
    <col min="2" max="2" width="40.7109375" customWidth="1"/>
    <col min="3" max="6" width="12.7109375" customWidth="1"/>
    <col min="15" max="15" width="54.28515625" hidden="1" customWidth="1"/>
    <col min="16" max="18" width="0" hidden="1" customWidth="1"/>
  </cols>
  <sheetData>
    <row r="2" spans="1:17" ht="16.5" x14ac:dyDescent="0.2">
      <c r="A2" s="71" t="s">
        <v>526</v>
      </c>
      <c r="B2" s="72"/>
      <c r="C2" s="72"/>
      <c r="D2" s="72"/>
      <c r="E2" s="72"/>
      <c r="F2" s="72"/>
    </row>
    <row r="3" spans="1:17" ht="33" x14ac:dyDescent="0.2">
      <c r="A3" s="71" t="str">
        <f>CONCATENATE("Объект: ",IF(Source!G414&lt;&gt;"Новый объект", Source!G414, ""))</f>
        <v>Объект: ГБОУ Школа №1440. Крылатские холмы д. 23 (в ценах на 01.04.2025 г)</v>
      </c>
      <c r="B3" s="72"/>
      <c r="C3" s="72"/>
      <c r="D3" s="72"/>
      <c r="E3" s="72"/>
      <c r="F3" s="72"/>
      <c r="O3" s="45" t="s">
        <v>527</v>
      </c>
    </row>
    <row r="4" spans="1:17" x14ac:dyDescent="0.2">
      <c r="A4" s="59" t="s">
        <v>528</v>
      </c>
      <c r="B4" s="59" t="s">
        <v>529</v>
      </c>
      <c r="C4" s="59" t="s">
        <v>433</v>
      </c>
      <c r="D4" s="59" t="s">
        <v>530</v>
      </c>
      <c r="E4" s="74" t="s">
        <v>531</v>
      </c>
      <c r="F4" s="75"/>
    </row>
    <row r="5" spans="1:17" x14ac:dyDescent="0.2">
      <c r="A5" s="60"/>
      <c r="B5" s="60"/>
      <c r="C5" s="60"/>
      <c r="D5" s="60"/>
      <c r="E5" s="76"/>
      <c r="F5" s="77"/>
    </row>
    <row r="6" spans="1:17" ht="14.25" x14ac:dyDescent="0.2">
      <c r="A6" s="73"/>
      <c r="B6" s="73"/>
      <c r="C6" s="73"/>
      <c r="D6" s="73"/>
      <c r="E6" s="18" t="s">
        <v>532</v>
      </c>
      <c r="F6" s="18" t="s">
        <v>533</v>
      </c>
    </row>
    <row r="7" spans="1:17" ht="14.25" x14ac:dyDescent="0.2">
      <c r="A7" s="18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</row>
    <row r="8" spans="1:17" ht="16.5" x14ac:dyDescent="0.2">
      <c r="A8" s="71" t="str">
        <f>CONCATENATE("Локальная смета: ",IF(Source!G22&lt;&gt;"Новая локальная смета", Source!G22, ""))</f>
        <v xml:space="preserve">Локальная смета: </v>
      </c>
      <c r="B8" s="72"/>
      <c r="C8" s="72"/>
      <c r="D8" s="72"/>
      <c r="E8" s="72"/>
      <c r="F8" s="72"/>
    </row>
    <row r="9" spans="1:17" ht="16.5" x14ac:dyDescent="0.2">
      <c r="A9" s="71" t="str">
        <f>CONCATENATE("Раздел: ",IF(Source!G26&lt;&gt;"Новый раздел", Source!G26, ""))</f>
        <v>Раздел: Второй этаж, кабинет № 204</v>
      </c>
      <c r="B9" s="72"/>
      <c r="C9" s="72"/>
      <c r="D9" s="72"/>
      <c r="E9" s="72"/>
      <c r="F9" s="72"/>
    </row>
    <row r="10" spans="1:17" ht="16.5" x14ac:dyDescent="0.2">
      <c r="A10" s="71" t="str">
        <f>CONCATENATE("Подраздел: ",IF(Source!G30&lt;&gt;"Новый подраздел", Source!G30, ""))</f>
        <v>Подраздел: Полы</v>
      </c>
      <c r="B10" s="72"/>
      <c r="C10" s="72"/>
      <c r="D10" s="72"/>
      <c r="E10" s="72"/>
      <c r="F10" s="72"/>
    </row>
    <row r="11" spans="1:17" ht="14.25" x14ac:dyDescent="0.2">
      <c r="A11" s="78" t="s">
        <v>534</v>
      </c>
      <c r="B11" s="79"/>
      <c r="C11" s="79"/>
      <c r="D11" s="79"/>
      <c r="E11" s="79"/>
      <c r="F11" s="79"/>
    </row>
    <row r="12" spans="1:17" ht="28.5" x14ac:dyDescent="0.2">
      <c r="A12" s="46" t="s">
        <v>300</v>
      </c>
      <c r="B12" s="38" t="s">
        <v>302</v>
      </c>
      <c r="C12" s="38" t="s">
        <v>282</v>
      </c>
      <c r="D12" s="39">
        <f>ROUND(SUMIF(RV_DATA!AA9:AA35, 1115396703, RV_DATA!I9:I35), 6)</f>
        <v>8.9540000000000006</v>
      </c>
      <c r="E12" s="47">
        <f>ROUND(RV_DATA!K24, 6)</f>
        <v>56.19</v>
      </c>
      <c r="F12" s="47">
        <f>ROUND(SUMIF(RV_DATA!AA9:AA35, 1115396703, RV_DATA!M9:M35), 6)</f>
        <v>503.13</v>
      </c>
      <c r="Q12">
        <v>2</v>
      </c>
    </row>
    <row r="13" spans="1:17" ht="14.25" x14ac:dyDescent="0.2">
      <c r="A13" s="46" t="s">
        <v>328</v>
      </c>
      <c r="B13" s="38" t="s">
        <v>330</v>
      </c>
      <c r="C13" s="38" t="s">
        <v>282</v>
      </c>
      <c r="D13" s="39">
        <f>ROUND(SUMIF(RV_DATA!AA9:AA35, 222818004, RV_DATA!I9:I35), 6)</f>
        <v>2.585</v>
      </c>
      <c r="E13" s="47">
        <f>ROUND(RV_DATA!K34, 6)</f>
        <v>10.02</v>
      </c>
      <c r="F13" s="47">
        <f>ROUND(SUMIF(RV_DATA!AA9:AA35, 222818004, RV_DATA!M9:M35), 6)</f>
        <v>25.9</v>
      </c>
      <c r="Q13">
        <v>2</v>
      </c>
    </row>
    <row r="14" spans="1:17" ht="28.5" x14ac:dyDescent="0.2">
      <c r="A14" s="46" t="s">
        <v>288</v>
      </c>
      <c r="B14" s="38" t="s">
        <v>290</v>
      </c>
      <c r="C14" s="38" t="s">
        <v>282</v>
      </c>
      <c r="D14" s="39">
        <f>ROUND(SUMIF(RV_DATA!AA9:AA35, 1891803891, RV_DATA!I9:I35), 6)</f>
        <v>4.8239999999999998E-2</v>
      </c>
      <c r="E14" s="47">
        <f>ROUND(RV_DATA!K17, 6)</f>
        <v>6.13</v>
      </c>
      <c r="F14" s="47">
        <f>ROUND(SUMIF(RV_DATA!AA9:AA35, 1891803891, RV_DATA!M9:M35), 6)</f>
        <v>0.3</v>
      </c>
      <c r="Q14">
        <v>2</v>
      </c>
    </row>
    <row r="15" spans="1:17" ht="28.5" x14ac:dyDescent="0.2">
      <c r="A15" s="46" t="s">
        <v>303</v>
      </c>
      <c r="B15" s="38" t="s">
        <v>305</v>
      </c>
      <c r="C15" s="38" t="s">
        <v>282</v>
      </c>
      <c r="D15" s="39">
        <f>ROUND(SUMIF(RV_DATA!AA9:AA35, -1048187902, RV_DATA!I9:I35), 6)</f>
        <v>2.2825000000000002</v>
      </c>
      <c r="E15" s="47">
        <f>ROUND(RV_DATA!K23, 6)</f>
        <v>10.7</v>
      </c>
      <c r="F15" s="47">
        <f>ROUND(SUMIF(RV_DATA!AA9:AA35, -1048187902, RV_DATA!M9:M35), 6)</f>
        <v>24.43</v>
      </c>
      <c r="Q15">
        <v>2</v>
      </c>
    </row>
    <row r="16" spans="1:17" ht="14.25" x14ac:dyDescent="0.2">
      <c r="A16" s="46" t="s">
        <v>331</v>
      </c>
      <c r="B16" s="38" t="s">
        <v>333</v>
      </c>
      <c r="C16" s="38" t="s">
        <v>282</v>
      </c>
      <c r="D16" s="39">
        <f>ROUND(SUMIF(RV_DATA!AA9:AA35, 1804376768, RV_DATA!I9:I35), 6)</f>
        <v>0.82499999999999996</v>
      </c>
      <c r="E16" s="47">
        <f>ROUND(RV_DATA!K33, 6)</f>
        <v>3.57</v>
      </c>
      <c r="F16" s="47">
        <f>ROUND(SUMIF(RV_DATA!AA9:AA35, 1804376768, RV_DATA!M9:M35), 6)</f>
        <v>2.95</v>
      </c>
      <c r="Q16">
        <v>2</v>
      </c>
    </row>
    <row r="17" spans="1:17" ht="28.5" x14ac:dyDescent="0.2">
      <c r="A17" s="46" t="s">
        <v>291</v>
      </c>
      <c r="B17" s="38" t="s">
        <v>293</v>
      </c>
      <c r="C17" s="38" t="s">
        <v>282</v>
      </c>
      <c r="D17" s="39">
        <f>ROUND(SUMIF(RV_DATA!AA9:AA35, 1696645965, RV_DATA!I9:I35), 6)</f>
        <v>4.0499999999999998E-3</v>
      </c>
      <c r="E17" s="47">
        <f>ROUND(RV_DATA!K16, 6)</f>
        <v>6.09</v>
      </c>
      <c r="F17" s="47">
        <f>ROUND(SUMIF(RV_DATA!AA9:AA35, 1696645965, RV_DATA!M9:M35), 6)</f>
        <v>0.02</v>
      </c>
      <c r="Q17">
        <v>2</v>
      </c>
    </row>
    <row r="18" spans="1:17" ht="14.25" x14ac:dyDescent="0.2">
      <c r="A18" s="46" t="s">
        <v>279</v>
      </c>
      <c r="B18" s="38" t="s">
        <v>281</v>
      </c>
      <c r="C18" s="38" t="s">
        <v>282</v>
      </c>
      <c r="D18" s="39">
        <f>ROUND(SUMIF(RV_DATA!AA9:AA35, -1795244417, RV_DATA!I9:I35), 6)</f>
        <v>7.4700000000000003E-2</v>
      </c>
      <c r="E18" s="47">
        <f>ROUND(RV_DATA!K9, 6)</f>
        <v>7.44</v>
      </c>
      <c r="F18" s="47">
        <f>ROUND(SUMIF(RV_DATA!AA9:AA35, -1795244417, RV_DATA!M9:M35), 6)</f>
        <v>0.56000000000000005</v>
      </c>
      <c r="Q18">
        <v>2</v>
      </c>
    </row>
    <row r="19" spans="1:17" ht="42.75" x14ac:dyDescent="0.2">
      <c r="A19" s="46" t="s">
        <v>306</v>
      </c>
      <c r="B19" s="38" t="s">
        <v>308</v>
      </c>
      <c r="C19" s="38" t="s">
        <v>282</v>
      </c>
      <c r="D19" s="39">
        <f>ROUND(SUMIF(RV_DATA!AA9:AA35, -560972641, RV_DATA!I9:I35), 6)</f>
        <v>1.0999999999999999E-2</v>
      </c>
      <c r="E19" s="47">
        <f>ROUND(RV_DATA!K22, 6)</f>
        <v>1472.88</v>
      </c>
      <c r="F19" s="47">
        <f>ROUND(SUMIF(RV_DATA!AA9:AA35, -560972641, RV_DATA!M9:M35), 6)</f>
        <v>16.2</v>
      </c>
      <c r="Q19">
        <v>2</v>
      </c>
    </row>
    <row r="20" spans="1:17" ht="15" x14ac:dyDescent="0.25">
      <c r="A20" s="80" t="s">
        <v>535</v>
      </c>
      <c r="B20" s="80"/>
      <c r="C20" s="80"/>
      <c r="D20" s="80"/>
      <c r="E20" s="81">
        <f>SUMIF(Q12:Q19, 2, F12:F19)</f>
        <v>573.4899999999999</v>
      </c>
      <c r="F20" s="81"/>
    </row>
    <row r="21" spans="1:17" ht="14.25" x14ac:dyDescent="0.2">
      <c r="A21" s="78" t="s">
        <v>536</v>
      </c>
      <c r="B21" s="79"/>
      <c r="C21" s="79"/>
      <c r="D21" s="79"/>
      <c r="E21" s="79"/>
      <c r="F21" s="79"/>
    </row>
    <row r="22" spans="1:17" ht="28.5" x14ac:dyDescent="0.2">
      <c r="A22" s="46" t="s">
        <v>294</v>
      </c>
      <c r="B22" s="38" t="s">
        <v>296</v>
      </c>
      <c r="C22" s="38" t="s">
        <v>51</v>
      </c>
      <c r="D22" s="39">
        <f>ROUND(SUMIF(RV_DATA!AA9:AA35, -1846749560, RV_DATA!I9:I35), 6)</f>
        <v>8.4600000000000005E-3</v>
      </c>
      <c r="E22" s="47">
        <f>ROUND(RV_DATA!K14, 6)</f>
        <v>263.45</v>
      </c>
      <c r="F22" s="47">
        <f>ROUND(SUMIF(RV_DATA!AA9:AA35, -1846749560, RV_DATA!M9:M35), 6)</f>
        <v>2.23</v>
      </c>
      <c r="Q22">
        <v>3</v>
      </c>
    </row>
    <row r="23" spans="1:17" ht="14.25" x14ac:dyDescent="0.2">
      <c r="A23" s="46" t="s">
        <v>285</v>
      </c>
      <c r="B23" s="38" t="s">
        <v>287</v>
      </c>
      <c r="C23" s="38" t="s">
        <v>56</v>
      </c>
      <c r="D23" s="39">
        <f>ROUND(SUMIF(RV_DATA!AA9:AA35, 1916598461, RV_DATA!I9:I35), 6)</f>
        <v>1.3200000000000001E-4</v>
      </c>
      <c r="E23" s="47">
        <f>ROUND(RV_DATA!K10, 6)</f>
        <v>95976.83</v>
      </c>
      <c r="F23" s="47">
        <f>ROUND(SUMIF(RV_DATA!AA9:AA35, 1916598461, RV_DATA!M9:M35), 6)</f>
        <v>12.7</v>
      </c>
      <c r="Q23">
        <v>3</v>
      </c>
    </row>
    <row r="24" spans="1:17" ht="57" x14ac:dyDescent="0.2">
      <c r="A24" s="46" t="s">
        <v>322</v>
      </c>
      <c r="B24" s="38" t="s">
        <v>324</v>
      </c>
      <c r="C24" s="38" t="s">
        <v>51</v>
      </c>
      <c r="D24" s="39">
        <f>ROUND(SUMIF(RV_DATA!AA9:AA35, -1833135714, RV_DATA!I9:I35), 6)</f>
        <v>36.822499999999998</v>
      </c>
      <c r="E24" s="47">
        <f>ROUND(RV_DATA!K26, 6)</f>
        <v>221.14</v>
      </c>
      <c r="F24" s="47">
        <f>ROUND(SUMIF(RV_DATA!AA9:AA35, -1833135714, RV_DATA!M9:M35), 6)</f>
        <v>8142.94</v>
      </c>
      <c r="Q24">
        <v>3</v>
      </c>
    </row>
    <row r="25" spans="1:17" ht="14.25" x14ac:dyDescent="0.2">
      <c r="A25" s="46" t="s">
        <v>309</v>
      </c>
      <c r="B25" s="38" t="s">
        <v>311</v>
      </c>
      <c r="C25" s="38" t="s">
        <v>312</v>
      </c>
      <c r="D25" s="39">
        <f>ROUND(SUMIF(RV_DATA!AA9:AA35, 1405492101, RV_DATA!I9:I35), 6)</f>
        <v>0.1661</v>
      </c>
      <c r="E25" s="47">
        <f>ROUND(RV_DATA!K21, 6)</f>
        <v>49.83</v>
      </c>
      <c r="F25" s="47">
        <f>ROUND(SUMIF(RV_DATA!AA9:AA35, 1405492101, RV_DATA!M9:M35), 6)</f>
        <v>8.2799999999999994</v>
      </c>
      <c r="Q25">
        <v>3</v>
      </c>
    </row>
    <row r="26" spans="1:17" ht="28.5" x14ac:dyDescent="0.2">
      <c r="A26" s="46" t="s">
        <v>313</v>
      </c>
      <c r="B26" s="38" t="s">
        <v>315</v>
      </c>
      <c r="C26" s="38" t="s">
        <v>76</v>
      </c>
      <c r="D26" s="39">
        <f>ROUND(SUMIF(RV_DATA!AA9:AA35, -745564717, RV_DATA!I9:I35), 6)</f>
        <v>5.5</v>
      </c>
      <c r="E26" s="47">
        <f>ROUND(RV_DATA!K20, 6)</f>
        <v>10.62</v>
      </c>
      <c r="F26" s="47">
        <f>ROUND(SUMIF(RV_DATA!AA9:AA35, -745564717, RV_DATA!M9:M35), 6)</f>
        <v>58.41</v>
      </c>
      <c r="Q26">
        <v>3</v>
      </c>
    </row>
    <row r="27" spans="1:17" ht="57" x14ac:dyDescent="0.2">
      <c r="A27" s="46" t="s">
        <v>334</v>
      </c>
      <c r="B27" s="38" t="s">
        <v>336</v>
      </c>
      <c r="C27" s="38" t="s">
        <v>76</v>
      </c>
      <c r="D27" s="39">
        <f>ROUND(SUMIF(RV_DATA!AA9:AA35, 1879435092, RV_DATA!I9:I35), 6)</f>
        <v>58.85</v>
      </c>
      <c r="E27" s="47">
        <f>ROUND(RV_DATA!K31, 6)</f>
        <v>1117.3499999999999</v>
      </c>
      <c r="F27" s="47">
        <f>ROUND(SUMIF(RV_DATA!AA9:AA35, 1879435092, RV_DATA!M9:M35), 6)</f>
        <v>65756.05</v>
      </c>
      <c r="Q27">
        <v>3</v>
      </c>
    </row>
    <row r="28" spans="1:17" ht="28.5" x14ac:dyDescent="0.2">
      <c r="A28" s="46" t="s">
        <v>337</v>
      </c>
      <c r="B28" s="38" t="s">
        <v>339</v>
      </c>
      <c r="C28" s="38" t="s">
        <v>36</v>
      </c>
      <c r="D28" s="39">
        <f>ROUND(SUMIF(RV_DATA!AA9:AA35, -2006813742, RV_DATA!I9:I35), 6)</f>
        <v>33</v>
      </c>
      <c r="E28" s="47">
        <f>ROUND(RV_DATA!K30, 6)</f>
        <v>57.6</v>
      </c>
      <c r="F28" s="47">
        <f>ROUND(SUMIF(RV_DATA!AA9:AA35, -2006813742, RV_DATA!M9:M35), 6)</f>
        <v>1900.8</v>
      </c>
      <c r="Q28">
        <v>3</v>
      </c>
    </row>
    <row r="29" spans="1:17" ht="42.75" x14ac:dyDescent="0.2">
      <c r="A29" s="46" t="s">
        <v>325</v>
      </c>
      <c r="B29" s="38" t="s">
        <v>327</v>
      </c>
      <c r="C29" s="38" t="s">
        <v>51</v>
      </c>
      <c r="D29" s="39">
        <f>ROUND(SUMIF(RV_DATA!AA9:AA35, 127690875, RV_DATA!I9:I35), 6)</f>
        <v>11.33</v>
      </c>
      <c r="E29" s="47">
        <f>ROUND(RV_DATA!K25, 6)</f>
        <v>138.59</v>
      </c>
      <c r="F29" s="47">
        <f>ROUND(SUMIF(RV_DATA!AA9:AA35, 127690875, RV_DATA!M9:M35), 6)</f>
        <v>1570.22</v>
      </c>
      <c r="Q29">
        <v>3</v>
      </c>
    </row>
    <row r="30" spans="1:17" ht="42.75" x14ac:dyDescent="0.2">
      <c r="A30" s="46" t="s">
        <v>316</v>
      </c>
      <c r="B30" s="38" t="s">
        <v>318</v>
      </c>
      <c r="C30" s="38" t="s">
        <v>51</v>
      </c>
      <c r="D30" s="39">
        <f>ROUND(SUMIF(RV_DATA!AA9:AA35, 1664722683, RV_DATA!I9:I35), 6)</f>
        <v>11</v>
      </c>
      <c r="E30" s="47">
        <f>ROUND(RV_DATA!K19, 6)</f>
        <v>915.75</v>
      </c>
      <c r="F30" s="47">
        <f>ROUND(SUMIF(RV_DATA!AA9:AA35, 1664722683, RV_DATA!M9:M35), 6)</f>
        <v>10073.25</v>
      </c>
      <c r="Q30">
        <v>3</v>
      </c>
    </row>
    <row r="31" spans="1:17" ht="14.25" x14ac:dyDescent="0.2">
      <c r="A31" s="46" t="s">
        <v>49</v>
      </c>
      <c r="B31" s="38" t="s">
        <v>50</v>
      </c>
      <c r="C31" s="38" t="s">
        <v>51</v>
      </c>
      <c r="D31" s="39">
        <f>ROUND(SUMIF(RV_DATA!AA9:AA35, -1601762150, RV_DATA!I9:I35), 6)</f>
        <v>0.39500000000000002</v>
      </c>
      <c r="E31" s="47">
        <f>ROUND(RV_DATA!K12, 6)</f>
        <v>309.42</v>
      </c>
      <c r="F31" s="47">
        <f>ROUND(SUMIF(RV_DATA!AA9:AA35, -1601762150, RV_DATA!M9:M35), 6)</f>
        <v>122.22</v>
      </c>
      <c r="Q31">
        <v>3</v>
      </c>
    </row>
    <row r="32" spans="1:17" ht="57" x14ac:dyDescent="0.2">
      <c r="A32" s="46" t="s">
        <v>319</v>
      </c>
      <c r="B32" s="38" t="s">
        <v>321</v>
      </c>
      <c r="C32" s="38" t="s">
        <v>56</v>
      </c>
      <c r="D32" s="39">
        <f>ROUND(SUMIF(RV_DATA!AA9:AA35, -2002525921, RV_DATA!I9:I35), 6)</f>
        <v>0.46310000000000001</v>
      </c>
      <c r="E32" s="47">
        <f>ROUND(RV_DATA!K18, 6)</f>
        <v>37996.660000000003</v>
      </c>
      <c r="F32" s="47">
        <f>ROUND(SUMIF(RV_DATA!AA9:AA35, -2002525921, RV_DATA!M9:M35), 6)</f>
        <v>17596.25</v>
      </c>
      <c r="Q32">
        <v>3</v>
      </c>
    </row>
    <row r="33" spans="1:17" ht="28.5" x14ac:dyDescent="0.2">
      <c r="A33" s="46" t="s">
        <v>297</v>
      </c>
      <c r="B33" s="38" t="s">
        <v>299</v>
      </c>
      <c r="C33" s="38" t="s">
        <v>36</v>
      </c>
      <c r="D33" s="39">
        <f>ROUND(SUMIF(RV_DATA!AA9:AA35, 1256870118, RV_DATA!I9:I35), 6)</f>
        <v>0.94499999999999995</v>
      </c>
      <c r="E33" s="47">
        <f>ROUND(RV_DATA!K13, 6)</f>
        <v>154.56</v>
      </c>
      <c r="F33" s="47">
        <f>ROUND(SUMIF(RV_DATA!AA9:AA35, 1256870118, RV_DATA!M9:M35), 6)</f>
        <v>146.06</v>
      </c>
      <c r="Q33">
        <v>3</v>
      </c>
    </row>
    <row r="34" spans="1:17" ht="42.75" x14ac:dyDescent="0.2">
      <c r="A34" s="46" t="s">
        <v>34</v>
      </c>
      <c r="B34" s="38" t="s">
        <v>35</v>
      </c>
      <c r="C34" s="38" t="s">
        <v>36</v>
      </c>
      <c r="D34" s="39">
        <f>ROUND(SUMIF(RV_DATA!AA9:AA35, 816279899, RV_DATA!I9:I35), 6)</f>
        <v>33.075000000000003</v>
      </c>
      <c r="E34" s="47">
        <f>ROUND(RV_DATA!K11, 6)</f>
        <v>87.13</v>
      </c>
      <c r="F34" s="47">
        <f>ROUND(SUMIF(RV_DATA!AA9:AA35, 816279899, RV_DATA!M9:M35), 6)</f>
        <v>2881.82</v>
      </c>
      <c r="Q34">
        <v>3</v>
      </c>
    </row>
    <row r="35" spans="1:17" ht="28.5" x14ac:dyDescent="0.2">
      <c r="A35" s="46" t="s">
        <v>34</v>
      </c>
      <c r="B35" s="38" t="s">
        <v>75</v>
      </c>
      <c r="C35" s="38" t="s">
        <v>76</v>
      </c>
      <c r="D35" s="39">
        <f>ROUND(SUMIF(RV_DATA!AA9:AA35, -338022217, RV_DATA!I9:I35), 6)</f>
        <v>56.65</v>
      </c>
      <c r="E35" s="47">
        <f>ROUND(RV_DATA!K28, 6)</f>
        <v>22.78</v>
      </c>
      <c r="F35" s="47">
        <f>ROUND(SUMIF(RV_DATA!AA9:AA35, -338022217, RV_DATA!M9:M35), 6)</f>
        <v>1290.49</v>
      </c>
      <c r="Q35">
        <v>3</v>
      </c>
    </row>
    <row r="36" spans="1:17" ht="15" x14ac:dyDescent="0.25">
      <c r="A36" s="80" t="s">
        <v>537</v>
      </c>
      <c r="B36" s="80"/>
      <c r="C36" s="80"/>
      <c r="D36" s="80"/>
      <c r="E36" s="81">
        <f>SUMIF(Q22:Q35, 3, F22:F35)</f>
        <v>109561.72000000002</v>
      </c>
      <c r="F36" s="81"/>
    </row>
    <row r="37" spans="1:17" ht="16.5" x14ac:dyDescent="0.2">
      <c r="A37" s="71" t="str">
        <f>CONCATENATE("Подраздел: ",IF(Source!G80&lt;&gt;"Новый подраздел", Source!G80, ""))</f>
        <v>Подраздел: Стены</v>
      </c>
      <c r="B37" s="72"/>
      <c r="C37" s="72"/>
      <c r="D37" s="72"/>
      <c r="E37" s="72"/>
      <c r="F37" s="72"/>
    </row>
    <row r="38" spans="1:17" ht="14.25" x14ac:dyDescent="0.2">
      <c r="A38" s="78" t="s">
        <v>536</v>
      </c>
      <c r="B38" s="79"/>
      <c r="C38" s="79"/>
      <c r="D38" s="79"/>
      <c r="E38" s="79"/>
      <c r="F38" s="79"/>
    </row>
    <row r="39" spans="1:17" ht="14.25" x14ac:dyDescent="0.2">
      <c r="A39" s="46" t="s">
        <v>340</v>
      </c>
      <c r="B39" s="38" t="s">
        <v>342</v>
      </c>
      <c r="C39" s="38" t="s">
        <v>51</v>
      </c>
      <c r="D39" s="39">
        <f>ROUND(SUMIF(RV_DATA!AA37:AA43, 777677002, RV_DATA!I37:I43), 6)</f>
        <v>0.28008</v>
      </c>
      <c r="E39" s="47">
        <f>ROUND(RV_DATA!K42, 6)</f>
        <v>26.09</v>
      </c>
      <c r="F39" s="47">
        <f>ROUND(SUMIF(RV_DATA!AA37:AA43, 777677002, RV_DATA!M37:M43), 6)</f>
        <v>7.31</v>
      </c>
      <c r="Q39">
        <v>3</v>
      </c>
    </row>
    <row r="40" spans="1:17" ht="14.25" x14ac:dyDescent="0.2">
      <c r="A40" s="46" t="s">
        <v>309</v>
      </c>
      <c r="B40" s="38" t="s">
        <v>311</v>
      </c>
      <c r="C40" s="38" t="s">
        <v>312</v>
      </c>
      <c r="D40" s="39">
        <f>ROUND(SUMIF(RV_DATA!AA37:AA43, 1405492101, RV_DATA!I37:I43), 6)</f>
        <v>0.18672</v>
      </c>
      <c r="E40" s="47">
        <f>ROUND(RV_DATA!K41, 6)</f>
        <v>49.83</v>
      </c>
      <c r="F40" s="47">
        <f>ROUND(SUMIF(RV_DATA!AA37:AA43, 1405492101, RV_DATA!M37:M43), 6)</f>
        <v>9.3000000000000007</v>
      </c>
      <c r="Q40">
        <v>3</v>
      </c>
    </row>
    <row r="41" spans="1:17" ht="28.5" x14ac:dyDescent="0.2">
      <c r="A41" s="46" t="s">
        <v>343</v>
      </c>
      <c r="B41" s="38" t="s">
        <v>345</v>
      </c>
      <c r="C41" s="38" t="s">
        <v>76</v>
      </c>
      <c r="D41" s="39">
        <f>ROUND(SUMIF(RV_DATA!AA37:AA43, 1781192509, RV_DATA!I37:I43), 6)</f>
        <v>0.62239999999999995</v>
      </c>
      <c r="E41" s="47">
        <f>ROUND(RV_DATA!K40, 6)</f>
        <v>338.51</v>
      </c>
      <c r="F41" s="47">
        <f>ROUND(SUMIF(RV_DATA!AA37:AA43, 1781192509, RV_DATA!M37:M43), 6)</f>
        <v>210.69</v>
      </c>
      <c r="Q41">
        <v>3</v>
      </c>
    </row>
    <row r="42" spans="1:17" ht="28.5" x14ac:dyDescent="0.2">
      <c r="A42" s="46" t="s">
        <v>346</v>
      </c>
      <c r="B42" s="38" t="s">
        <v>348</v>
      </c>
      <c r="C42" s="38" t="s">
        <v>56</v>
      </c>
      <c r="D42" s="39">
        <f>ROUND(SUMIF(RV_DATA!AA37:AA43, 358603207, RV_DATA!I37:I43), 6)</f>
        <v>4.9789999999999999E-3</v>
      </c>
      <c r="E42" s="47">
        <f>ROUND(RV_DATA!K39, 6)</f>
        <v>76204.789999999994</v>
      </c>
      <c r="F42" s="47">
        <f>ROUND(SUMIF(RV_DATA!AA37:AA43, 358603207, RV_DATA!M37:M43), 6)</f>
        <v>379.44</v>
      </c>
      <c r="Q42">
        <v>3</v>
      </c>
    </row>
    <row r="43" spans="1:17" ht="28.5" x14ac:dyDescent="0.2">
      <c r="A43" s="46" t="s">
        <v>146</v>
      </c>
      <c r="B43" s="38" t="s">
        <v>147</v>
      </c>
      <c r="C43" s="38" t="s">
        <v>56</v>
      </c>
      <c r="D43" s="39">
        <f>ROUND(SUMIF(RV_DATA!AA37:AA43, 1057484904, RV_DATA!I37:I43), 6)</f>
        <v>1.323E-3</v>
      </c>
      <c r="E43" s="47">
        <f>ROUND(RV_DATA!K43, 6)</f>
        <v>198992.34</v>
      </c>
      <c r="F43" s="47">
        <f>ROUND(SUMIF(RV_DATA!AA37:AA43, 1057484904, RV_DATA!M37:M43), 6)</f>
        <v>263.27</v>
      </c>
      <c r="Q43">
        <v>3</v>
      </c>
    </row>
    <row r="44" spans="1:17" ht="57" x14ac:dyDescent="0.2">
      <c r="A44" s="46" t="s">
        <v>349</v>
      </c>
      <c r="B44" s="38" t="s">
        <v>351</v>
      </c>
      <c r="C44" s="38" t="s">
        <v>51</v>
      </c>
      <c r="D44" s="39">
        <f>ROUND(SUMIF(RV_DATA!AA37:AA43, 1845104999, RV_DATA!I37:I43), 6)</f>
        <v>19.2944</v>
      </c>
      <c r="E44" s="47">
        <f>ROUND(RV_DATA!K38, 6)</f>
        <v>215.72</v>
      </c>
      <c r="F44" s="47">
        <f>ROUND(SUMIF(RV_DATA!AA37:AA43, 1845104999, RV_DATA!M37:M43), 6)</f>
        <v>4162.1899999999996</v>
      </c>
      <c r="Q44">
        <v>3</v>
      </c>
    </row>
    <row r="45" spans="1:17" ht="57" x14ac:dyDescent="0.2">
      <c r="A45" s="46" t="s">
        <v>352</v>
      </c>
      <c r="B45" s="38" t="s">
        <v>354</v>
      </c>
      <c r="C45" s="38" t="s">
        <v>51</v>
      </c>
      <c r="D45" s="39">
        <f>ROUND(SUMIF(RV_DATA!AA37:AA43, -172959861, RV_DATA!I37:I43), 6)</f>
        <v>10.891999999999999</v>
      </c>
      <c r="E45" s="47">
        <f>ROUND(RV_DATA!K37, 6)</f>
        <v>80.599999999999994</v>
      </c>
      <c r="F45" s="47">
        <f>ROUND(SUMIF(RV_DATA!AA37:AA43, -172959861, RV_DATA!M37:M43), 6)</f>
        <v>877.9</v>
      </c>
      <c r="Q45">
        <v>3</v>
      </c>
    </row>
    <row r="46" spans="1:17" ht="15" x14ac:dyDescent="0.25">
      <c r="A46" s="80" t="s">
        <v>537</v>
      </c>
      <c r="B46" s="80"/>
      <c r="C46" s="80"/>
      <c r="D46" s="80"/>
      <c r="E46" s="81">
        <f>SUMIF(Q39:Q45, 3, F39:F45)</f>
        <v>5910.0999999999995</v>
      </c>
      <c r="F46" s="81"/>
    </row>
    <row r="47" spans="1:17" ht="16.5" x14ac:dyDescent="0.2">
      <c r="A47" s="71" t="str">
        <f>CONCATENATE("Подраздел: ",IF(Source!G117&lt;&gt;"Новый подраздел", Source!G117, ""))</f>
        <v>Подраздел: Потолок</v>
      </c>
      <c r="B47" s="72"/>
      <c r="C47" s="72"/>
      <c r="D47" s="72"/>
      <c r="E47" s="72"/>
      <c r="F47" s="72"/>
    </row>
    <row r="48" spans="1:17" ht="14.25" x14ac:dyDescent="0.2">
      <c r="A48" s="78" t="s">
        <v>536</v>
      </c>
      <c r="B48" s="79"/>
      <c r="C48" s="79"/>
      <c r="D48" s="79"/>
      <c r="E48" s="79"/>
      <c r="F48" s="79"/>
    </row>
    <row r="49" spans="1:17" ht="14.25" x14ac:dyDescent="0.2">
      <c r="A49" s="46" t="s">
        <v>340</v>
      </c>
      <c r="B49" s="38" t="s">
        <v>342</v>
      </c>
      <c r="C49" s="38" t="s">
        <v>51</v>
      </c>
      <c r="D49" s="39">
        <f>ROUND(SUMIF(RV_DATA!AA45:AA50, 777677002, RV_DATA!I45:I50), 6)</f>
        <v>0.19800000000000001</v>
      </c>
      <c r="E49" s="47">
        <f>ROUND(RV_DATA!K50, 6)</f>
        <v>26.09</v>
      </c>
      <c r="F49" s="47">
        <f>ROUND(SUMIF(RV_DATA!AA45:AA50, 777677002, RV_DATA!M45:M50), 6)</f>
        <v>5.16</v>
      </c>
      <c r="Q49">
        <v>3</v>
      </c>
    </row>
    <row r="50" spans="1:17" ht="14.25" x14ac:dyDescent="0.2">
      <c r="A50" s="46" t="s">
        <v>309</v>
      </c>
      <c r="B50" s="38" t="s">
        <v>311</v>
      </c>
      <c r="C50" s="38" t="s">
        <v>312</v>
      </c>
      <c r="D50" s="39">
        <f>ROUND(SUMIF(RV_DATA!AA45:AA50, 1405492101, RV_DATA!I45:I50), 6)</f>
        <v>0.13200000000000001</v>
      </c>
      <c r="E50" s="47">
        <f>ROUND(RV_DATA!K49, 6)</f>
        <v>49.83</v>
      </c>
      <c r="F50" s="47">
        <f>ROUND(SUMIF(RV_DATA!AA45:AA50, 1405492101, RV_DATA!M45:M50), 6)</f>
        <v>6.58</v>
      </c>
      <c r="Q50">
        <v>3</v>
      </c>
    </row>
    <row r="51" spans="1:17" ht="28.5" x14ac:dyDescent="0.2">
      <c r="A51" s="46" t="s">
        <v>343</v>
      </c>
      <c r="B51" s="38" t="s">
        <v>345</v>
      </c>
      <c r="C51" s="38" t="s">
        <v>76</v>
      </c>
      <c r="D51" s="39">
        <f>ROUND(SUMIF(RV_DATA!AA45:AA50, 1781192509, RV_DATA!I45:I50), 6)</f>
        <v>0.88</v>
      </c>
      <c r="E51" s="47">
        <f>ROUND(RV_DATA!K48, 6)</f>
        <v>338.51</v>
      </c>
      <c r="F51" s="47">
        <f>ROUND(SUMIF(RV_DATA!AA45:AA50, 1781192509, RV_DATA!M45:M50), 6)</f>
        <v>297.89</v>
      </c>
      <c r="Q51">
        <v>3</v>
      </c>
    </row>
    <row r="52" spans="1:17" ht="28.5" x14ac:dyDescent="0.2">
      <c r="A52" s="46" t="s">
        <v>346</v>
      </c>
      <c r="B52" s="38" t="s">
        <v>348</v>
      </c>
      <c r="C52" s="38" t="s">
        <v>56</v>
      </c>
      <c r="D52" s="39">
        <f>ROUND(SUMIF(RV_DATA!AA45:AA50, 358603207, RV_DATA!I45:I50), 6)</f>
        <v>3.7399999999999998E-3</v>
      </c>
      <c r="E52" s="47">
        <f>ROUND(RV_DATA!K47, 6)</f>
        <v>76204.789999999994</v>
      </c>
      <c r="F52" s="47">
        <f>ROUND(SUMIF(RV_DATA!AA45:AA50, 358603207, RV_DATA!M45:M50), 6)</f>
        <v>285</v>
      </c>
      <c r="Q52">
        <v>3</v>
      </c>
    </row>
    <row r="53" spans="1:17" ht="57" x14ac:dyDescent="0.2">
      <c r="A53" s="46" t="s">
        <v>355</v>
      </c>
      <c r="B53" s="38" t="s">
        <v>357</v>
      </c>
      <c r="C53" s="38" t="s">
        <v>51</v>
      </c>
      <c r="D53" s="39">
        <f>ROUND(SUMIF(RV_DATA!AA45:AA50, 265603619, RV_DATA!I45:I50), 6)</f>
        <v>13.64</v>
      </c>
      <c r="E53" s="47">
        <f>ROUND(RV_DATA!K46, 6)</f>
        <v>157.52000000000001</v>
      </c>
      <c r="F53" s="47">
        <f>ROUND(SUMIF(RV_DATA!AA45:AA50, 265603619, RV_DATA!M45:M50), 6)</f>
        <v>2148.58</v>
      </c>
      <c r="Q53">
        <v>3</v>
      </c>
    </row>
    <row r="54" spans="1:17" ht="57" x14ac:dyDescent="0.2">
      <c r="A54" s="46" t="s">
        <v>352</v>
      </c>
      <c r="B54" s="38" t="s">
        <v>354</v>
      </c>
      <c r="C54" s="38" t="s">
        <v>51</v>
      </c>
      <c r="D54" s="39">
        <f>ROUND(SUMIF(RV_DATA!AA45:AA50, -172959861, RV_DATA!I45:I50), 6)</f>
        <v>7.7</v>
      </c>
      <c r="E54" s="47">
        <f>ROUND(RV_DATA!K45, 6)</f>
        <v>80.599999999999994</v>
      </c>
      <c r="F54" s="47">
        <f>ROUND(SUMIF(RV_DATA!AA45:AA50, -172959861, RV_DATA!M45:M50), 6)</f>
        <v>620.62</v>
      </c>
      <c r="Q54">
        <v>3</v>
      </c>
    </row>
    <row r="55" spans="1:17" ht="15" x14ac:dyDescent="0.25">
      <c r="A55" s="80" t="s">
        <v>537</v>
      </c>
      <c r="B55" s="80"/>
      <c r="C55" s="80"/>
      <c r="D55" s="80"/>
      <c r="E55" s="81">
        <f>SUMIF(Q49:Q54, 3, F49:F54)</f>
        <v>3363.83</v>
      </c>
      <c r="F55" s="81"/>
    </row>
    <row r="56" spans="1:17" ht="16.5" x14ac:dyDescent="0.2">
      <c r="A56" s="71" t="str">
        <f>CONCATENATE("Подраздел: ",IF(Source!G153&lt;&gt;"Новый подраздел", Source!G153, ""))</f>
        <v>Подраздел: Окна</v>
      </c>
      <c r="B56" s="72"/>
      <c r="C56" s="72"/>
      <c r="D56" s="72"/>
      <c r="E56" s="72"/>
      <c r="F56" s="72"/>
    </row>
    <row r="57" spans="1:17" ht="14.25" x14ac:dyDescent="0.2">
      <c r="A57" s="78" t="s">
        <v>536</v>
      </c>
      <c r="B57" s="79"/>
      <c r="C57" s="79"/>
      <c r="D57" s="79"/>
      <c r="E57" s="79"/>
      <c r="F57" s="79"/>
    </row>
    <row r="58" spans="1:17" ht="57" x14ac:dyDescent="0.2">
      <c r="A58" s="46" t="s">
        <v>169</v>
      </c>
      <c r="B58" s="38" t="s">
        <v>170</v>
      </c>
      <c r="C58" s="38" t="s">
        <v>36</v>
      </c>
      <c r="D58" s="39">
        <f>ROUND(SUMIF(RV_DATA!AA52:AA57, 53392314, RV_DATA!I52:I57), 6)</f>
        <v>19.695</v>
      </c>
      <c r="E58" s="47">
        <f>ROUND(RV_DATA!K54, 6)</f>
        <v>28.54</v>
      </c>
      <c r="F58" s="47">
        <f>ROUND(SUMIF(RV_DATA!AA52:AA57, 53392314, RV_DATA!M52:M57), 6)</f>
        <v>562.09</v>
      </c>
      <c r="Q58">
        <v>3</v>
      </c>
    </row>
    <row r="59" spans="1:17" ht="14.25" x14ac:dyDescent="0.2">
      <c r="A59" s="46" t="s">
        <v>358</v>
      </c>
      <c r="B59" s="38" t="s">
        <v>360</v>
      </c>
      <c r="C59" s="38" t="s">
        <v>36</v>
      </c>
      <c r="D59" s="39">
        <f>ROUND(SUMIF(RV_DATA!AA52:AA57, -2134427384, RV_DATA!I52:I57), 6)</f>
        <v>2.5350000000000001</v>
      </c>
      <c r="E59" s="47">
        <f>ROUND(RV_DATA!K53, 6)</f>
        <v>2.2400000000000002</v>
      </c>
      <c r="F59" s="47">
        <f>ROUND(SUMIF(RV_DATA!AA52:AA57, -2134427384, RV_DATA!M52:M57), 6)</f>
        <v>5.68</v>
      </c>
      <c r="Q59">
        <v>3</v>
      </c>
    </row>
    <row r="60" spans="1:17" ht="28.5" x14ac:dyDescent="0.2">
      <c r="A60" s="46" t="s">
        <v>361</v>
      </c>
      <c r="B60" s="38" t="s">
        <v>363</v>
      </c>
      <c r="C60" s="38" t="s">
        <v>364</v>
      </c>
      <c r="D60" s="39">
        <f>ROUND(SUMIF(RV_DATA!AA52:AA57, 809103601, RV_DATA!I52:I57), 6)</f>
        <v>0.11115</v>
      </c>
      <c r="E60" s="47">
        <f>ROUND(RV_DATA!K52, 6)</f>
        <v>594.64</v>
      </c>
      <c r="F60" s="47">
        <f>ROUND(SUMIF(RV_DATA!AA52:AA57, 809103601, RV_DATA!M52:M57), 6)</f>
        <v>66.09</v>
      </c>
      <c r="Q60">
        <v>3</v>
      </c>
    </row>
    <row r="61" spans="1:17" ht="15" x14ac:dyDescent="0.25">
      <c r="A61" s="80" t="s">
        <v>537</v>
      </c>
      <c r="B61" s="80"/>
      <c r="C61" s="80"/>
      <c r="D61" s="80"/>
      <c r="E61" s="81">
        <f>SUMIF(Q58:Q60, 3, F58:F60)</f>
        <v>633.86</v>
      </c>
      <c r="F61" s="81"/>
    </row>
    <row r="62" spans="1:17" ht="16.5" x14ac:dyDescent="0.2">
      <c r="A62" s="71" t="str">
        <f>CONCATENATE("Подраздел: ",IF(Source!G194&lt;&gt;"Новый подраздел", Source!G194, ""))</f>
        <v>Подраздел: Инженерные сети</v>
      </c>
      <c r="B62" s="72"/>
      <c r="C62" s="72"/>
      <c r="D62" s="72"/>
      <c r="E62" s="72"/>
      <c r="F62" s="72"/>
    </row>
    <row r="63" spans="1:17" ht="14.25" x14ac:dyDescent="0.2">
      <c r="A63" s="78" t="s">
        <v>534</v>
      </c>
      <c r="B63" s="79"/>
      <c r="C63" s="79"/>
      <c r="D63" s="79"/>
      <c r="E63" s="79"/>
      <c r="F63" s="79"/>
    </row>
    <row r="64" spans="1:17" ht="28.5" x14ac:dyDescent="0.2">
      <c r="A64" s="46" t="s">
        <v>288</v>
      </c>
      <c r="B64" s="38" t="s">
        <v>290</v>
      </c>
      <c r="C64" s="38" t="s">
        <v>282</v>
      </c>
      <c r="D64" s="39">
        <f>ROUND(SUMIF(RV_DATA!AA59:AA82, 1891803891, RV_DATA!I59:I82), 6)</f>
        <v>0.02</v>
      </c>
      <c r="E64" s="47">
        <f>ROUND(RV_DATA!K71, 6)</f>
        <v>6.13</v>
      </c>
      <c r="F64" s="47">
        <f>ROUND(SUMIF(RV_DATA!AA59:AA82, 1891803891, RV_DATA!M59:M82), 6)</f>
        <v>0.12</v>
      </c>
      <c r="Q64">
        <v>2</v>
      </c>
    </row>
    <row r="65" spans="1:17" ht="15" x14ac:dyDescent="0.25">
      <c r="A65" s="80" t="s">
        <v>535</v>
      </c>
      <c r="B65" s="80"/>
      <c r="C65" s="80"/>
      <c r="D65" s="80"/>
      <c r="E65" s="81">
        <f>SUMIF(Q64:Q64, 2, F64:F64)</f>
        <v>0.12</v>
      </c>
      <c r="F65" s="81"/>
    </row>
    <row r="66" spans="1:17" ht="14.25" x14ac:dyDescent="0.2">
      <c r="A66" s="78" t="s">
        <v>536</v>
      </c>
      <c r="B66" s="79"/>
      <c r="C66" s="79"/>
      <c r="D66" s="79"/>
      <c r="E66" s="79"/>
      <c r="F66" s="79"/>
    </row>
    <row r="67" spans="1:17" ht="28.5" x14ac:dyDescent="0.2">
      <c r="A67" s="46" t="s">
        <v>371</v>
      </c>
      <c r="B67" s="38" t="s">
        <v>373</v>
      </c>
      <c r="C67" s="38" t="s">
        <v>56</v>
      </c>
      <c r="D67" s="39">
        <f>ROUND(SUMIF(RV_DATA!AA59:AA82, -451808164, RV_DATA!I59:I82), 6)</f>
        <v>6.9999999999999994E-5</v>
      </c>
      <c r="E67" s="47">
        <f>ROUND(RV_DATA!K70, 6)</f>
        <v>239140.75</v>
      </c>
      <c r="F67" s="47">
        <f>ROUND(SUMIF(RV_DATA!AA59:AA82, -451808164, RV_DATA!M59:M82), 6)</f>
        <v>16.739999999999998</v>
      </c>
      <c r="Q67">
        <v>3</v>
      </c>
    </row>
    <row r="68" spans="1:17" ht="14.25" x14ac:dyDescent="0.2">
      <c r="A68" s="46" t="s">
        <v>374</v>
      </c>
      <c r="B68" s="38" t="s">
        <v>376</v>
      </c>
      <c r="C68" s="38" t="s">
        <v>196</v>
      </c>
      <c r="D68" s="39">
        <f>ROUND(SUMIF(RV_DATA!AA59:AA82, -223804902, RV_DATA!I59:I82), 6)</f>
        <v>0.04</v>
      </c>
      <c r="E68" s="47">
        <f>ROUND(RV_DATA!K69, 6)</f>
        <v>2.31</v>
      </c>
      <c r="F68" s="47">
        <f>ROUND(SUMIF(RV_DATA!AA59:AA82, -223804902, RV_DATA!M59:M82), 6)</f>
        <v>0.09</v>
      </c>
      <c r="Q68">
        <v>3</v>
      </c>
    </row>
    <row r="69" spans="1:17" ht="14.25" x14ac:dyDescent="0.2">
      <c r="A69" s="46" t="s">
        <v>285</v>
      </c>
      <c r="B69" s="38" t="s">
        <v>287</v>
      </c>
      <c r="C69" s="38" t="s">
        <v>56</v>
      </c>
      <c r="D69" s="39">
        <f>ROUND(SUMIF(RV_DATA!AA59:AA82, 1916598461, RV_DATA!I59:I82), 6)</f>
        <v>2.4000000000000001E-4</v>
      </c>
      <c r="E69" s="47">
        <f>ROUND(RV_DATA!K61, 6)</f>
        <v>95976.83</v>
      </c>
      <c r="F69" s="47">
        <f>ROUND(SUMIF(RV_DATA!AA59:AA82, 1916598461, RV_DATA!M59:M82), 6)</f>
        <v>23.04</v>
      </c>
      <c r="Q69">
        <v>3</v>
      </c>
    </row>
    <row r="70" spans="1:17" ht="42.75" x14ac:dyDescent="0.2">
      <c r="A70" s="46" t="s">
        <v>365</v>
      </c>
      <c r="B70" s="38" t="s">
        <v>367</v>
      </c>
      <c r="C70" s="38" t="s">
        <v>56</v>
      </c>
      <c r="D70" s="39">
        <f>ROUND(SUMIF(RV_DATA!AA59:AA82, 1251560671, RV_DATA!I59:I82), 6)</f>
        <v>1.06E-3</v>
      </c>
      <c r="E70" s="47">
        <f>ROUND(RV_DATA!K60, 6)</f>
        <v>87313.75</v>
      </c>
      <c r="F70" s="47">
        <f>ROUND(SUMIF(RV_DATA!AA59:AA82, 1251560671, RV_DATA!M59:M82), 6)</f>
        <v>92.55</v>
      </c>
      <c r="Q70">
        <v>3</v>
      </c>
    </row>
    <row r="71" spans="1:17" ht="42.75" x14ac:dyDescent="0.2">
      <c r="A71" s="46" t="s">
        <v>377</v>
      </c>
      <c r="B71" s="38" t="s">
        <v>379</v>
      </c>
      <c r="C71" s="38" t="s">
        <v>51</v>
      </c>
      <c r="D71" s="39">
        <f>ROUND(SUMIF(RV_DATA!AA59:AA82, -507751513, RV_DATA!I59:I82), 6)</f>
        <v>4.2599999999999999E-2</v>
      </c>
      <c r="E71" s="47">
        <f>ROUND(RV_DATA!K67, 6)</f>
        <v>656.56</v>
      </c>
      <c r="F71" s="47">
        <f>ROUND(SUMIF(RV_DATA!AA59:AA82, -507751513, RV_DATA!M59:M82), 6)</f>
        <v>27.97</v>
      </c>
      <c r="Q71">
        <v>3</v>
      </c>
    </row>
    <row r="72" spans="1:17" ht="14.25" x14ac:dyDescent="0.2">
      <c r="A72" s="46" t="s">
        <v>380</v>
      </c>
      <c r="B72" s="38" t="s">
        <v>382</v>
      </c>
      <c r="C72" s="38" t="s">
        <v>56</v>
      </c>
      <c r="D72" s="39">
        <f>ROUND(SUMIF(RV_DATA!AA59:AA82, 109297667, RV_DATA!I59:I82), 6)</f>
        <v>2.0000000000000001E-4</v>
      </c>
      <c r="E72" s="47">
        <f>ROUND(RV_DATA!K66, 6)</f>
        <v>58866.75</v>
      </c>
      <c r="F72" s="47">
        <f>ROUND(SUMIF(RV_DATA!AA59:AA82, 109297667, RV_DATA!M59:M82), 6)</f>
        <v>11.77</v>
      </c>
      <c r="Q72">
        <v>3</v>
      </c>
    </row>
    <row r="73" spans="1:17" ht="42.75" x14ac:dyDescent="0.2">
      <c r="A73" s="46" t="s">
        <v>395</v>
      </c>
      <c r="B73" s="38" t="s">
        <v>397</v>
      </c>
      <c r="C73" s="38" t="s">
        <v>191</v>
      </c>
      <c r="D73" s="39">
        <f>ROUND(SUMIF(RV_DATA!AA59:AA82, -1301456157, RV_DATA!I59:I82), 6)</f>
        <v>2</v>
      </c>
      <c r="E73" s="47">
        <f>ROUND(RV_DATA!K78, 6)</f>
        <v>132.30000000000001</v>
      </c>
      <c r="F73" s="47">
        <f>ROUND(SUMIF(RV_DATA!AA59:AA82, -1301456157, RV_DATA!M59:M82), 6)</f>
        <v>264.60000000000002</v>
      </c>
      <c r="Q73">
        <v>3</v>
      </c>
    </row>
    <row r="74" spans="1:17" ht="42.75" x14ac:dyDescent="0.2">
      <c r="A74" s="46" t="s">
        <v>226</v>
      </c>
      <c r="B74" s="38" t="s">
        <v>227</v>
      </c>
      <c r="C74" s="38" t="s">
        <v>196</v>
      </c>
      <c r="D74" s="39">
        <f>ROUND(SUMIF(RV_DATA!AA59:AA82, 1604916054, RV_DATA!I59:I82), 6)</f>
        <v>2</v>
      </c>
      <c r="E74" s="47">
        <f>ROUND(RV_DATA!K82, 6)</f>
        <v>182.88</v>
      </c>
      <c r="F74" s="47">
        <f>ROUND(SUMIF(RV_DATA!AA59:AA82, 1604916054, RV_DATA!M59:M82), 6)</f>
        <v>365.76</v>
      </c>
      <c r="Q74">
        <v>3</v>
      </c>
    </row>
    <row r="75" spans="1:17" ht="71.25" x14ac:dyDescent="0.2">
      <c r="A75" s="46" t="s">
        <v>383</v>
      </c>
      <c r="B75" s="38" t="s">
        <v>385</v>
      </c>
      <c r="C75" s="38" t="s">
        <v>56</v>
      </c>
      <c r="D75" s="39">
        <f>ROUND(SUMIF(RV_DATA!AA59:AA82, 913770738, RV_DATA!I59:I82), 6)</f>
        <v>4.06E-4</v>
      </c>
      <c r="E75" s="47">
        <f>ROUND(RV_DATA!K65, 6)</f>
        <v>91558.65</v>
      </c>
      <c r="F75" s="47">
        <f>ROUND(SUMIF(RV_DATA!AA59:AA82, 913770738, RV_DATA!M59:M82), 6)</f>
        <v>37.17</v>
      </c>
      <c r="Q75">
        <v>3</v>
      </c>
    </row>
    <row r="76" spans="1:17" ht="28.5" x14ac:dyDescent="0.2">
      <c r="A76" s="46" t="s">
        <v>386</v>
      </c>
      <c r="B76" s="38" t="s">
        <v>388</v>
      </c>
      <c r="C76" s="38" t="s">
        <v>51</v>
      </c>
      <c r="D76" s="39">
        <f>ROUND(SUMIF(RV_DATA!AA59:AA82, 541381503, RV_DATA!I59:I82), 6)</f>
        <v>5.2600000000000001E-2</v>
      </c>
      <c r="E76" s="47">
        <f>ROUND(RV_DATA!K64, 6)</f>
        <v>99.65</v>
      </c>
      <c r="F76" s="47">
        <f>ROUND(SUMIF(RV_DATA!AA59:AA82, 541381503, RV_DATA!M59:M82), 6)</f>
        <v>5.25</v>
      </c>
      <c r="Q76">
        <v>3</v>
      </c>
    </row>
    <row r="77" spans="1:17" ht="42.75" x14ac:dyDescent="0.2">
      <c r="A77" s="46" t="s">
        <v>389</v>
      </c>
      <c r="B77" s="38" t="s">
        <v>391</v>
      </c>
      <c r="C77" s="38" t="s">
        <v>196</v>
      </c>
      <c r="D77" s="39">
        <f>ROUND(SUMIF(RV_DATA!AA59:AA82, 496642280, RV_DATA!I59:I82), 6)</f>
        <v>2</v>
      </c>
      <c r="E77" s="47">
        <f>ROUND(RV_DATA!K63, 6)</f>
        <v>271.39999999999998</v>
      </c>
      <c r="F77" s="47">
        <f>ROUND(SUMIF(RV_DATA!AA59:AA82, 496642280, RV_DATA!M59:M82), 6)</f>
        <v>542.79999999999995</v>
      </c>
      <c r="Q77">
        <v>3</v>
      </c>
    </row>
    <row r="78" spans="1:17" ht="28.5" x14ac:dyDescent="0.2">
      <c r="A78" s="46" t="s">
        <v>392</v>
      </c>
      <c r="B78" s="38" t="s">
        <v>394</v>
      </c>
      <c r="C78" s="38" t="s">
        <v>196</v>
      </c>
      <c r="D78" s="39">
        <f>ROUND(SUMIF(RV_DATA!AA59:AA82, 794469052, RV_DATA!I59:I82), 6)</f>
        <v>1</v>
      </c>
      <c r="E78" s="47">
        <f>ROUND(RV_DATA!K62, 6)</f>
        <v>603.87</v>
      </c>
      <c r="F78" s="47">
        <f>ROUND(SUMIF(RV_DATA!AA59:AA82, 794469052, RV_DATA!M59:M82), 6)</f>
        <v>603.87</v>
      </c>
      <c r="Q78">
        <v>3</v>
      </c>
    </row>
    <row r="79" spans="1:17" ht="57" x14ac:dyDescent="0.2">
      <c r="A79" s="46" t="s">
        <v>194</v>
      </c>
      <c r="B79" s="38" t="s">
        <v>195</v>
      </c>
      <c r="C79" s="38" t="s">
        <v>196</v>
      </c>
      <c r="D79" s="39">
        <f>ROUND(SUMIF(RV_DATA!AA59:AA82, 1323547038, RV_DATA!I59:I82), 6)</f>
        <v>1</v>
      </c>
      <c r="E79" s="47">
        <f>ROUND(RV_DATA!K72, 6)</f>
        <v>5025.26</v>
      </c>
      <c r="F79" s="47">
        <f>ROUND(SUMIF(RV_DATA!AA59:AA82, 1323547038, RV_DATA!M59:M82), 6)</f>
        <v>5025.26</v>
      </c>
      <c r="Q79">
        <v>3</v>
      </c>
    </row>
    <row r="80" spans="1:17" ht="28.5" x14ac:dyDescent="0.2">
      <c r="A80" s="46" t="s">
        <v>368</v>
      </c>
      <c r="B80" s="38" t="s">
        <v>370</v>
      </c>
      <c r="C80" s="38" t="s">
        <v>36</v>
      </c>
      <c r="D80" s="39">
        <f>ROUND(SUMIF(RV_DATA!AA59:AA82, 895668758, RV_DATA!I59:I82), 6)</f>
        <v>8</v>
      </c>
      <c r="E80" s="47">
        <f>ROUND(RV_DATA!K59, 6)</f>
        <v>27.14</v>
      </c>
      <c r="F80" s="47">
        <f>ROUND(SUMIF(RV_DATA!AA59:AA82, 895668758, RV_DATA!M59:M82), 6)</f>
        <v>217.12</v>
      </c>
      <c r="Q80">
        <v>3</v>
      </c>
    </row>
    <row r="81" spans="1:17" ht="42.75" x14ac:dyDescent="0.2">
      <c r="A81" s="46" t="s">
        <v>199</v>
      </c>
      <c r="B81" s="38" t="s">
        <v>200</v>
      </c>
      <c r="C81" s="38" t="s">
        <v>196</v>
      </c>
      <c r="D81" s="39">
        <f>ROUND(SUMIF(RV_DATA!AA59:AA82, 1662594525, RV_DATA!I59:I82), 6)</f>
        <v>1</v>
      </c>
      <c r="E81" s="47">
        <f>ROUND(RV_DATA!K73, 6)</f>
        <v>37.5</v>
      </c>
      <c r="F81" s="47">
        <f>ROUND(SUMIF(RV_DATA!AA59:AA82, 1662594525, RV_DATA!M59:M82), 6)</f>
        <v>37.5</v>
      </c>
      <c r="Q81">
        <v>3</v>
      </c>
    </row>
    <row r="82" spans="1:17" ht="42.75" x14ac:dyDescent="0.2">
      <c r="A82" s="46" t="s">
        <v>199</v>
      </c>
      <c r="B82" s="38" t="s">
        <v>210</v>
      </c>
      <c r="C82" s="38" t="s">
        <v>196</v>
      </c>
      <c r="D82" s="39">
        <f>ROUND(SUMIF(RV_DATA!AA59:AA82, 921625570, RV_DATA!I59:I82), 6)</f>
        <v>1</v>
      </c>
      <c r="E82" s="47">
        <f>ROUND(RV_DATA!K77, 6)</f>
        <v>10050.83</v>
      </c>
      <c r="F82" s="47">
        <f>ROUND(SUMIF(RV_DATA!AA59:AA82, 921625570, RV_DATA!M59:M82), 6)</f>
        <v>10050.83</v>
      </c>
      <c r="Q82">
        <v>3</v>
      </c>
    </row>
    <row r="83" spans="1:17" ht="15" x14ac:dyDescent="0.25">
      <c r="A83" s="80" t="s">
        <v>537</v>
      </c>
      <c r="B83" s="80"/>
      <c r="C83" s="80"/>
      <c r="D83" s="80"/>
      <c r="E83" s="81">
        <f>SUMIF(Q67:Q82, 3, F67:F82)</f>
        <v>17322.32</v>
      </c>
      <c r="F83" s="81"/>
    </row>
    <row r="84" spans="1:17" ht="16.5" x14ac:dyDescent="0.2">
      <c r="A84" s="71" t="str">
        <f>CONCATENATE("Подраздел: ",IF(Source!G242&lt;&gt;"Новый подраздел", Source!G242, ""))</f>
        <v>Подраздел: Электрика</v>
      </c>
      <c r="B84" s="72"/>
      <c r="C84" s="72"/>
      <c r="D84" s="72"/>
      <c r="E84" s="72"/>
      <c r="F84" s="72"/>
    </row>
    <row r="85" spans="1:17" ht="14.25" x14ac:dyDescent="0.2">
      <c r="A85" s="78" t="s">
        <v>536</v>
      </c>
      <c r="B85" s="79"/>
      <c r="C85" s="79"/>
      <c r="D85" s="79"/>
      <c r="E85" s="79"/>
      <c r="F85" s="79"/>
    </row>
    <row r="86" spans="1:17" ht="57" x14ac:dyDescent="0.2">
      <c r="A86" s="46" t="s">
        <v>238</v>
      </c>
      <c r="B86" s="38" t="s">
        <v>239</v>
      </c>
      <c r="C86" s="38" t="s">
        <v>196</v>
      </c>
      <c r="D86" s="39">
        <f>ROUND(SUMIF(RV_DATA!AA84:AA85, 710553705, RV_DATA!I84:I85), 6)</f>
        <v>1</v>
      </c>
      <c r="E86" s="47">
        <f>ROUND(RV_DATA!K85, 6)</f>
        <v>90.55</v>
      </c>
      <c r="F86" s="47">
        <f>ROUND(SUMIF(RV_DATA!AA84:AA85, 710553705, RV_DATA!M84:M85), 6)</f>
        <v>90.55</v>
      </c>
      <c r="Q86">
        <v>3</v>
      </c>
    </row>
    <row r="87" spans="1:17" ht="28.5" x14ac:dyDescent="0.2">
      <c r="A87" s="46" t="s">
        <v>199</v>
      </c>
      <c r="B87" s="38" t="s">
        <v>235</v>
      </c>
      <c r="C87" s="38" t="s">
        <v>196</v>
      </c>
      <c r="D87" s="39">
        <f>ROUND(SUMIF(RV_DATA!AA84:AA85, -1902312805, RV_DATA!I84:I85), 6)</f>
        <v>2</v>
      </c>
      <c r="E87" s="47">
        <f>ROUND(RV_DATA!K84, 6)</f>
        <v>285</v>
      </c>
      <c r="F87" s="47">
        <f>ROUND(SUMIF(RV_DATA!AA84:AA85, -1902312805, RV_DATA!M84:M85), 6)</f>
        <v>570</v>
      </c>
      <c r="Q87">
        <v>3</v>
      </c>
    </row>
    <row r="88" spans="1:17" ht="15" x14ac:dyDescent="0.25">
      <c r="A88" s="80" t="s">
        <v>537</v>
      </c>
      <c r="B88" s="80"/>
      <c r="C88" s="80"/>
      <c r="D88" s="80"/>
      <c r="E88" s="81">
        <f>SUMIF(Q86:Q87, 3, F86:F87)</f>
        <v>660.55</v>
      </c>
      <c r="F88" s="81"/>
    </row>
    <row r="89" spans="1:17" ht="16.5" x14ac:dyDescent="0.2">
      <c r="A89" s="71" t="str">
        <f>CONCATENATE("Подраздел: ",IF(Source!G280&lt;&gt;"Новый подраздел", Source!G280, ""))</f>
        <v>Подраздел: Прочее</v>
      </c>
      <c r="B89" s="72"/>
      <c r="C89" s="72"/>
      <c r="D89" s="72"/>
      <c r="E89" s="72"/>
      <c r="F89" s="72"/>
    </row>
    <row r="90" spans="1:17" ht="14.25" x14ac:dyDescent="0.2">
      <c r="A90" s="78" t="s">
        <v>536</v>
      </c>
      <c r="B90" s="79"/>
      <c r="C90" s="79"/>
      <c r="D90" s="79"/>
      <c r="E90" s="79"/>
      <c r="F90" s="79"/>
    </row>
    <row r="91" spans="1:17" ht="28.5" x14ac:dyDescent="0.2">
      <c r="A91" s="46" t="s">
        <v>398</v>
      </c>
      <c r="B91" s="38" t="s">
        <v>400</v>
      </c>
      <c r="C91" s="38" t="s">
        <v>56</v>
      </c>
      <c r="D91" s="39">
        <f>ROUND(SUMIF(RV_DATA!AA87:AA88, -453821089, RV_DATA!I87:I88), 6)</f>
        <v>1E-3</v>
      </c>
      <c r="E91" s="47">
        <f>ROUND(RV_DATA!K87, 6)</f>
        <v>8017.57</v>
      </c>
      <c r="F91" s="47">
        <f>ROUND(SUMIF(RV_DATA!AA87:AA88, -453821089, RV_DATA!M87:M88), 6)</f>
        <v>8.02</v>
      </c>
      <c r="Q91">
        <v>3</v>
      </c>
    </row>
    <row r="92" spans="1:17" ht="57" x14ac:dyDescent="0.2">
      <c r="A92" s="46" t="s">
        <v>247</v>
      </c>
      <c r="B92" s="38" t="s">
        <v>248</v>
      </c>
      <c r="C92" s="38" t="s">
        <v>196</v>
      </c>
      <c r="D92" s="39">
        <f>ROUND(SUMIF(RV_DATA!AA87:AA88, 885410941, RV_DATA!I87:I88), 6)</f>
        <v>2</v>
      </c>
      <c r="E92" s="47">
        <f>ROUND(RV_DATA!K88, 6)</f>
        <v>981.41</v>
      </c>
      <c r="F92" s="47">
        <f>ROUND(SUMIF(RV_DATA!AA87:AA88, 885410941, RV_DATA!M87:M88), 6)</f>
        <v>1962.82</v>
      </c>
      <c r="Q92">
        <v>3</v>
      </c>
    </row>
    <row r="93" spans="1:17" ht="15" x14ac:dyDescent="0.25">
      <c r="A93" s="80" t="s">
        <v>537</v>
      </c>
      <c r="B93" s="80"/>
      <c r="C93" s="80"/>
      <c r="D93" s="80"/>
      <c r="E93" s="81">
        <f>SUMIF(Q91:Q92, 3, F91:F92)</f>
        <v>1970.84</v>
      </c>
      <c r="F93" s="81"/>
    </row>
    <row r="94" spans="1:17" ht="16.5" x14ac:dyDescent="0.2">
      <c r="A94" s="71" t="str">
        <f>CONCATENATE("Раздел: ",IF(Source!G348&lt;&gt;"Новый раздел", Source!G348, ""))</f>
        <v>Раздел: Мусор</v>
      </c>
      <c r="B94" s="72"/>
      <c r="C94" s="72"/>
      <c r="D94" s="72"/>
      <c r="E94" s="72"/>
      <c r="F94" s="72"/>
    </row>
    <row r="95" spans="1:17" ht="14.25" x14ac:dyDescent="0.2">
      <c r="A95" s="78" t="s">
        <v>534</v>
      </c>
      <c r="B95" s="79"/>
      <c r="C95" s="79"/>
      <c r="D95" s="79"/>
      <c r="E95" s="79"/>
      <c r="F95" s="79"/>
    </row>
    <row r="96" spans="1:17" ht="42.75" x14ac:dyDescent="0.2">
      <c r="A96" s="46" t="s">
        <v>401</v>
      </c>
      <c r="B96" s="38" t="s">
        <v>403</v>
      </c>
      <c r="C96" s="38" t="s">
        <v>282</v>
      </c>
      <c r="D96" s="39">
        <f>ROUND(SUMIF(RV_DATA!AA90:AA94, -355280745, RV_DATA!I90:I94), 6)</f>
        <v>1.6593E-2</v>
      </c>
      <c r="E96" s="47">
        <f>ROUND(RV_DATA!K90, 6)</f>
        <v>2195.02</v>
      </c>
      <c r="F96" s="47">
        <f>ROUND(SUMIF(RV_DATA!AA90:AA94, -355280745, RV_DATA!M90:M94), 6)</f>
        <v>36.42</v>
      </c>
      <c r="Q96">
        <v>2</v>
      </c>
    </row>
    <row r="97" spans="1:17" ht="28.5" x14ac:dyDescent="0.2">
      <c r="A97" s="46" t="s">
        <v>404</v>
      </c>
      <c r="B97" s="38" t="s">
        <v>406</v>
      </c>
      <c r="C97" s="38" t="s">
        <v>282</v>
      </c>
      <c r="D97" s="39">
        <f>ROUND(SUMIF(RV_DATA!AA90:AA94, 406812087, RV_DATA!I90:I94), 6)</f>
        <v>0.1545</v>
      </c>
      <c r="E97" s="47">
        <f>ROUND(RV_DATA!K92, 6)</f>
        <v>1552.57</v>
      </c>
      <c r="F97" s="47">
        <f>ROUND(SUMIF(RV_DATA!AA90:AA94, 406812087, RV_DATA!M90:M94), 6)</f>
        <v>239.93</v>
      </c>
      <c r="Q97">
        <v>2</v>
      </c>
    </row>
    <row r="98" spans="1:17" ht="28.5" x14ac:dyDescent="0.2">
      <c r="A98" s="46" t="s">
        <v>407</v>
      </c>
      <c r="B98" s="38" t="s">
        <v>409</v>
      </c>
      <c r="C98" s="38" t="s">
        <v>282</v>
      </c>
      <c r="D98" s="39">
        <f>ROUND(SUMIF(RV_DATA!AA90:AA94, 1779266029, RV_DATA!I90:I94), 6)</f>
        <v>0.124218</v>
      </c>
      <c r="E98" s="47">
        <f>ROUND(RV_DATA!K91, 6)</f>
        <v>1566.41</v>
      </c>
      <c r="F98" s="47">
        <f>ROUND(SUMIF(RV_DATA!AA90:AA94, 1779266029, RV_DATA!M90:M94), 6)</f>
        <v>194.55</v>
      </c>
      <c r="Q98">
        <v>2</v>
      </c>
    </row>
    <row r="99" spans="1:17" ht="15" x14ac:dyDescent="0.25">
      <c r="A99" s="80" t="s">
        <v>535</v>
      </c>
      <c r="B99" s="80"/>
      <c r="C99" s="80"/>
      <c r="D99" s="80"/>
      <c r="E99" s="81">
        <f>SUMIF(Q96:Q98, 2, F96:F98)</f>
        <v>470.90000000000003</v>
      </c>
      <c r="F99" s="81"/>
    </row>
  </sheetData>
  <sortState ref="A96:R98">
    <sortCondition ref="A96"/>
  </sortState>
  <mergeCells count="47">
    <mergeCell ref="A99:D99"/>
    <mergeCell ref="E99:F99"/>
    <mergeCell ref="A89:F89"/>
    <mergeCell ref="A90:F90"/>
    <mergeCell ref="A93:D93"/>
    <mergeCell ref="E93:F93"/>
    <mergeCell ref="A94:F94"/>
    <mergeCell ref="A95:F95"/>
    <mergeCell ref="A88:D88"/>
    <mergeCell ref="E88:F88"/>
    <mergeCell ref="A61:D61"/>
    <mergeCell ref="E61:F61"/>
    <mergeCell ref="A62:F62"/>
    <mergeCell ref="A63:F63"/>
    <mergeCell ref="A65:D65"/>
    <mergeCell ref="E65:F65"/>
    <mergeCell ref="A66:F66"/>
    <mergeCell ref="A83:D83"/>
    <mergeCell ref="E83:F83"/>
    <mergeCell ref="A84:F84"/>
    <mergeCell ref="A85:F85"/>
    <mergeCell ref="A57:F57"/>
    <mergeCell ref="A21:F21"/>
    <mergeCell ref="A36:D36"/>
    <mergeCell ref="E36:F36"/>
    <mergeCell ref="A37:F37"/>
    <mergeCell ref="A38:F38"/>
    <mergeCell ref="A46:D46"/>
    <mergeCell ref="E46:F46"/>
    <mergeCell ref="A47:F47"/>
    <mergeCell ref="A48:F48"/>
    <mergeCell ref="A55:D55"/>
    <mergeCell ref="E55:F55"/>
    <mergeCell ref="A56:F56"/>
    <mergeCell ref="A8:F8"/>
    <mergeCell ref="A9:F9"/>
    <mergeCell ref="A10:F10"/>
    <mergeCell ref="A11:F11"/>
    <mergeCell ref="A20:D20"/>
    <mergeCell ref="E20:F20"/>
    <mergeCell ref="A2:F2"/>
    <mergeCell ref="A3:F3"/>
    <mergeCell ref="A4:A6"/>
    <mergeCell ref="B4:B6"/>
    <mergeCell ref="C4:C6"/>
    <mergeCell ref="D4:D6"/>
    <mergeCell ref="E4:F5"/>
  </mergeCells>
  <pageMargins left="0.6" right="0.4" top="0.65" bottom="0.4" header="0.4" footer="0.4"/>
  <pageSetup paperSize="9" scale="85" fitToHeight="0" orientation="portrait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454"/>
  <sheetViews>
    <sheetView workbookViewId="0">
      <selection activeCell="A450" sqref="A450:O450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66562</v>
      </c>
      <c r="M1">
        <v>10</v>
      </c>
      <c r="N1">
        <v>11</v>
      </c>
      <c r="O1">
        <v>12</v>
      </c>
      <c r="P1">
        <v>0</v>
      </c>
      <c r="Q1">
        <v>1</v>
      </c>
    </row>
    <row r="12" spans="1:133" x14ac:dyDescent="0.2">
      <c r="A12" s="1">
        <v>1</v>
      </c>
      <c r="B12" s="1">
        <v>450</v>
      </c>
      <c r="C12" s="1">
        <v>0</v>
      </c>
      <c r="D12" s="1">
        <f>ROW(A414)</f>
        <v>414</v>
      </c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8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B414</f>
        <v>450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Новый объект</v>
      </c>
      <c r="G18" s="2" t="str">
        <f t="shared" si="0"/>
        <v>ГБОУ Школа №1440. Крылатские холмы д. 23 (в ценах на 01.04.2025 г)</v>
      </c>
      <c r="H18" s="2"/>
      <c r="I18" s="2"/>
      <c r="J18" s="2"/>
      <c r="K18" s="2"/>
      <c r="L18" s="2"/>
      <c r="M18" s="2"/>
      <c r="N18" s="2"/>
      <c r="O18" s="2">
        <f t="shared" ref="O18:AT18" si="1">O414</f>
        <v>198197.89</v>
      </c>
      <c r="P18" s="2">
        <f t="shared" si="1"/>
        <v>139272.47</v>
      </c>
      <c r="Q18" s="2">
        <f t="shared" si="1"/>
        <v>1280.96</v>
      </c>
      <c r="R18" s="2">
        <f t="shared" si="1"/>
        <v>441.95</v>
      </c>
      <c r="S18" s="2">
        <f t="shared" si="1"/>
        <v>57644.46</v>
      </c>
      <c r="T18" s="2">
        <f t="shared" si="1"/>
        <v>0</v>
      </c>
      <c r="U18" s="2">
        <f t="shared" si="1"/>
        <v>125.126169</v>
      </c>
      <c r="V18" s="2">
        <f t="shared" si="1"/>
        <v>0</v>
      </c>
      <c r="W18" s="2">
        <f t="shared" si="1"/>
        <v>0</v>
      </c>
      <c r="X18" s="2">
        <f t="shared" si="1"/>
        <v>40351.129999999997</v>
      </c>
      <c r="Y18" s="2">
        <f t="shared" si="1"/>
        <v>5764.46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244348.79999999999</v>
      </c>
      <c r="AS18" s="2">
        <f t="shared" si="1"/>
        <v>0</v>
      </c>
      <c r="AT18" s="2">
        <f t="shared" si="1"/>
        <v>0</v>
      </c>
      <c r="AU18" s="2">
        <f t="shared" ref="AU18:BZ18" si="2">AU414</f>
        <v>244348.79999999999</v>
      </c>
      <c r="AV18" s="2">
        <f t="shared" si="2"/>
        <v>139272.47</v>
      </c>
      <c r="AW18" s="2">
        <f t="shared" si="2"/>
        <v>139272.47</v>
      </c>
      <c r="AX18" s="2">
        <f t="shared" si="2"/>
        <v>0</v>
      </c>
      <c r="AY18" s="2">
        <f t="shared" si="2"/>
        <v>139272.47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CA414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DG414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EM414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FS414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ROW(A384)</f>
        <v>384</v>
      </c>
      <c r="E20" s="1"/>
      <c r="F20" s="1" t="s">
        <v>3</v>
      </c>
      <c r="G20" s="1" t="s">
        <v>12</v>
      </c>
      <c r="H20" s="1" t="s">
        <v>3</v>
      </c>
      <c r="I20" s="1">
        <v>0</v>
      </c>
      <c r="J20" s="1" t="s">
        <v>3</v>
      </c>
      <c r="K20" s="1">
        <v>0</v>
      </c>
      <c r="L20" s="1" t="s">
        <v>12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x14ac:dyDescent="0.2">
      <c r="A22" s="2">
        <v>52</v>
      </c>
      <c r="B22" s="2">
        <f t="shared" ref="B22:G22" si="7">B384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/>
      </c>
      <c r="G22" s="2" t="str">
        <f t="shared" si="7"/>
        <v>Новая локальная смета</v>
      </c>
      <c r="H22" s="2"/>
      <c r="I22" s="2"/>
      <c r="J22" s="2"/>
      <c r="K22" s="2"/>
      <c r="L22" s="2"/>
      <c r="M22" s="2"/>
      <c r="N22" s="2"/>
      <c r="O22" s="2">
        <f t="shared" ref="O22:AT22" si="8">O384</f>
        <v>198197.89</v>
      </c>
      <c r="P22" s="2">
        <f t="shared" si="8"/>
        <v>139272.47</v>
      </c>
      <c r="Q22" s="2">
        <f t="shared" si="8"/>
        <v>1280.96</v>
      </c>
      <c r="R22" s="2">
        <f t="shared" si="8"/>
        <v>441.95</v>
      </c>
      <c r="S22" s="2">
        <f t="shared" si="8"/>
        <v>57644.46</v>
      </c>
      <c r="T22" s="2">
        <f t="shared" si="8"/>
        <v>0</v>
      </c>
      <c r="U22" s="2">
        <f t="shared" si="8"/>
        <v>125.126169</v>
      </c>
      <c r="V22" s="2">
        <f t="shared" si="8"/>
        <v>0</v>
      </c>
      <c r="W22" s="2">
        <f t="shared" si="8"/>
        <v>0</v>
      </c>
      <c r="X22" s="2">
        <f t="shared" si="8"/>
        <v>40351.129999999997</v>
      </c>
      <c r="Y22" s="2">
        <f t="shared" si="8"/>
        <v>5764.46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244348.79999999999</v>
      </c>
      <c r="AS22" s="2">
        <f t="shared" si="8"/>
        <v>0</v>
      </c>
      <c r="AT22" s="2">
        <f t="shared" si="8"/>
        <v>0</v>
      </c>
      <c r="AU22" s="2">
        <f t="shared" ref="AU22:BZ22" si="9">AU384</f>
        <v>244348.79999999999</v>
      </c>
      <c r="AV22" s="2">
        <f t="shared" si="9"/>
        <v>139272.47</v>
      </c>
      <c r="AW22" s="2">
        <f t="shared" si="9"/>
        <v>139272.47</v>
      </c>
      <c r="AX22" s="2">
        <f t="shared" si="9"/>
        <v>0</v>
      </c>
      <c r="AY22" s="2">
        <f t="shared" si="9"/>
        <v>139272.47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CA384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DG384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EM384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FS384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ROW(A316)</f>
        <v>316</v>
      </c>
      <c r="E24" s="1"/>
      <c r="F24" s="1" t="s">
        <v>13</v>
      </c>
      <c r="G24" s="1" t="s">
        <v>14</v>
      </c>
      <c r="H24" s="1" t="s">
        <v>3</v>
      </c>
      <c r="I24" s="1">
        <v>0</v>
      </c>
      <c r="J24" s="1"/>
      <c r="K24" s="1">
        <v>-1</v>
      </c>
      <c r="L24" s="1"/>
      <c r="M24" s="1" t="s">
        <v>3</v>
      </c>
      <c r="N24" s="1"/>
      <c r="O24" s="1"/>
      <c r="P24" s="1"/>
      <c r="Q24" s="1"/>
      <c r="R24" s="1"/>
      <c r="S24" s="1">
        <v>0</v>
      </c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B316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Второй этаж, кабинет № 204</v>
      </c>
      <c r="H26" s="2"/>
      <c r="I26" s="2"/>
      <c r="J26" s="2"/>
      <c r="K26" s="2"/>
      <c r="L26" s="2"/>
      <c r="M26" s="2"/>
      <c r="N26" s="2"/>
      <c r="O26" s="2">
        <f t="shared" ref="O26:AT26" si="15">O316</f>
        <v>197490.53</v>
      </c>
      <c r="P26" s="2">
        <f t="shared" si="15"/>
        <v>139272.47</v>
      </c>
      <c r="Q26" s="2">
        <f t="shared" si="15"/>
        <v>573.6</v>
      </c>
      <c r="R26" s="2">
        <f t="shared" si="15"/>
        <v>17.100000000000001</v>
      </c>
      <c r="S26" s="2">
        <f t="shared" si="15"/>
        <v>57644.46</v>
      </c>
      <c r="T26" s="2">
        <f t="shared" si="15"/>
        <v>0</v>
      </c>
      <c r="U26" s="2">
        <f t="shared" si="15"/>
        <v>125.126169</v>
      </c>
      <c r="V26" s="2">
        <f t="shared" si="15"/>
        <v>0</v>
      </c>
      <c r="W26" s="2">
        <f t="shared" si="15"/>
        <v>0</v>
      </c>
      <c r="X26" s="2">
        <f t="shared" si="15"/>
        <v>40351.129999999997</v>
      </c>
      <c r="Y26" s="2">
        <f t="shared" si="15"/>
        <v>5764.46</v>
      </c>
      <c r="Z26" s="2">
        <f t="shared" si="15"/>
        <v>0</v>
      </c>
      <c r="AA26" s="2">
        <f t="shared" si="15"/>
        <v>0</v>
      </c>
      <c r="AB26" s="2">
        <f t="shared" si="15"/>
        <v>0</v>
      </c>
      <c r="AC26" s="2">
        <f t="shared" si="15"/>
        <v>0</v>
      </c>
      <c r="AD26" s="2">
        <f t="shared" si="15"/>
        <v>0</v>
      </c>
      <c r="AE26" s="2">
        <f t="shared" si="15"/>
        <v>0</v>
      </c>
      <c r="AF26" s="2">
        <f t="shared" si="15"/>
        <v>0</v>
      </c>
      <c r="AG26" s="2">
        <f t="shared" si="15"/>
        <v>0</v>
      </c>
      <c r="AH26" s="2">
        <f t="shared" si="15"/>
        <v>0</v>
      </c>
      <c r="AI26" s="2">
        <f t="shared" si="15"/>
        <v>0</v>
      </c>
      <c r="AJ26" s="2">
        <f t="shared" si="15"/>
        <v>0</v>
      </c>
      <c r="AK26" s="2">
        <f t="shared" si="15"/>
        <v>0</v>
      </c>
      <c r="AL26" s="2">
        <f t="shared" si="15"/>
        <v>0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243624.59</v>
      </c>
      <c r="AS26" s="2">
        <f t="shared" si="15"/>
        <v>0</v>
      </c>
      <c r="AT26" s="2">
        <f t="shared" si="15"/>
        <v>0</v>
      </c>
      <c r="AU26" s="2">
        <f t="shared" ref="AU26:BZ26" si="16">AU316</f>
        <v>243624.59</v>
      </c>
      <c r="AV26" s="2">
        <f t="shared" si="16"/>
        <v>139272.47</v>
      </c>
      <c r="AW26" s="2">
        <f t="shared" si="16"/>
        <v>139272.47</v>
      </c>
      <c r="AX26" s="2">
        <f t="shared" si="16"/>
        <v>0</v>
      </c>
      <c r="AY26" s="2">
        <f t="shared" si="16"/>
        <v>139272.47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CA316</f>
        <v>0</v>
      </c>
      <c r="CB26" s="2">
        <f t="shared" si="17"/>
        <v>0</v>
      </c>
      <c r="CC26" s="2">
        <f t="shared" si="17"/>
        <v>0</v>
      </c>
      <c r="CD26" s="2">
        <f t="shared" si="17"/>
        <v>0</v>
      </c>
      <c r="CE26" s="2">
        <f t="shared" si="17"/>
        <v>0</v>
      </c>
      <c r="CF26" s="2">
        <f t="shared" si="17"/>
        <v>0</v>
      </c>
      <c r="CG26" s="2">
        <f t="shared" si="17"/>
        <v>0</v>
      </c>
      <c r="CH26" s="2">
        <f t="shared" si="17"/>
        <v>0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DG316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EM316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FS316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 s="1">
        <v>5</v>
      </c>
      <c r="B28" s="1">
        <v>1</v>
      </c>
      <c r="C28" s="1"/>
      <c r="D28" s="1">
        <f>ROW(A48)</f>
        <v>48</v>
      </c>
      <c r="E28" s="1"/>
      <c r="F28" s="1" t="s">
        <v>15</v>
      </c>
      <c r="G28" s="1" t="s">
        <v>16</v>
      </c>
      <c r="H28" s="1" t="s">
        <v>3</v>
      </c>
      <c r="I28" s="1">
        <v>0</v>
      </c>
      <c r="J28" s="1"/>
      <c r="K28" s="1">
        <v>0</v>
      </c>
      <c r="L28" s="1"/>
      <c r="M28" s="1" t="s">
        <v>3</v>
      </c>
      <c r="N28" s="1"/>
      <c r="O28" s="1"/>
      <c r="P28" s="1"/>
      <c r="Q28" s="1"/>
      <c r="R28" s="1"/>
      <c r="S28" s="1">
        <v>0</v>
      </c>
      <c r="T28" s="1"/>
      <c r="U28" s="1" t="s">
        <v>3</v>
      </c>
      <c r="V28" s="1">
        <v>0</v>
      </c>
      <c r="W28" s="1"/>
      <c r="X28" s="1"/>
      <c r="Y28" s="1"/>
      <c r="Z28" s="1"/>
      <c r="AA28" s="1"/>
      <c r="AB28" s="1" t="s">
        <v>3</v>
      </c>
      <c r="AC28" s="1" t="s">
        <v>3</v>
      </c>
      <c r="AD28" s="1" t="s">
        <v>3</v>
      </c>
      <c r="AE28" s="1" t="s">
        <v>3</v>
      </c>
      <c r="AF28" s="1" t="s">
        <v>3</v>
      </c>
      <c r="AG28" s="1" t="s">
        <v>3</v>
      </c>
      <c r="AH28" s="1"/>
      <c r="AI28" s="1"/>
      <c r="AJ28" s="1"/>
      <c r="AK28" s="1"/>
      <c r="AL28" s="1"/>
      <c r="AM28" s="1"/>
      <c r="AN28" s="1"/>
      <c r="AO28" s="1"/>
      <c r="AP28" s="1" t="s">
        <v>3</v>
      </c>
      <c r="AQ28" s="1" t="s">
        <v>3</v>
      </c>
      <c r="AR28" s="1" t="s">
        <v>3</v>
      </c>
      <c r="AS28" s="1"/>
      <c r="AT28" s="1"/>
      <c r="AU28" s="1"/>
      <c r="AV28" s="1"/>
      <c r="AW28" s="1"/>
      <c r="AX28" s="1"/>
      <c r="AY28" s="1"/>
      <c r="AZ28" s="1" t="s">
        <v>3</v>
      </c>
      <c r="BA28" s="1"/>
      <c r="BB28" s="1" t="s">
        <v>3</v>
      </c>
      <c r="BC28" s="1" t="s">
        <v>3</v>
      </c>
      <c r="BD28" s="1" t="s">
        <v>3</v>
      </c>
      <c r="BE28" s="1" t="s">
        <v>3</v>
      </c>
      <c r="BF28" s="1" t="s">
        <v>3</v>
      </c>
      <c r="BG28" s="1" t="s">
        <v>3</v>
      </c>
      <c r="BH28" s="1" t="s">
        <v>3</v>
      </c>
      <c r="BI28" s="1" t="s">
        <v>3</v>
      </c>
      <c r="BJ28" s="1" t="s">
        <v>3</v>
      </c>
      <c r="BK28" s="1" t="s">
        <v>3</v>
      </c>
      <c r="BL28" s="1" t="s">
        <v>3</v>
      </c>
      <c r="BM28" s="1" t="s">
        <v>3</v>
      </c>
      <c r="BN28" s="1" t="s">
        <v>3</v>
      </c>
      <c r="BO28" s="1" t="s">
        <v>3</v>
      </c>
      <c r="BP28" s="1" t="s">
        <v>3</v>
      </c>
      <c r="BQ28" s="1"/>
      <c r="BR28" s="1"/>
      <c r="BS28" s="1"/>
      <c r="BT28" s="1"/>
      <c r="BU28" s="1"/>
      <c r="BV28" s="1"/>
      <c r="BW28" s="1"/>
      <c r="BX28" s="1">
        <v>0</v>
      </c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>
        <v>0</v>
      </c>
    </row>
    <row r="30" spans="1:245" x14ac:dyDescent="0.2">
      <c r="A30" s="2">
        <v>52</v>
      </c>
      <c r="B30" s="2">
        <f t="shared" ref="B30:G30" si="21">B48</f>
        <v>1</v>
      </c>
      <c r="C30" s="2">
        <f t="shared" si="21"/>
        <v>5</v>
      </c>
      <c r="D30" s="2">
        <f t="shared" si="21"/>
        <v>28</v>
      </c>
      <c r="E30" s="2">
        <f t="shared" si="21"/>
        <v>0</v>
      </c>
      <c r="F30" s="2" t="str">
        <f t="shared" si="21"/>
        <v>Новый подраздел</v>
      </c>
      <c r="G30" s="2" t="str">
        <f t="shared" si="21"/>
        <v>Полы</v>
      </c>
      <c r="H30" s="2"/>
      <c r="I30" s="2"/>
      <c r="J30" s="2"/>
      <c r="K30" s="2"/>
      <c r="L30" s="2"/>
      <c r="M30" s="2"/>
      <c r="N30" s="2"/>
      <c r="O30" s="2">
        <f t="shared" ref="O30:AT30" si="22">O48</f>
        <v>147333.88</v>
      </c>
      <c r="P30" s="2">
        <f t="shared" si="22"/>
        <v>109561.61</v>
      </c>
      <c r="Q30" s="2">
        <f t="shared" si="22"/>
        <v>573.48</v>
      </c>
      <c r="R30" s="2">
        <f t="shared" si="22"/>
        <v>17.059999999999999</v>
      </c>
      <c r="S30" s="2">
        <f t="shared" si="22"/>
        <v>37198.79</v>
      </c>
      <c r="T30" s="2">
        <f t="shared" si="22"/>
        <v>0</v>
      </c>
      <c r="U30" s="2">
        <f t="shared" si="22"/>
        <v>80.787249000000003</v>
      </c>
      <c r="V30" s="2">
        <f t="shared" si="22"/>
        <v>0</v>
      </c>
      <c r="W30" s="2">
        <f t="shared" si="22"/>
        <v>0</v>
      </c>
      <c r="X30" s="2">
        <f t="shared" si="22"/>
        <v>26039.14</v>
      </c>
      <c r="Y30" s="2">
        <f t="shared" si="22"/>
        <v>3719.88</v>
      </c>
      <c r="Z30" s="2">
        <f t="shared" si="22"/>
        <v>0</v>
      </c>
      <c r="AA30" s="2">
        <f t="shared" si="22"/>
        <v>0</v>
      </c>
      <c r="AB30" s="2">
        <f t="shared" si="22"/>
        <v>147333.88</v>
      </c>
      <c r="AC30" s="2">
        <f t="shared" si="22"/>
        <v>109561.61</v>
      </c>
      <c r="AD30" s="2">
        <f t="shared" si="22"/>
        <v>573.48</v>
      </c>
      <c r="AE30" s="2">
        <f t="shared" si="22"/>
        <v>17.059999999999999</v>
      </c>
      <c r="AF30" s="2">
        <f t="shared" si="22"/>
        <v>37198.79</v>
      </c>
      <c r="AG30" s="2">
        <f t="shared" si="22"/>
        <v>0</v>
      </c>
      <c r="AH30" s="2">
        <f t="shared" si="22"/>
        <v>80.787249000000003</v>
      </c>
      <c r="AI30" s="2">
        <f t="shared" si="22"/>
        <v>0</v>
      </c>
      <c r="AJ30" s="2">
        <f t="shared" si="22"/>
        <v>0</v>
      </c>
      <c r="AK30" s="2">
        <f t="shared" si="22"/>
        <v>26039.14</v>
      </c>
      <c r="AL30" s="2">
        <f t="shared" si="22"/>
        <v>3719.88</v>
      </c>
      <c r="AM30" s="2">
        <f t="shared" si="22"/>
        <v>0</v>
      </c>
      <c r="AN30" s="2">
        <f t="shared" si="22"/>
        <v>0</v>
      </c>
      <c r="AO30" s="2">
        <f t="shared" si="22"/>
        <v>0</v>
      </c>
      <c r="AP30" s="2">
        <f t="shared" si="22"/>
        <v>0</v>
      </c>
      <c r="AQ30" s="2">
        <f t="shared" si="22"/>
        <v>0</v>
      </c>
      <c r="AR30" s="2">
        <f t="shared" si="22"/>
        <v>177111.33</v>
      </c>
      <c r="AS30" s="2">
        <f t="shared" si="22"/>
        <v>0</v>
      </c>
      <c r="AT30" s="2">
        <f t="shared" si="22"/>
        <v>0</v>
      </c>
      <c r="AU30" s="2">
        <f t="shared" ref="AU30:BZ30" si="23">AU48</f>
        <v>177111.33</v>
      </c>
      <c r="AV30" s="2">
        <f t="shared" si="23"/>
        <v>109561.61</v>
      </c>
      <c r="AW30" s="2">
        <f t="shared" si="23"/>
        <v>109561.61</v>
      </c>
      <c r="AX30" s="2">
        <f t="shared" si="23"/>
        <v>0</v>
      </c>
      <c r="AY30" s="2">
        <f t="shared" si="23"/>
        <v>109561.61</v>
      </c>
      <c r="AZ30" s="2">
        <f t="shared" si="23"/>
        <v>0</v>
      </c>
      <c r="BA30" s="2">
        <f t="shared" si="23"/>
        <v>0</v>
      </c>
      <c r="BB30" s="2">
        <f t="shared" si="23"/>
        <v>0</v>
      </c>
      <c r="BC30" s="2">
        <f t="shared" si="23"/>
        <v>0</v>
      </c>
      <c r="BD30" s="2">
        <f t="shared" si="23"/>
        <v>0</v>
      </c>
      <c r="BE30" s="2">
        <f t="shared" si="23"/>
        <v>0</v>
      </c>
      <c r="BF30" s="2">
        <f t="shared" si="23"/>
        <v>0</v>
      </c>
      <c r="BG30" s="2">
        <f t="shared" si="23"/>
        <v>0</v>
      </c>
      <c r="BH30" s="2">
        <f t="shared" si="23"/>
        <v>0</v>
      </c>
      <c r="BI30" s="2">
        <f t="shared" si="23"/>
        <v>0</v>
      </c>
      <c r="BJ30" s="2">
        <f t="shared" si="23"/>
        <v>0</v>
      </c>
      <c r="BK30" s="2">
        <f t="shared" si="23"/>
        <v>0</v>
      </c>
      <c r="BL30" s="2">
        <f t="shared" si="23"/>
        <v>0</v>
      </c>
      <c r="BM30" s="2">
        <f t="shared" si="23"/>
        <v>0</v>
      </c>
      <c r="BN30" s="2">
        <f t="shared" si="23"/>
        <v>0</v>
      </c>
      <c r="BO30" s="2">
        <f t="shared" si="23"/>
        <v>0</v>
      </c>
      <c r="BP30" s="2">
        <f t="shared" si="23"/>
        <v>0</v>
      </c>
      <c r="BQ30" s="2">
        <f t="shared" si="23"/>
        <v>0</v>
      </c>
      <c r="BR30" s="2">
        <f t="shared" si="23"/>
        <v>0</v>
      </c>
      <c r="BS30" s="2">
        <f t="shared" si="23"/>
        <v>0</v>
      </c>
      <c r="BT30" s="2">
        <f t="shared" si="23"/>
        <v>0</v>
      </c>
      <c r="BU30" s="2">
        <f t="shared" si="23"/>
        <v>0</v>
      </c>
      <c r="BV30" s="2">
        <f t="shared" si="23"/>
        <v>0</v>
      </c>
      <c r="BW30" s="2">
        <f t="shared" si="23"/>
        <v>0</v>
      </c>
      <c r="BX30" s="2">
        <f t="shared" si="23"/>
        <v>0</v>
      </c>
      <c r="BY30" s="2">
        <f t="shared" si="23"/>
        <v>0</v>
      </c>
      <c r="BZ30" s="2">
        <f t="shared" si="23"/>
        <v>0</v>
      </c>
      <c r="CA30" s="2">
        <f t="shared" ref="CA30:DF30" si="24">CA48</f>
        <v>177111.33</v>
      </c>
      <c r="CB30" s="2">
        <f t="shared" si="24"/>
        <v>0</v>
      </c>
      <c r="CC30" s="2">
        <f t="shared" si="24"/>
        <v>0</v>
      </c>
      <c r="CD30" s="2">
        <f t="shared" si="24"/>
        <v>177111.33</v>
      </c>
      <c r="CE30" s="2">
        <f t="shared" si="24"/>
        <v>109561.61</v>
      </c>
      <c r="CF30" s="2">
        <f t="shared" si="24"/>
        <v>109561.61</v>
      </c>
      <c r="CG30" s="2">
        <f t="shared" si="24"/>
        <v>0</v>
      </c>
      <c r="CH30" s="2">
        <f t="shared" si="24"/>
        <v>109561.61</v>
      </c>
      <c r="CI30" s="2">
        <f t="shared" si="24"/>
        <v>0</v>
      </c>
      <c r="CJ30" s="2">
        <f t="shared" si="24"/>
        <v>0</v>
      </c>
      <c r="CK30" s="2">
        <f t="shared" si="24"/>
        <v>0</v>
      </c>
      <c r="CL30" s="2">
        <f t="shared" si="24"/>
        <v>0</v>
      </c>
      <c r="CM30" s="2">
        <f t="shared" si="24"/>
        <v>0</v>
      </c>
      <c r="CN30" s="2">
        <f t="shared" si="24"/>
        <v>0</v>
      </c>
      <c r="CO30" s="2">
        <f t="shared" si="24"/>
        <v>0</v>
      </c>
      <c r="CP30" s="2">
        <f t="shared" si="24"/>
        <v>0</v>
      </c>
      <c r="CQ30" s="2">
        <f t="shared" si="24"/>
        <v>0</v>
      </c>
      <c r="CR30" s="2">
        <f t="shared" si="24"/>
        <v>0</v>
      </c>
      <c r="CS30" s="2">
        <f t="shared" si="24"/>
        <v>0</v>
      </c>
      <c r="CT30" s="2">
        <f t="shared" si="24"/>
        <v>0</v>
      </c>
      <c r="CU30" s="2">
        <f t="shared" si="24"/>
        <v>0</v>
      </c>
      <c r="CV30" s="2">
        <f t="shared" si="24"/>
        <v>0</v>
      </c>
      <c r="CW30" s="2">
        <f t="shared" si="24"/>
        <v>0</v>
      </c>
      <c r="CX30" s="2">
        <f t="shared" si="24"/>
        <v>0</v>
      </c>
      <c r="CY30" s="2">
        <f t="shared" si="24"/>
        <v>0</v>
      </c>
      <c r="CZ30" s="2">
        <f t="shared" si="24"/>
        <v>0</v>
      </c>
      <c r="DA30" s="2">
        <f t="shared" si="24"/>
        <v>0</v>
      </c>
      <c r="DB30" s="2">
        <f t="shared" si="24"/>
        <v>0</v>
      </c>
      <c r="DC30" s="2">
        <f t="shared" si="24"/>
        <v>0</v>
      </c>
      <c r="DD30" s="2">
        <f t="shared" si="24"/>
        <v>0</v>
      </c>
      <c r="DE30" s="2">
        <f t="shared" si="24"/>
        <v>0</v>
      </c>
      <c r="DF30" s="2">
        <f t="shared" si="24"/>
        <v>0</v>
      </c>
      <c r="DG30" s="3">
        <f t="shared" ref="DG30:EL30" si="25">DG48</f>
        <v>0</v>
      </c>
      <c r="DH30" s="3">
        <f t="shared" si="25"/>
        <v>0</v>
      </c>
      <c r="DI30" s="3">
        <f t="shared" si="25"/>
        <v>0</v>
      </c>
      <c r="DJ30" s="3">
        <f t="shared" si="25"/>
        <v>0</v>
      </c>
      <c r="DK30" s="3">
        <f t="shared" si="25"/>
        <v>0</v>
      </c>
      <c r="DL30" s="3">
        <f t="shared" si="25"/>
        <v>0</v>
      </c>
      <c r="DM30" s="3">
        <f t="shared" si="25"/>
        <v>0</v>
      </c>
      <c r="DN30" s="3">
        <f t="shared" si="25"/>
        <v>0</v>
      </c>
      <c r="DO30" s="3">
        <f t="shared" si="25"/>
        <v>0</v>
      </c>
      <c r="DP30" s="3">
        <f t="shared" si="25"/>
        <v>0</v>
      </c>
      <c r="DQ30" s="3">
        <f t="shared" si="25"/>
        <v>0</v>
      </c>
      <c r="DR30" s="3">
        <f t="shared" si="25"/>
        <v>0</v>
      </c>
      <c r="DS30" s="3">
        <f t="shared" si="25"/>
        <v>0</v>
      </c>
      <c r="DT30" s="3">
        <f t="shared" si="25"/>
        <v>0</v>
      </c>
      <c r="DU30" s="3">
        <f t="shared" si="25"/>
        <v>0</v>
      </c>
      <c r="DV30" s="3">
        <f t="shared" si="25"/>
        <v>0</v>
      </c>
      <c r="DW30" s="3">
        <f t="shared" si="25"/>
        <v>0</v>
      </c>
      <c r="DX30" s="3">
        <f t="shared" si="25"/>
        <v>0</v>
      </c>
      <c r="DY30" s="3">
        <f t="shared" si="25"/>
        <v>0</v>
      </c>
      <c r="DZ30" s="3">
        <f t="shared" si="25"/>
        <v>0</v>
      </c>
      <c r="EA30" s="3">
        <f t="shared" si="25"/>
        <v>0</v>
      </c>
      <c r="EB30" s="3">
        <f t="shared" si="25"/>
        <v>0</v>
      </c>
      <c r="EC30" s="3">
        <f t="shared" si="25"/>
        <v>0</v>
      </c>
      <c r="ED30" s="3">
        <f t="shared" si="25"/>
        <v>0</v>
      </c>
      <c r="EE30" s="3">
        <f t="shared" si="25"/>
        <v>0</v>
      </c>
      <c r="EF30" s="3">
        <f t="shared" si="25"/>
        <v>0</v>
      </c>
      <c r="EG30" s="3">
        <f t="shared" si="25"/>
        <v>0</v>
      </c>
      <c r="EH30" s="3">
        <f t="shared" si="25"/>
        <v>0</v>
      </c>
      <c r="EI30" s="3">
        <f t="shared" si="25"/>
        <v>0</v>
      </c>
      <c r="EJ30" s="3">
        <f t="shared" si="25"/>
        <v>0</v>
      </c>
      <c r="EK30" s="3">
        <f t="shared" si="25"/>
        <v>0</v>
      </c>
      <c r="EL30" s="3">
        <f t="shared" si="25"/>
        <v>0</v>
      </c>
      <c r="EM30" s="3">
        <f t="shared" ref="EM30:FR30" si="26">EM48</f>
        <v>0</v>
      </c>
      <c r="EN30" s="3">
        <f t="shared" si="26"/>
        <v>0</v>
      </c>
      <c r="EO30" s="3">
        <f t="shared" si="26"/>
        <v>0</v>
      </c>
      <c r="EP30" s="3">
        <f t="shared" si="26"/>
        <v>0</v>
      </c>
      <c r="EQ30" s="3">
        <f t="shared" si="26"/>
        <v>0</v>
      </c>
      <c r="ER30" s="3">
        <f t="shared" si="26"/>
        <v>0</v>
      </c>
      <c r="ES30" s="3">
        <f t="shared" si="26"/>
        <v>0</v>
      </c>
      <c r="ET30" s="3">
        <f t="shared" si="26"/>
        <v>0</v>
      </c>
      <c r="EU30" s="3">
        <f t="shared" si="26"/>
        <v>0</v>
      </c>
      <c r="EV30" s="3">
        <f t="shared" si="26"/>
        <v>0</v>
      </c>
      <c r="EW30" s="3">
        <f t="shared" si="26"/>
        <v>0</v>
      </c>
      <c r="EX30" s="3">
        <f t="shared" si="26"/>
        <v>0</v>
      </c>
      <c r="EY30" s="3">
        <f t="shared" si="26"/>
        <v>0</v>
      </c>
      <c r="EZ30" s="3">
        <f t="shared" si="26"/>
        <v>0</v>
      </c>
      <c r="FA30" s="3">
        <f t="shared" si="26"/>
        <v>0</v>
      </c>
      <c r="FB30" s="3">
        <f t="shared" si="26"/>
        <v>0</v>
      </c>
      <c r="FC30" s="3">
        <f t="shared" si="26"/>
        <v>0</v>
      </c>
      <c r="FD30" s="3">
        <f t="shared" si="26"/>
        <v>0</v>
      </c>
      <c r="FE30" s="3">
        <f t="shared" si="26"/>
        <v>0</v>
      </c>
      <c r="FF30" s="3">
        <f t="shared" si="26"/>
        <v>0</v>
      </c>
      <c r="FG30" s="3">
        <f t="shared" si="26"/>
        <v>0</v>
      </c>
      <c r="FH30" s="3">
        <f t="shared" si="26"/>
        <v>0</v>
      </c>
      <c r="FI30" s="3">
        <f t="shared" si="26"/>
        <v>0</v>
      </c>
      <c r="FJ30" s="3">
        <f t="shared" si="26"/>
        <v>0</v>
      </c>
      <c r="FK30" s="3">
        <f t="shared" si="26"/>
        <v>0</v>
      </c>
      <c r="FL30" s="3">
        <f t="shared" si="26"/>
        <v>0</v>
      </c>
      <c r="FM30" s="3">
        <f t="shared" si="26"/>
        <v>0</v>
      </c>
      <c r="FN30" s="3">
        <f t="shared" si="26"/>
        <v>0</v>
      </c>
      <c r="FO30" s="3">
        <f t="shared" si="26"/>
        <v>0</v>
      </c>
      <c r="FP30" s="3">
        <f t="shared" si="26"/>
        <v>0</v>
      </c>
      <c r="FQ30" s="3">
        <f t="shared" si="26"/>
        <v>0</v>
      </c>
      <c r="FR30" s="3">
        <f t="shared" si="26"/>
        <v>0</v>
      </c>
      <c r="FS30" s="3">
        <f t="shared" ref="FS30:GX30" si="27">FS48</f>
        <v>0</v>
      </c>
      <c r="FT30" s="3">
        <f t="shared" si="27"/>
        <v>0</v>
      </c>
      <c r="FU30" s="3">
        <f t="shared" si="27"/>
        <v>0</v>
      </c>
      <c r="FV30" s="3">
        <f t="shared" si="27"/>
        <v>0</v>
      </c>
      <c r="FW30" s="3">
        <f t="shared" si="27"/>
        <v>0</v>
      </c>
      <c r="FX30" s="3">
        <f t="shared" si="27"/>
        <v>0</v>
      </c>
      <c r="FY30" s="3">
        <f t="shared" si="27"/>
        <v>0</v>
      </c>
      <c r="FZ30" s="3">
        <f t="shared" si="27"/>
        <v>0</v>
      </c>
      <c r="GA30" s="3">
        <f t="shared" si="27"/>
        <v>0</v>
      </c>
      <c r="GB30" s="3">
        <f t="shared" si="27"/>
        <v>0</v>
      </c>
      <c r="GC30" s="3">
        <f t="shared" si="27"/>
        <v>0</v>
      </c>
      <c r="GD30" s="3">
        <f t="shared" si="27"/>
        <v>0</v>
      </c>
      <c r="GE30" s="3">
        <f t="shared" si="27"/>
        <v>0</v>
      </c>
      <c r="GF30" s="3">
        <f t="shared" si="27"/>
        <v>0</v>
      </c>
      <c r="GG30" s="3">
        <f t="shared" si="27"/>
        <v>0</v>
      </c>
      <c r="GH30" s="3">
        <f t="shared" si="27"/>
        <v>0</v>
      </c>
      <c r="GI30" s="3">
        <f t="shared" si="27"/>
        <v>0</v>
      </c>
      <c r="GJ30" s="3">
        <f t="shared" si="27"/>
        <v>0</v>
      </c>
      <c r="GK30" s="3">
        <f t="shared" si="27"/>
        <v>0</v>
      </c>
      <c r="GL30" s="3">
        <f t="shared" si="27"/>
        <v>0</v>
      </c>
      <c r="GM30" s="3">
        <f t="shared" si="27"/>
        <v>0</v>
      </c>
      <c r="GN30" s="3">
        <f t="shared" si="27"/>
        <v>0</v>
      </c>
      <c r="GO30" s="3">
        <f t="shared" si="27"/>
        <v>0</v>
      </c>
      <c r="GP30" s="3">
        <f t="shared" si="27"/>
        <v>0</v>
      </c>
      <c r="GQ30" s="3">
        <f t="shared" si="27"/>
        <v>0</v>
      </c>
      <c r="GR30" s="3">
        <f t="shared" si="27"/>
        <v>0</v>
      </c>
      <c r="GS30" s="3">
        <f t="shared" si="27"/>
        <v>0</v>
      </c>
      <c r="GT30" s="3">
        <f t="shared" si="27"/>
        <v>0</v>
      </c>
      <c r="GU30" s="3">
        <f t="shared" si="27"/>
        <v>0</v>
      </c>
      <c r="GV30" s="3">
        <f t="shared" si="27"/>
        <v>0</v>
      </c>
      <c r="GW30" s="3">
        <f t="shared" si="27"/>
        <v>0</v>
      </c>
      <c r="GX30" s="3">
        <f t="shared" si="27"/>
        <v>0</v>
      </c>
    </row>
    <row r="32" spans="1:245" x14ac:dyDescent="0.2">
      <c r="A32">
        <v>17</v>
      </c>
      <c r="B32">
        <v>1</v>
      </c>
      <c r="C32">
        <f>ROW(SmtRes!A2)</f>
        <v>2</v>
      </c>
      <c r="D32">
        <f>ROW(EtalonRes!A2)</f>
        <v>2</v>
      </c>
      <c r="E32" t="s">
        <v>17</v>
      </c>
      <c r="F32" t="s">
        <v>18</v>
      </c>
      <c r="G32" t="s">
        <v>19</v>
      </c>
      <c r="H32" t="s">
        <v>20</v>
      </c>
      <c r="I32">
        <f>ROUND(0.9/100,9)</f>
        <v>8.9999999999999993E-3</v>
      </c>
      <c r="J32">
        <v>0</v>
      </c>
      <c r="K32">
        <f>ROUND(0.9/100,9)</f>
        <v>8.9999999999999993E-3</v>
      </c>
      <c r="O32">
        <f t="shared" ref="O32:O46" si="28">ROUND(CP32,2)</f>
        <v>11.46</v>
      </c>
      <c r="P32">
        <f t="shared" ref="P32:P46" si="29">ROUND(CQ32*I32,2)</f>
        <v>0</v>
      </c>
      <c r="Q32">
        <f t="shared" ref="Q32:Q46" si="30">ROUND(CR32*I32,2)</f>
        <v>7.0000000000000007E-2</v>
      </c>
      <c r="R32">
        <f t="shared" ref="R32:R46" si="31">ROUND(CS32*I32,2)</f>
        <v>0</v>
      </c>
      <c r="S32">
        <f t="shared" ref="S32:S46" si="32">ROUND(CT32*I32,2)</f>
        <v>11.39</v>
      </c>
      <c r="T32">
        <f t="shared" ref="T32:T46" si="33">ROUND(CU32*I32,2)</f>
        <v>0</v>
      </c>
      <c r="U32">
        <f t="shared" ref="U32:U46" si="34">CV32*I32</f>
        <v>2.8169999999999997E-2</v>
      </c>
      <c r="V32">
        <f t="shared" ref="V32:V46" si="35">CW32*I32</f>
        <v>0</v>
      </c>
      <c r="W32">
        <f t="shared" ref="W32:W46" si="36">ROUND(CX32*I32,2)</f>
        <v>0</v>
      </c>
      <c r="X32">
        <f t="shared" ref="X32:X46" si="37">ROUND(CY32,2)</f>
        <v>7.97</v>
      </c>
      <c r="Y32">
        <f t="shared" ref="Y32:Y46" si="38">ROUND(CZ32,2)</f>
        <v>1.1399999999999999</v>
      </c>
      <c r="AA32">
        <v>75703208</v>
      </c>
      <c r="AB32">
        <f t="shared" ref="AB32:AB46" si="39">ROUND((AC32+AD32+AF32),6)</f>
        <v>1273.3399999999999</v>
      </c>
      <c r="AC32">
        <f t="shared" ref="AC32:AC46" si="40">ROUND((ES32),6)</f>
        <v>0</v>
      </c>
      <c r="AD32">
        <f t="shared" ref="AD32:AD46" si="41">ROUND((((ET32)-(EU32))+AE32),6)</f>
        <v>7.44</v>
      </c>
      <c r="AE32">
        <f t="shared" ref="AE32:AE46" si="42">ROUND((EU32),6)</f>
        <v>0.01</v>
      </c>
      <c r="AF32">
        <f t="shared" ref="AF32:AF46" si="43">ROUND((EV32),6)</f>
        <v>1265.9000000000001</v>
      </c>
      <c r="AG32">
        <f t="shared" ref="AG32:AG46" si="44">ROUND((AP32),6)</f>
        <v>0</v>
      </c>
      <c r="AH32">
        <f t="shared" ref="AH32:AH46" si="45">(EW32)</f>
        <v>3.13</v>
      </c>
      <c r="AI32">
        <f t="shared" ref="AI32:AI46" si="46">(EX32)</f>
        <v>0</v>
      </c>
      <c r="AJ32">
        <f t="shared" ref="AJ32:AJ46" si="47">(AS32)</f>
        <v>0</v>
      </c>
      <c r="AK32">
        <v>1273.3399999999999</v>
      </c>
      <c r="AL32">
        <v>0</v>
      </c>
      <c r="AM32">
        <v>7.44</v>
      </c>
      <c r="AN32">
        <v>0.01</v>
      </c>
      <c r="AO32">
        <v>1265.9000000000001</v>
      </c>
      <c r="AP32">
        <v>0</v>
      </c>
      <c r="AQ32">
        <v>3.13</v>
      </c>
      <c r="AR32">
        <v>0</v>
      </c>
      <c r="AS32">
        <v>0</v>
      </c>
      <c r="AT32">
        <v>70</v>
      </c>
      <c r="AU32">
        <v>10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1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4</v>
      </c>
      <c r="BJ32" t="s">
        <v>21</v>
      </c>
      <c r="BM32">
        <v>0</v>
      </c>
      <c r="BN32">
        <v>75371441</v>
      </c>
      <c r="BO32" t="s">
        <v>3</v>
      </c>
      <c r="BP32">
        <v>0</v>
      </c>
      <c r="BQ32">
        <v>1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70</v>
      </c>
      <c r="CA32">
        <v>10</v>
      </c>
      <c r="CB32" t="s">
        <v>3</v>
      </c>
      <c r="CE32">
        <v>0</v>
      </c>
      <c r="CF32">
        <v>0</v>
      </c>
      <c r="CG32">
        <v>0</v>
      </c>
      <c r="CM32">
        <v>0</v>
      </c>
      <c r="CN32" t="s">
        <v>3</v>
      </c>
      <c r="CO32">
        <v>0</v>
      </c>
      <c r="CP32">
        <f t="shared" ref="CP32:CP46" si="48">(P32+Q32+S32)</f>
        <v>11.46</v>
      </c>
      <c r="CQ32">
        <f t="shared" ref="CQ32:CQ46" si="49">(AC32*BC32*AW32)</f>
        <v>0</v>
      </c>
      <c r="CR32">
        <f t="shared" ref="CR32:CR46" si="50">((((ET32)*BB32-(EU32)*BS32)+AE32*BS32)*AV32)</f>
        <v>7.44</v>
      </c>
      <c r="CS32">
        <f t="shared" ref="CS32:CS46" si="51">(AE32*BS32*AV32)</f>
        <v>0.01</v>
      </c>
      <c r="CT32">
        <f t="shared" ref="CT32:CT46" si="52">(AF32*BA32*AV32)</f>
        <v>1265.9000000000001</v>
      </c>
      <c r="CU32">
        <f t="shared" ref="CU32:CU46" si="53">AG32</f>
        <v>0</v>
      </c>
      <c r="CV32">
        <f t="shared" ref="CV32:CV46" si="54">(AH32*AV32)</f>
        <v>3.13</v>
      </c>
      <c r="CW32">
        <f t="shared" ref="CW32:CW46" si="55">AI32</f>
        <v>0</v>
      </c>
      <c r="CX32">
        <f t="shared" ref="CX32:CX46" si="56">AJ32</f>
        <v>0</v>
      </c>
      <c r="CY32">
        <f t="shared" ref="CY32:CY46" si="57">((S32*BZ32)/100)</f>
        <v>7.9730000000000008</v>
      </c>
      <c r="CZ32">
        <f t="shared" ref="CZ32:CZ46" si="58">((S32*CA32)/100)</f>
        <v>1.139</v>
      </c>
      <c r="DC32" t="s">
        <v>3</v>
      </c>
      <c r="DD32" t="s">
        <v>3</v>
      </c>
      <c r="DE32" t="s">
        <v>3</v>
      </c>
      <c r="DF32" t="s">
        <v>3</v>
      </c>
      <c r="DG32" t="s">
        <v>3</v>
      </c>
      <c r="DH32" t="s">
        <v>3</v>
      </c>
      <c r="DI32" t="s">
        <v>3</v>
      </c>
      <c r="DJ32" t="s">
        <v>3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1003</v>
      </c>
      <c r="DV32" t="s">
        <v>20</v>
      </c>
      <c r="DW32" t="s">
        <v>20</v>
      </c>
      <c r="DX32">
        <v>100</v>
      </c>
      <c r="DZ32" t="s">
        <v>3</v>
      </c>
      <c r="EA32" t="s">
        <v>3</v>
      </c>
      <c r="EB32" t="s">
        <v>3</v>
      </c>
      <c r="EC32" t="s">
        <v>3</v>
      </c>
      <c r="EE32">
        <v>75371444</v>
      </c>
      <c r="EF32">
        <v>1</v>
      </c>
      <c r="EG32" t="s">
        <v>22</v>
      </c>
      <c r="EH32">
        <v>0</v>
      </c>
      <c r="EI32" t="s">
        <v>3</v>
      </c>
      <c r="EJ32">
        <v>4</v>
      </c>
      <c r="EK32">
        <v>0</v>
      </c>
      <c r="EL32" t="s">
        <v>23</v>
      </c>
      <c r="EM32" t="s">
        <v>24</v>
      </c>
      <c r="EO32" t="s">
        <v>3</v>
      </c>
      <c r="EQ32">
        <v>0</v>
      </c>
      <c r="ER32">
        <v>1273.3399999999999</v>
      </c>
      <c r="ES32">
        <v>0</v>
      </c>
      <c r="ET32">
        <v>7.44</v>
      </c>
      <c r="EU32">
        <v>0.01</v>
      </c>
      <c r="EV32">
        <v>1265.9000000000001</v>
      </c>
      <c r="EW32">
        <v>3.13</v>
      </c>
      <c r="EX32">
        <v>0</v>
      </c>
      <c r="EY32">
        <v>0</v>
      </c>
      <c r="FQ32">
        <v>0</v>
      </c>
      <c r="FR32">
        <f t="shared" ref="FR32:FR46" si="59">ROUND(IF(BI32=3,GM32,0),2)</f>
        <v>0</v>
      </c>
      <c r="FS32">
        <v>0</v>
      </c>
      <c r="FX32">
        <v>70</v>
      </c>
      <c r="FY32">
        <v>10</v>
      </c>
      <c r="GA32" t="s">
        <v>3</v>
      </c>
      <c r="GD32">
        <v>0</v>
      </c>
      <c r="GF32">
        <v>-165607115</v>
      </c>
      <c r="GG32">
        <v>2</v>
      </c>
      <c r="GH32">
        <v>1</v>
      </c>
      <c r="GI32">
        <v>-2</v>
      </c>
      <c r="GJ32">
        <v>0</v>
      </c>
      <c r="GK32">
        <f>ROUND(R32*(R12)/100,2)</f>
        <v>0</v>
      </c>
      <c r="GL32">
        <f t="shared" ref="GL32:GL46" si="60">ROUND(IF(AND(BH32=3,BI32=3,FS32&lt;&gt;0),P32,0),2)</f>
        <v>0</v>
      </c>
      <c r="GM32">
        <f t="shared" ref="GM32:GM46" si="61">ROUND(O32+X32+Y32+GK32,2)+GX32</f>
        <v>20.57</v>
      </c>
      <c r="GN32">
        <f t="shared" ref="GN32:GN46" si="62">IF(OR(BI32=0,BI32=1),GM32-GX32,0)</f>
        <v>0</v>
      </c>
      <c r="GO32">
        <f t="shared" ref="GO32:GO46" si="63">IF(BI32=2,GM32-GX32,0)</f>
        <v>0</v>
      </c>
      <c r="GP32">
        <f t="shared" ref="GP32:GP46" si="64">IF(BI32=4,GM32-GX32,0)</f>
        <v>20.57</v>
      </c>
      <c r="GR32">
        <v>0</v>
      </c>
      <c r="GS32">
        <v>3</v>
      </c>
      <c r="GT32">
        <v>0</v>
      </c>
      <c r="GU32" t="s">
        <v>3</v>
      </c>
      <c r="GV32">
        <f t="shared" ref="GV32:GV46" si="65">ROUND((GT32),6)</f>
        <v>0</v>
      </c>
      <c r="GW32">
        <v>1</v>
      </c>
      <c r="GX32">
        <f t="shared" ref="GX32:GX46" si="66">ROUND(HC32*I32,2)</f>
        <v>0</v>
      </c>
      <c r="HA32">
        <v>0</v>
      </c>
      <c r="HB32">
        <v>0</v>
      </c>
      <c r="HC32">
        <f t="shared" ref="HC32:HC46" si="67">GV32*GW32</f>
        <v>0</v>
      </c>
      <c r="HE32" t="s">
        <v>3</v>
      </c>
      <c r="HF32" t="s">
        <v>3</v>
      </c>
      <c r="HM32" t="s">
        <v>3</v>
      </c>
      <c r="HN32" t="s">
        <v>3</v>
      </c>
      <c r="HO32" t="s">
        <v>3</v>
      </c>
      <c r="HP32" t="s">
        <v>3</v>
      </c>
      <c r="HQ32" t="s">
        <v>3</v>
      </c>
      <c r="IK32">
        <v>0</v>
      </c>
    </row>
    <row r="33" spans="1:245" x14ac:dyDescent="0.2">
      <c r="A33">
        <v>17</v>
      </c>
      <c r="B33">
        <v>1</v>
      </c>
      <c r="C33">
        <f>ROW(SmtRes!A4)</f>
        <v>4</v>
      </c>
      <c r="D33">
        <f>ROW(EtalonRes!A4)</f>
        <v>4</v>
      </c>
      <c r="E33" t="s">
        <v>25</v>
      </c>
      <c r="F33" t="s">
        <v>26</v>
      </c>
      <c r="G33" t="s">
        <v>27</v>
      </c>
      <c r="H33" t="s">
        <v>20</v>
      </c>
      <c r="I33">
        <f>ROUND(30.95/100,9)</f>
        <v>0.3095</v>
      </c>
      <c r="J33">
        <v>0</v>
      </c>
      <c r="K33">
        <f>ROUND(30.95/100,9)</f>
        <v>0.3095</v>
      </c>
      <c r="O33">
        <f t="shared" si="28"/>
        <v>454.19</v>
      </c>
      <c r="P33">
        <f t="shared" si="29"/>
        <v>0</v>
      </c>
      <c r="Q33">
        <f t="shared" si="30"/>
        <v>0</v>
      </c>
      <c r="R33">
        <f t="shared" si="31"/>
        <v>0</v>
      </c>
      <c r="S33">
        <f t="shared" si="32"/>
        <v>454.19</v>
      </c>
      <c r="T33">
        <f t="shared" si="33"/>
        <v>0</v>
      </c>
      <c r="U33">
        <f t="shared" si="34"/>
        <v>1.1668149999999999</v>
      </c>
      <c r="V33">
        <f t="shared" si="35"/>
        <v>0</v>
      </c>
      <c r="W33">
        <f t="shared" si="36"/>
        <v>0</v>
      </c>
      <c r="X33">
        <f t="shared" si="37"/>
        <v>317.93</v>
      </c>
      <c r="Y33">
        <f t="shared" si="38"/>
        <v>45.42</v>
      </c>
      <c r="AA33">
        <v>75703208</v>
      </c>
      <c r="AB33">
        <f t="shared" si="39"/>
        <v>1467.51</v>
      </c>
      <c r="AC33">
        <f t="shared" si="40"/>
        <v>0</v>
      </c>
      <c r="AD33">
        <f t="shared" si="41"/>
        <v>0</v>
      </c>
      <c r="AE33">
        <f t="shared" si="42"/>
        <v>0</v>
      </c>
      <c r="AF33">
        <f t="shared" si="43"/>
        <v>1467.51</v>
      </c>
      <c r="AG33">
        <f t="shared" si="44"/>
        <v>0</v>
      </c>
      <c r="AH33">
        <f t="shared" si="45"/>
        <v>3.77</v>
      </c>
      <c r="AI33">
        <f t="shared" si="46"/>
        <v>0</v>
      </c>
      <c r="AJ33">
        <f t="shared" si="47"/>
        <v>0</v>
      </c>
      <c r="AK33">
        <v>1467.51</v>
      </c>
      <c r="AL33">
        <v>0</v>
      </c>
      <c r="AM33">
        <v>0</v>
      </c>
      <c r="AN33">
        <v>0</v>
      </c>
      <c r="AO33">
        <v>1467.51</v>
      </c>
      <c r="AP33">
        <v>0</v>
      </c>
      <c r="AQ33">
        <v>3.77</v>
      </c>
      <c r="AR33">
        <v>0</v>
      </c>
      <c r="AS33">
        <v>0</v>
      </c>
      <c r="AT33">
        <v>70</v>
      </c>
      <c r="AU33">
        <v>10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1</v>
      </c>
      <c r="BD33" t="s">
        <v>3</v>
      </c>
      <c r="BE33" t="s">
        <v>3</v>
      </c>
      <c r="BF33" t="s">
        <v>3</v>
      </c>
      <c r="BG33" t="s">
        <v>3</v>
      </c>
      <c r="BH33">
        <v>0</v>
      </c>
      <c r="BI33">
        <v>4</v>
      </c>
      <c r="BJ33" t="s">
        <v>28</v>
      </c>
      <c r="BM33">
        <v>0</v>
      </c>
      <c r="BN33">
        <v>75371441</v>
      </c>
      <c r="BO33" t="s">
        <v>3</v>
      </c>
      <c r="BP33">
        <v>0</v>
      </c>
      <c r="BQ33">
        <v>1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70</v>
      </c>
      <c r="CA33">
        <v>10</v>
      </c>
      <c r="CB33" t="s">
        <v>3</v>
      </c>
      <c r="CE33">
        <v>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 t="shared" si="48"/>
        <v>454.19</v>
      </c>
      <c r="CQ33">
        <f t="shared" si="49"/>
        <v>0</v>
      </c>
      <c r="CR33">
        <f t="shared" si="50"/>
        <v>0</v>
      </c>
      <c r="CS33">
        <f t="shared" si="51"/>
        <v>0</v>
      </c>
      <c r="CT33">
        <f t="shared" si="52"/>
        <v>1467.51</v>
      </c>
      <c r="CU33">
        <f t="shared" si="53"/>
        <v>0</v>
      </c>
      <c r="CV33">
        <f t="shared" si="54"/>
        <v>3.77</v>
      </c>
      <c r="CW33">
        <f t="shared" si="55"/>
        <v>0</v>
      </c>
      <c r="CX33">
        <f t="shared" si="56"/>
        <v>0</v>
      </c>
      <c r="CY33">
        <f t="shared" si="57"/>
        <v>317.93299999999999</v>
      </c>
      <c r="CZ33">
        <f t="shared" si="58"/>
        <v>45.418999999999997</v>
      </c>
      <c r="DC33" t="s">
        <v>3</v>
      </c>
      <c r="DD33" t="s">
        <v>3</v>
      </c>
      <c r="DE33" t="s">
        <v>3</v>
      </c>
      <c r="DF33" t="s">
        <v>3</v>
      </c>
      <c r="DG33" t="s">
        <v>3</v>
      </c>
      <c r="DH33" t="s">
        <v>3</v>
      </c>
      <c r="DI33" t="s">
        <v>3</v>
      </c>
      <c r="DJ33" t="s">
        <v>3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1003</v>
      </c>
      <c r="DV33" t="s">
        <v>20</v>
      </c>
      <c r="DW33" t="s">
        <v>20</v>
      </c>
      <c r="DX33">
        <v>100</v>
      </c>
      <c r="DZ33" t="s">
        <v>3</v>
      </c>
      <c r="EA33" t="s">
        <v>3</v>
      </c>
      <c r="EB33" t="s">
        <v>3</v>
      </c>
      <c r="EC33" t="s">
        <v>3</v>
      </c>
      <c r="EE33">
        <v>75371444</v>
      </c>
      <c r="EF33">
        <v>1</v>
      </c>
      <c r="EG33" t="s">
        <v>22</v>
      </c>
      <c r="EH33">
        <v>0</v>
      </c>
      <c r="EI33" t="s">
        <v>3</v>
      </c>
      <c r="EJ33">
        <v>4</v>
      </c>
      <c r="EK33">
        <v>0</v>
      </c>
      <c r="EL33" t="s">
        <v>23</v>
      </c>
      <c r="EM33" t="s">
        <v>24</v>
      </c>
      <c r="EO33" t="s">
        <v>3</v>
      </c>
      <c r="EQ33">
        <v>0</v>
      </c>
      <c r="ER33">
        <v>1467.51</v>
      </c>
      <c r="ES33">
        <v>0</v>
      </c>
      <c r="ET33">
        <v>0</v>
      </c>
      <c r="EU33">
        <v>0</v>
      </c>
      <c r="EV33">
        <v>1467.51</v>
      </c>
      <c r="EW33">
        <v>3.77</v>
      </c>
      <c r="EX33">
        <v>0</v>
      </c>
      <c r="EY33">
        <v>0</v>
      </c>
      <c r="FQ33">
        <v>0</v>
      </c>
      <c r="FR33">
        <f t="shared" si="59"/>
        <v>0</v>
      </c>
      <c r="FS33">
        <v>0</v>
      </c>
      <c r="FX33">
        <v>70</v>
      </c>
      <c r="FY33">
        <v>10</v>
      </c>
      <c r="GA33" t="s">
        <v>3</v>
      </c>
      <c r="GD33">
        <v>0</v>
      </c>
      <c r="GF33">
        <v>647258461</v>
      </c>
      <c r="GG33">
        <v>2</v>
      </c>
      <c r="GH33">
        <v>1</v>
      </c>
      <c r="GI33">
        <v>-2</v>
      </c>
      <c r="GJ33">
        <v>0</v>
      </c>
      <c r="GK33">
        <f>ROUND(R33*(R12)/100,2)</f>
        <v>0</v>
      </c>
      <c r="GL33">
        <f t="shared" si="60"/>
        <v>0</v>
      </c>
      <c r="GM33">
        <f t="shared" si="61"/>
        <v>817.54</v>
      </c>
      <c r="GN33">
        <f t="shared" si="62"/>
        <v>0</v>
      </c>
      <c r="GO33">
        <f t="shared" si="63"/>
        <v>0</v>
      </c>
      <c r="GP33">
        <f t="shared" si="64"/>
        <v>817.54</v>
      </c>
      <c r="GR33">
        <v>0</v>
      </c>
      <c r="GS33">
        <v>3</v>
      </c>
      <c r="GT33">
        <v>0</v>
      </c>
      <c r="GU33" t="s">
        <v>3</v>
      </c>
      <c r="GV33">
        <f t="shared" si="65"/>
        <v>0</v>
      </c>
      <c r="GW33">
        <v>1</v>
      </c>
      <c r="GX33">
        <f t="shared" si="66"/>
        <v>0</v>
      </c>
      <c r="HA33">
        <v>0</v>
      </c>
      <c r="HB33">
        <v>0</v>
      </c>
      <c r="HC33">
        <f t="shared" si="67"/>
        <v>0</v>
      </c>
      <c r="HE33" t="s">
        <v>3</v>
      </c>
      <c r="HF33" t="s">
        <v>3</v>
      </c>
      <c r="HM33" t="s">
        <v>3</v>
      </c>
      <c r="HN33" t="s">
        <v>3</v>
      </c>
      <c r="HO33" t="s">
        <v>3</v>
      </c>
      <c r="HP33" t="s">
        <v>3</v>
      </c>
      <c r="HQ33" t="s">
        <v>3</v>
      </c>
      <c r="IK33">
        <v>0</v>
      </c>
    </row>
    <row r="34" spans="1:245" x14ac:dyDescent="0.2">
      <c r="A34">
        <v>17</v>
      </c>
      <c r="B34">
        <v>1</v>
      </c>
      <c r="C34">
        <f>ROW(SmtRes!A8)</f>
        <v>8</v>
      </c>
      <c r="D34">
        <f>ROW(EtalonRes!A7)</f>
        <v>7</v>
      </c>
      <c r="E34" t="s">
        <v>29</v>
      </c>
      <c r="F34" t="s">
        <v>30</v>
      </c>
      <c r="G34" t="s">
        <v>31</v>
      </c>
      <c r="H34" t="s">
        <v>20</v>
      </c>
      <c r="I34">
        <f>ROUND(31.5/100,9)</f>
        <v>0.315</v>
      </c>
      <c r="J34">
        <v>0</v>
      </c>
      <c r="K34">
        <f>ROUND(31.5/100,9)</f>
        <v>0.315</v>
      </c>
      <c r="O34">
        <f t="shared" si="28"/>
        <v>2452.96</v>
      </c>
      <c r="P34">
        <f t="shared" si="29"/>
        <v>1246.06</v>
      </c>
      <c r="Q34">
        <f t="shared" si="30"/>
        <v>0</v>
      </c>
      <c r="R34">
        <f t="shared" si="31"/>
        <v>0</v>
      </c>
      <c r="S34">
        <f t="shared" si="32"/>
        <v>1206.9000000000001</v>
      </c>
      <c r="T34">
        <f t="shared" si="33"/>
        <v>0</v>
      </c>
      <c r="U34">
        <f t="shared" si="34"/>
        <v>2.7720000000000002</v>
      </c>
      <c r="V34">
        <f t="shared" si="35"/>
        <v>0</v>
      </c>
      <c r="W34">
        <f t="shared" si="36"/>
        <v>0</v>
      </c>
      <c r="X34">
        <f t="shared" si="37"/>
        <v>844.83</v>
      </c>
      <c r="Y34">
        <f t="shared" si="38"/>
        <v>120.69</v>
      </c>
      <c r="AA34">
        <v>75703208</v>
      </c>
      <c r="AB34">
        <f t="shared" si="39"/>
        <v>7787.19</v>
      </c>
      <c r="AC34">
        <f t="shared" si="40"/>
        <v>3955.76</v>
      </c>
      <c r="AD34">
        <f t="shared" si="41"/>
        <v>0</v>
      </c>
      <c r="AE34">
        <f t="shared" si="42"/>
        <v>0</v>
      </c>
      <c r="AF34">
        <f t="shared" si="43"/>
        <v>3831.43</v>
      </c>
      <c r="AG34">
        <f t="shared" si="44"/>
        <v>0</v>
      </c>
      <c r="AH34">
        <f t="shared" si="45"/>
        <v>8.8000000000000007</v>
      </c>
      <c r="AI34">
        <f t="shared" si="46"/>
        <v>0</v>
      </c>
      <c r="AJ34">
        <f t="shared" si="47"/>
        <v>0</v>
      </c>
      <c r="AK34">
        <v>7787.19</v>
      </c>
      <c r="AL34">
        <v>3955.76</v>
      </c>
      <c r="AM34">
        <v>0</v>
      </c>
      <c r="AN34">
        <v>0</v>
      </c>
      <c r="AO34">
        <v>3831.43</v>
      </c>
      <c r="AP34">
        <v>0</v>
      </c>
      <c r="AQ34">
        <v>8.8000000000000007</v>
      </c>
      <c r="AR34">
        <v>0</v>
      </c>
      <c r="AS34">
        <v>0</v>
      </c>
      <c r="AT34">
        <v>70</v>
      </c>
      <c r="AU34">
        <v>10</v>
      </c>
      <c r="AV34">
        <v>1</v>
      </c>
      <c r="AW34">
        <v>1</v>
      </c>
      <c r="AZ34">
        <v>1</v>
      </c>
      <c r="BA34">
        <v>1</v>
      </c>
      <c r="BB34">
        <v>1</v>
      </c>
      <c r="BC34">
        <v>1</v>
      </c>
      <c r="BD34" t="s">
        <v>3</v>
      </c>
      <c r="BE34" t="s">
        <v>3</v>
      </c>
      <c r="BF34" t="s">
        <v>3</v>
      </c>
      <c r="BG34" t="s">
        <v>3</v>
      </c>
      <c r="BH34">
        <v>0</v>
      </c>
      <c r="BI34">
        <v>4</v>
      </c>
      <c r="BJ34" t="s">
        <v>32</v>
      </c>
      <c r="BM34">
        <v>0</v>
      </c>
      <c r="BN34">
        <v>75371441</v>
      </c>
      <c r="BO34" t="s">
        <v>3</v>
      </c>
      <c r="BP34">
        <v>0</v>
      </c>
      <c r="BQ34">
        <v>1</v>
      </c>
      <c r="BR34">
        <v>0</v>
      </c>
      <c r="BS34">
        <v>1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70</v>
      </c>
      <c r="CA34">
        <v>10</v>
      </c>
      <c r="CB34" t="s">
        <v>3</v>
      </c>
      <c r="CE34">
        <v>0</v>
      </c>
      <c r="CF34">
        <v>0</v>
      </c>
      <c r="CG34">
        <v>0</v>
      </c>
      <c r="CM34">
        <v>0</v>
      </c>
      <c r="CN34" t="s">
        <v>3</v>
      </c>
      <c r="CO34">
        <v>0</v>
      </c>
      <c r="CP34">
        <f t="shared" si="48"/>
        <v>2452.96</v>
      </c>
      <c r="CQ34">
        <f t="shared" si="49"/>
        <v>3955.76</v>
      </c>
      <c r="CR34">
        <f t="shared" si="50"/>
        <v>0</v>
      </c>
      <c r="CS34">
        <f t="shared" si="51"/>
        <v>0</v>
      </c>
      <c r="CT34">
        <f t="shared" si="52"/>
        <v>3831.43</v>
      </c>
      <c r="CU34">
        <f t="shared" si="53"/>
        <v>0</v>
      </c>
      <c r="CV34">
        <f t="shared" si="54"/>
        <v>8.8000000000000007</v>
      </c>
      <c r="CW34">
        <f t="shared" si="55"/>
        <v>0</v>
      </c>
      <c r="CX34">
        <f t="shared" si="56"/>
        <v>0</v>
      </c>
      <c r="CY34">
        <f t="shared" si="57"/>
        <v>844.83</v>
      </c>
      <c r="CZ34">
        <f t="shared" si="58"/>
        <v>120.69</v>
      </c>
      <c r="DC34" t="s">
        <v>3</v>
      </c>
      <c r="DD34" t="s">
        <v>3</v>
      </c>
      <c r="DE34" t="s">
        <v>3</v>
      </c>
      <c r="DF34" t="s">
        <v>3</v>
      </c>
      <c r="DG34" t="s">
        <v>3</v>
      </c>
      <c r="DH34" t="s">
        <v>3</v>
      </c>
      <c r="DI34" t="s">
        <v>3</v>
      </c>
      <c r="DJ34" t="s">
        <v>3</v>
      </c>
      <c r="DK34" t="s">
        <v>3</v>
      </c>
      <c r="DL34" t="s">
        <v>3</v>
      </c>
      <c r="DM34" t="s">
        <v>3</v>
      </c>
      <c r="DN34">
        <v>0</v>
      </c>
      <c r="DO34">
        <v>0</v>
      </c>
      <c r="DP34">
        <v>1</v>
      </c>
      <c r="DQ34">
        <v>1</v>
      </c>
      <c r="DU34">
        <v>1003</v>
      </c>
      <c r="DV34" t="s">
        <v>20</v>
      </c>
      <c r="DW34" t="s">
        <v>20</v>
      </c>
      <c r="DX34">
        <v>100</v>
      </c>
      <c r="DZ34" t="s">
        <v>3</v>
      </c>
      <c r="EA34" t="s">
        <v>3</v>
      </c>
      <c r="EB34" t="s">
        <v>3</v>
      </c>
      <c r="EC34" t="s">
        <v>3</v>
      </c>
      <c r="EE34">
        <v>75371444</v>
      </c>
      <c r="EF34">
        <v>1</v>
      </c>
      <c r="EG34" t="s">
        <v>22</v>
      </c>
      <c r="EH34">
        <v>0</v>
      </c>
      <c r="EI34" t="s">
        <v>3</v>
      </c>
      <c r="EJ34">
        <v>4</v>
      </c>
      <c r="EK34">
        <v>0</v>
      </c>
      <c r="EL34" t="s">
        <v>23</v>
      </c>
      <c r="EM34" t="s">
        <v>24</v>
      </c>
      <c r="EO34" t="s">
        <v>3</v>
      </c>
      <c r="EQ34">
        <v>0</v>
      </c>
      <c r="ER34">
        <v>7787.19</v>
      </c>
      <c r="ES34">
        <v>3955.76</v>
      </c>
      <c r="ET34">
        <v>0</v>
      </c>
      <c r="EU34">
        <v>0</v>
      </c>
      <c r="EV34">
        <v>3831.43</v>
      </c>
      <c r="EW34">
        <v>8.8000000000000007</v>
      </c>
      <c r="EX34">
        <v>0</v>
      </c>
      <c r="EY34">
        <v>0</v>
      </c>
      <c r="FQ34">
        <v>0</v>
      </c>
      <c r="FR34">
        <f t="shared" si="59"/>
        <v>0</v>
      </c>
      <c r="FS34">
        <v>0</v>
      </c>
      <c r="FX34">
        <v>70</v>
      </c>
      <c r="FY34">
        <v>10</v>
      </c>
      <c r="GA34" t="s">
        <v>3</v>
      </c>
      <c r="GD34">
        <v>0</v>
      </c>
      <c r="GF34">
        <v>-1418968726</v>
      </c>
      <c r="GG34">
        <v>2</v>
      </c>
      <c r="GH34">
        <v>1</v>
      </c>
      <c r="GI34">
        <v>-2</v>
      </c>
      <c r="GJ34">
        <v>0</v>
      </c>
      <c r="GK34">
        <f>ROUND(R34*(R12)/100,2)</f>
        <v>0</v>
      </c>
      <c r="GL34">
        <f t="shared" si="60"/>
        <v>0</v>
      </c>
      <c r="GM34">
        <f t="shared" si="61"/>
        <v>3418.48</v>
      </c>
      <c r="GN34">
        <f t="shared" si="62"/>
        <v>0</v>
      </c>
      <c r="GO34">
        <f t="shared" si="63"/>
        <v>0</v>
      </c>
      <c r="GP34">
        <f t="shared" si="64"/>
        <v>3418.48</v>
      </c>
      <c r="GR34">
        <v>0</v>
      </c>
      <c r="GS34">
        <v>3</v>
      </c>
      <c r="GT34">
        <v>0</v>
      </c>
      <c r="GU34" t="s">
        <v>3</v>
      </c>
      <c r="GV34">
        <f t="shared" si="65"/>
        <v>0</v>
      </c>
      <c r="GW34">
        <v>1</v>
      </c>
      <c r="GX34">
        <f t="shared" si="66"/>
        <v>0</v>
      </c>
      <c r="HA34">
        <v>0</v>
      </c>
      <c r="HB34">
        <v>0</v>
      </c>
      <c r="HC34">
        <f t="shared" si="67"/>
        <v>0</v>
      </c>
      <c r="HE34" t="s">
        <v>3</v>
      </c>
      <c r="HF34" t="s">
        <v>3</v>
      </c>
      <c r="HM34" t="s">
        <v>3</v>
      </c>
      <c r="HN34" t="s">
        <v>3</v>
      </c>
      <c r="HO34" t="s">
        <v>3</v>
      </c>
      <c r="HP34" t="s">
        <v>3</v>
      </c>
      <c r="HQ34" t="s">
        <v>3</v>
      </c>
      <c r="IK34">
        <v>0</v>
      </c>
    </row>
    <row r="35" spans="1:245" x14ac:dyDescent="0.2">
      <c r="A35">
        <v>18</v>
      </c>
      <c r="B35">
        <v>1</v>
      </c>
      <c r="C35">
        <v>8</v>
      </c>
      <c r="E35" t="s">
        <v>33</v>
      </c>
      <c r="F35" t="s">
        <v>34</v>
      </c>
      <c r="G35" t="s">
        <v>35</v>
      </c>
      <c r="H35" t="s">
        <v>36</v>
      </c>
      <c r="I35">
        <f>I34*J35</f>
        <v>33.075000000000003</v>
      </c>
      <c r="J35">
        <v>105.00000000000001</v>
      </c>
      <c r="K35">
        <v>105</v>
      </c>
      <c r="O35">
        <f t="shared" si="28"/>
        <v>2881.82</v>
      </c>
      <c r="P35">
        <f t="shared" si="29"/>
        <v>2881.82</v>
      </c>
      <c r="Q35">
        <f t="shared" si="30"/>
        <v>0</v>
      </c>
      <c r="R35">
        <f t="shared" si="31"/>
        <v>0</v>
      </c>
      <c r="S35">
        <f t="shared" si="32"/>
        <v>0</v>
      </c>
      <c r="T35">
        <f t="shared" si="33"/>
        <v>0</v>
      </c>
      <c r="U35">
        <f t="shared" si="34"/>
        <v>0</v>
      </c>
      <c r="V35">
        <f t="shared" si="35"/>
        <v>0</v>
      </c>
      <c r="W35">
        <f t="shared" si="36"/>
        <v>0</v>
      </c>
      <c r="X35">
        <f t="shared" si="37"/>
        <v>0</v>
      </c>
      <c r="Y35">
        <f t="shared" si="38"/>
        <v>0</v>
      </c>
      <c r="AA35">
        <v>75703208</v>
      </c>
      <c r="AB35">
        <f t="shared" si="39"/>
        <v>87.13</v>
      </c>
      <c r="AC35">
        <f t="shared" si="40"/>
        <v>87.13</v>
      </c>
      <c r="AD35">
        <f t="shared" si="41"/>
        <v>0</v>
      </c>
      <c r="AE35">
        <f t="shared" si="42"/>
        <v>0</v>
      </c>
      <c r="AF35">
        <f t="shared" si="43"/>
        <v>0</v>
      </c>
      <c r="AG35">
        <f t="shared" si="44"/>
        <v>0</v>
      </c>
      <c r="AH35">
        <f t="shared" si="45"/>
        <v>0</v>
      </c>
      <c r="AI35">
        <f t="shared" si="46"/>
        <v>0</v>
      </c>
      <c r="AJ35">
        <f t="shared" si="47"/>
        <v>0</v>
      </c>
      <c r="AK35">
        <v>87.13</v>
      </c>
      <c r="AL35">
        <v>87.13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70</v>
      </c>
      <c r="AU35">
        <v>10</v>
      </c>
      <c r="AV35">
        <v>1</v>
      </c>
      <c r="AW35">
        <v>1</v>
      </c>
      <c r="AZ35">
        <v>1</v>
      </c>
      <c r="BA35">
        <v>1</v>
      </c>
      <c r="BB35">
        <v>1</v>
      </c>
      <c r="BC35">
        <v>1</v>
      </c>
      <c r="BD35" t="s">
        <v>3</v>
      </c>
      <c r="BE35" t="s">
        <v>3</v>
      </c>
      <c r="BF35" t="s">
        <v>3</v>
      </c>
      <c r="BG35" t="s">
        <v>3</v>
      </c>
      <c r="BH35">
        <v>3</v>
      </c>
      <c r="BI35">
        <v>4</v>
      </c>
      <c r="BJ35" t="s">
        <v>3</v>
      </c>
      <c r="BM35">
        <v>0</v>
      </c>
      <c r="BN35">
        <v>0</v>
      </c>
      <c r="BO35" t="s">
        <v>3</v>
      </c>
      <c r="BP35">
        <v>0</v>
      </c>
      <c r="BQ35">
        <v>1</v>
      </c>
      <c r="BR35">
        <v>0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70</v>
      </c>
      <c r="CA35">
        <v>10</v>
      </c>
      <c r="CB35" t="s">
        <v>3</v>
      </c>
      <c r="CE35">
        <v>0</v>
      </c>
      <c r="CF35">
        <v>0</v>
      </c>
      <c r="CG35">
        <v>0</v>
      </c>
      <c r="CM35">
        <v>0</v>
      </c>
      <c r="CN35" t="s">
        <v>3</v>
      </c>
      <c r="CO35">
        <v>0</v>
      </c>
      <c r="CP35">
        <f t="shared" si="48"/>
        <v>2881.82</v>
      </c>
      <c r="CQ35">
        <f t="shared" si="49"/>
        <v>87.13</v>
      </c>
      <c r="CR35">
        <f t="shared" si="50"/>
        <v>0</v>
      </c>
      <c r="CS35">
        <f t="shared" si="51"/>
        <v>0</v>
      </c>
      <c r="CT35">
        <f t="shared" si="52"/>
        <v>0</v>
      </c>
      <c r="CU35">
        <f t="shared" si="53"/>
        <v>0</v>
      </c>
      <c r="CV35">
        <f t="shared" si="54"/>
        <v>0</v>
      </c>
      <c r="CW35">
        <f t="shared" si="55"/>
        <v>0</v>
      </c>
      <c r="CX35">
        <f t="shared" si="56"/>
        <v>0</v>
      </c>
      <c r="CY35">
        <f t="shared" si="57"/>
        <v>0</v>
      </c>
      <c r="CZ35">
        <f t="shared" si="58"/>
        <v>0</v>
      </c>
      <c r="DC35" t="s">
        <v>3</v>
      </c>
      <c r="DD35" t="s">
        <v>3</v>
      </c>
      <c r="DE35" t="s">
        <v>3</v>
      </c>
      <c r="DF35" t="s">
        <v>3</v>
      </c>
      <c r="DG35" t="s">
        <v>3</v>
      </c>
      <c r="DH35" t="s">
        <v>3</v>
      </c>
      <c r="DI35" t="s">
        <v>3</v>
      </c>
      <c r="DJ35" t="s">
        <v>3</v>
      </c>
      <c r="DK35" t="s">
        <v>3</v>
      </c>
      <c r="DL35" t="s">
        <v>3</v>
      </c>
      <c r="DM35" t="s">
        <v>3</v>
      </c>
      <c r="DN35">
        <v>0</v>
      </c>
      <c r="DO35">
        <v>0</v>
      </c>
      <c r="DP35">
        <v>1</v>
      </c>
      <c r="DQ35">
        <v>1</v>
      </c>
      <c r="DU35">
        <v>1003</v>
      </c>
      <c r="DV35" t="s">
        <v>36</v>
      </c>
      <c r="DW35" t="s">
        <v>36</v>
      </c>
      <c r="DX35">
        <v>1</v>
      </c>
      <c r="DZ35" t="s">
        <v>3</v>
      </c>
      <c r="EA35" t="s">
        <v>3</v>
      </c>
      <c r="EB35" t="s">
        <v>3</v>
      </c>
      <c r="EC35" t="s">
        <v>3</v>
      </c>
      <c r="EE35">
        <v>75371444</v>
      </c>
      <c r="EF35">
        <v>1</v>
      </c>
      <c r="EG35" t="s">
        <v>22</v>
      </c>
      <c r="EH35">
        <v>0</v>
      </c>
      <c r="EI35" t="s">
        <v>3</v>
      </c>
      <c r="EJ35">
        <v>4</v>
      </c>
      <c r="EK35">
        <v>0</v>
      </c>
      <c r="EL35" t="s">
        <v>23</v>
      </c>
      <c r="EM35" t="s">
        <v>24</v>
      </c>
      <c r="EO35" t="s">
        <v>3</v>
      </c>
      <c r="EQ35">
        <v>0</v>
      </c>
      <c r="ER35">
        <v>87.13</v>
      </c>
      <c r="ES35">
        <v>87.13</v>
      </c>
      <c r="ET35">
        <v>0</v>
      </c>
      <c r="EU35">
        <v>0</v>
      </c>
      <c r="EV35">
        <v>0</v>
      </c>
      <c r="EW35">
        <v>0</v>
      </c>
      <c r="EX35">
        <v>0</v>
      </c>
      <c r="EZ35">
        <v>5</v>
      </c>
      <c r="FC35">
        <v>1</v>
      </c>
      <c r="FD35">
        <v>18</v>
      </c>
      <c r="FF35">
        <v>104.55</v>
      </c>
      <c r="FQ35">
        <v>0</v>
      </c>
      <c r="FR35">
        <f t="shared" si="59"/>
        <v>0</v>
      </c>
      <c r="FS35">
        <v>0</v>
      </c>
      <c r="FX35">
        <v>70</v>
      </c>
      <c r="FY35">
        <v>10</v>
      </c>
      <c r="GA35" t="s">
        <v>37</v>
      </c>
      <c r="GD35">
        <v>0</v>
      </c>
      <c r="GF35">
        <v>1643166817</v>
      </c>
      <c r="GG35">
        <v>2</v>
      </c>
      <c r="GH35">
        <v>3</v>
      </c>
      <c r="GI35">
        <v>-2</v>
      </c>
      <c r="GJ35">
        <v>0</v>
      </c>
      <c r="GK35">
        <f>ROUND(R35*(R12)/100,2)</f>
        <v>0</v>
      </c>
      <c r="GL35">
        <f t="shared" si="60"/>
        <v>0</v>
      </c>
      <c r="GM35">
        <f t="shared" si="61"/>
        <v>2881.82</v>
      </c>
      <c r="GN35">
        <f t="shared" si="62"/>
        <v>0</v>
      </c>
      <c r="GO35">
        <f t="shared" si="63"/>
        <v>0</v>
      </c>
      <c r="GP35">
        <f t="shared" si="64"/>
        <v>2881.82</v>
      </c>
      <c r="GR35">
        <v>1</v>
      </c>
      <c r="GS35">
        <v>1</v>
      </c>
      <c r="GT35">
        <v>0</v>
      </c>
      <c r="GU35" t="s">
        <v>3</v>
      </c>
      <c r="GV35">
        <f t="shared" si="65"/>
        <v>0</v>
      </c>
      <c r="GW35">
        <v>1</v>
      </c>
      <c r="GX35">
        <f t="shared" si="66"/>
        <v>0</v>
      </c>
      <c r="HA35">
        <v>0</v>
      </c>
      <c r="HB35">
        <v>0</v>
      </c>
      <c r="HC35">
        <f t="shared" si="67"/>
        <v>0</v>
      </c>
      <c r="HE35" t="s">
        <v>38</v>
      </c>
      <c r="HF35" t="s">
        <v>38</v>
      </c>
      <c r="HM35" t="s">
        <v>3</v>
      </c>
      <c r="HN35" t="s">
        <v>3</v>
      </c>
      <c r="HO35" t="s">
        <v>3</v>
      </c>
      <c r="HP35" t="s">
        <v>3</v>
      </c>
      <c r="HQ35" t="s">
        <v>3</v>
      </c>
      <c r="IK35">
        <v>0</v>
      </c>
    </row>
    <row r="36" spans="1:245" x14ac:dyDescent="0.2">
      <c r="A36">
        <v>18</v>
      </c>
      <c r="B36">
        <v>1</v>
      </c>
      <c r="C36">
        <v>7</v>
      </c>
      <c r="E36" t="s">
        <v>39</v>
      </c>
      <c r="F36" t="s">
        <v>40</v>
      </c>
      <c r="G36" t="s">
        <v>41</v>
      </c>
      <c r="H36" t="s">
        <v>36</v>
      </c>
      <c r="I36">
        <f>I34*J36</f>
        <v>-33.075000000000003</v>
      </c>
      <c r="J36">
        <v>-105.00000000000001</v>
      </c>
      <c r="K36">
        <v>-105</v>
      </c>
      <c r="O36">
        <f t="shared" si="28"/>
        <v>-1233.3699999999999</v>
      </c>
      <c r="P36">
        <f t="shared" si="29"/>
        <v>-1233.3699999999999</v>
      </c>
      <c r="Q36">
        <f t="shared" si="30"/>
        <v>0</v>
      </c>
      <c r="R36">
        <f t="shared" si="31"/>
        <v>0</v>
      </c>
      <c r="S36">
        <f t="shared" si="32"/>
        <v>0</v>
      </c>
      <c r="T36">
        <f t="shared" si="33"/>
        <v>0</v>
      </c>
      <c r="U36">
        <f t="shared" si="34"/>
        <v>0</v>
      </c>
      <c r="V36">
        <f t="shared" si="35"/>
        <v>0</v>
      </c>
      <c r="W36">
        <f t="shared" si="36"/>
        <v>0</v>
      </c>
      <c r="X36">
        <f t="shared" si="37"/>
        <v>0</v>
      </c>
      <c r="Y36">
        <f t="shared" si="38"/>
        <v>0</v>
      </c>
      <c r="AA36">
        <v>75703208</v>
      </c>
      <c r="AB36">
        <f t="shared" si="39"/>
        <v>37.29</v>
      </c>
      <c r="AC36">
        <f t="shared" si="40"/>
        <v>37.29</v>
      </c>
      <c r="AD36">
        <f t="shared" si="41"/>
        <v>0</v>
      </c>
      <c r="AE36">
        <f t="shared" si="42"/>
        <v>0</v>
      </c>
      <c r="AF36">
        <f t="shared" si="43"/>
        <v>0</v>
      </c>
      <c r="AG36">
        <f t="shared" si="44"/>
        <v>0</v>
      </c>
      <c r="AH36">
        <f t="shared" si="45"/>
        <v>0</v>
      </c>
      <c r="AI36">
        <f t="shared" si="46"/>
        <v>0</v>
      </c>
      <c r="AJ36">
        <f t="shared" si="47"/>
        <v>0</v>
      </c>
      <c r="AK36">
        <v>37.29</v>
      </c>
      <c r="AL36">
        <v>37.29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70</v>
      </c>
      <c r="AU36">
        <v>10</v>
      </c>
      <c r="AV36">
        <v>1</v>
      </c>
      <c r="AW36">
        <v>1</v>
      </c>
      <c r="AZ36">
        <v>1</v>
      </c>
      <c r="BA36">
        <v>1</v>
      </c>
      <c r="BB36">
        <v>1</v>
      </c>
      <c r="BC36">
        <v>1</v>
      </c>
      <c r="BD36" t="s">
        <v>3</v>
      </c>
      <c r="BE36" t="s">
        <v>3</v>
      </c>
      <c r="BF36" t="s">
        <v>3</v>
      </c>
      <c r="BG36" t="s">
        <v>3</v>
      </c>
      <c r="BH36">
        <v>3</v>
      </c>
      <c r="BI36">
        <v>4</v>
      </c>
      <c r="BJ36" t="s">
        <v>42</v>
      </c>
      <c r="BM36">
        <v>0</v>
      </c>
      <c r="BN36">
        <v>75371441</v>
      </c>
      <c r="BO36" t="s">
        <v>3</v>
      </c>
      <c r="BP36">
        <v>0</v>
      </c>
      <c r="BQ36">
        <v>1</v>
      </c>
      <c r="BR36">
        <v>1</v>
      </c>
      <c r="BS36">
        <v>1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3</v>
      </c>
      <c r="BZ36">
        <v>70</v>
      </c>
      <c r="CA36">
        <v>10</v>
      </c>
      <c r="CB36" t="s">
        <v>3</v>
      </c>
      <c r="CE36">
        <v>0</v>
      </c>
      <c r="CF36">
        <v>0</v>
      </c>
      <c r="CG36">
        <v>0</v>
      </c>
      <c r="CM36">
        <v>0</v>
      </c>
      <c r="CN36" t="s">
        <v>3</v>
      </c>
      <c r="CO36">
        <v>0</v>
      </c>
      <c r="CP36">
        <f t="shared" si="48"/>
        <v>-1233.3699999999999</v>
      </c>
      <c r="CQ36">
        <f t="shared" si="49"/>
        <v>37.29</v>
      </c>
      <c r="CR36">
        <f t="shared" si="50"/>
        <v>0</v>
      </c>
      <c r="CS36">
        <f t="shared" si="51"/>
        <v>0</v>
      </c>
      <c r="CT36">
        <f t="shared" si="52"/>
        <v>0</v>
      </c>
      <c r="CU36">
        <f t="shared" si="53"/>
        <v>0</v>
      </c>
      <c r="CV36">
        <f t="shared" si="54"/>
        <v>0</v>
      </c>
      <c r="CW36">
        <f t="shared" si="55"/>
        <v>0</v>
      </c>
      <c r="CX36">
        <f t="shared" si="56"/>
        <v>0</v>
      </c>
      <c r="CY36">
        <f t="shared" si="57"/>
        <v>0</v>
      </c>
      <c r="CZ36">
        <f t="shared" si="58"/>
        <v>0</v>
      </c>
      <c r="DC36" t="s">
        <v>3</v>
      </c>
      <c r="DD36" t="s">
        <v>3</v>
      </c>
      <c r="DE36" t="s">
        <v>3</v>
      </c>
      <c r="DF36" t="s">
        <v>3</v>
      </c>
      <c r="DG36" t="s">
        <v>3</v>
      </c>
      <c r="DH36" t="s">
        <v>3</v>
      </c>
      <c r="DI36" t="s">
        <v>3</v>
      </c>
      <c r="DJ36" t="s">
        <v>3</v>
      </c>
      <c r="DK36" t="s">
        <v>3</v>
      </c>
      <c r="DL36" t="s">
        <v>3</v>
      </c>
      <c r="DM36" t="s">
        <v>3</v>
      </c>
      <c r="DN36">
        <v>0</v>
      </c>
      <c r="DO36">
        <v>0</v>
      </c>
      <c r="DP36">
        <v>1</v>
      </c>
      <c r="DQ36">
        <v>1</v>
      </c>
      <c r="DU36">
        <v>1003</v>
      </c>
      <c r="DV36" t="s">
        <v>36</v>
      </c>
      <c r="DW36" t="s">
        <v>36</v>
      </c>
      <c r="DX36">
        <v>1</v>
      </c>
      <c r="DZ36" t="s">
        <v>3</v>
      </c>
      <c r="EA36" t="s">
        <v>3</v>
      </c>
      <c r="EB36" t="s">
        <v>3</v>
      </c>
      <c r="EC36" t="s">
        <v>3</v>
      </c>
      <c r="EE36">
        <v>75371444</v>
      </c>
      <c r="EF36">
        <v>1</v>
      </c>
      <c r="EG36" t="s">
        <v>22</v>
      </c>
      <c r="EH36">
        <v>0</v>
      </c>
      <c r="EI36" t="s">
        <v>3</v>
      </c>
      <c r="EJ36">
        <v>4</v>
      </c>
      <c r="EK36">
        <v>0</v>
      </c>
      <c r="EL36" t="s">
        <v>23</v>
      </c>
      <c r="EM36" t="s">
        <v>24</v>
      </c>
      <c r="EO36" t="s">
        <v>3</v>
      </c>
      <c r="EQ36">
        <v>32768</v>
      </c>
      <c r="ER36">
        <v>37.29</v>
      </c>
      <c r="ES36">
        <v>37.29</v>
      </c>
      <c r="ET36">
        <v>0</v>
      </c>
      <c r="EU36">
        <v>0</v>
      </c>
      <c r="EV36">
        <v>0</v>
      </c>
      <c r="EW36">
        <v>0</v>
      </c>
      <c r="EX36">
        <v>0</v>
      </c>
      <c r="FQ36">
        <v>0</v>
      </c>
      <c r="FR36">
        <f t="shared" si="59"/>
        <v>0</v>
      </c>
      <c r="FS36">
        <v>0</v>
      </c>
      <c r="FX36">
        <v>70</v>
      </c>
      <c r="FY36">
        <v>10</v>
      </c>
      <c r="GA36" t="s">
        <v>3</v>
      </c>
      <c r="GD36">
        <v>0</v>
      </c>
      <c r="GF36">
        <v>-621127235</v>
      </c>
      <c r="GG36">
        <v>2</v>
      </c>
      <c r="GH36">
        <v>1</v>
      </c>
      <c r="GI36">
        <v>-2</v>
      </c>
      <c r="GJ36">
        <v>0</v>
      </c>
      <c r="GK36">
        <f>ROUND(R36*(R12)/100,2)</f>
        <v>0</v>
      </c>
      <c r="GL36">
        <f t="shared" si="60"/>
        <v>0</v>
      </c>
      <c r="GM36">
        <f t="shared" si="61"/>
        <v>-1233.3699999999999</v>
      </c>
      <c r="GN36">
        <f t="shared" si="62"/>
        <v>0</v>
      </c>
      <c r="GO36">
        <f t="shared" si="63"/>
        <v>0</v>
      </c>
      <c r="GP36">
        <f t="shared" si="64"/>
        <v>-1233.3699999999999</v>
      </c>
      <c r="GR36">
        <v>0</v>
      </c>
      <c r="GS36">
        <v>3</v>
      </c>
      <c r="GT36">
        <v>0</v>
      </c>
      <c r="GU36" t="s">
        <v>3</v>
      </c>
      <c r="GV36">
        <f t="shared" si="65"/>
        <v>0</v>
      </c>
      <c r="GW36">
        <v>1</v>
      </c>
      <c r="GX36">
        <f t="shared" si="66"/>
        <v>0</v>
      </c>
      <c r="HA36">
        <v>0</v>
      </c>
      <c r="HB36">
        <v>0</v>
      </c>
      <c r="HC36">
        <f t="shared" si="67"/>
        <v>0</v>
      </c>
      <c r="HE36" t="s">
        <v>3</v>
      </c>
      <c r="HF36" t="s">
        <v>3</v>
      </c>
      <c r="HM36" t="s">
        <v>3</v>
      </c>
      <c r="HN36" t="s">
        <v>3</v>
      </c>
      <c r="HO36" t="s">
        <v>3</v>
      </c>
      <c r="HP36" t="s">
        <v>3</v>
      </c>
      <c r="HQ36" t="s">
        <v>3</v>
      </c>
      <c r="IK36">
        <v>0</v>
      </c>
    </row>
    <row r="37" spans="1:245" x14ac:dyDescent="0.2">
      <c r="A37">
        <v>17</v>
      </c>
      <c r="B37">
        <v>1</v>
      </c>
      <c r="C37">
        <f>ROW(SmtRes!A11)</f>
        <v>11</v>
      </c>
      <c r="D37">
        <f>ROW(EtalonRes!A9)</f>
        <v>9</v>
      </c>
      <c r="E37" t="s">
        <v>43</v>
      </c>
      <c r="F37" t="s">
        <v>44</v>
      </c>
      <c r="G37" t="s">
        <v>45</v>
      </c>
      <c r="H37" t="s">
        <v>46</v>
      </c>
      <c r="I37">
        <f>ROUND(1.58/100,9)</f>
        <v>1.5800000000000002E-2</v>
      </c>
      <c r="J37">
        <v>0</v>
      </c>
      <c r="K37">
        <f>ROUND(1.58/100,9)</f>
        <v>1.5800000000000002E-2</v>
      </c>
      <c r="O37">
        <f t="shared" si="28"/>
        <v>194.08</v>
      </c>
      <c r="P37">
        <f t="shared" si="29"/>
        <v>81.3</v>
      </c>
      <c r="Q37">
        <f t="shared" si="30"/>
        <v>0</v>
      </c>
      <c r="R37">
        <f t="shared" si="31"/>
        <v>0</v>
      </c>
      <c r="S37">
        <f t="shared" si="32"/>
        <v>112.78</v>
      </c>
      <c r="T37">
        <f t="shared" si="33"/>
        <v>0</v>
      </c>
      <c r="U37">
        <f t="shared" si="34"/>
        <v>0.20350400000000005</v>
      </c>
      <c r="V37">
        <f t="shared" si="35"/>
        <v>0</v>
      </c>
      <c r="W37">
        <f t="shared" si="36"/>
        <v>0</v>
      </c>
      <c r="X37">
        <f t="shared" si="37"/>
        <v>78.95</v>
      </c>
      <c r="Y37">
        <f t="shared" si="38"/>
        <v>11.28</v>
      </c>
      <c r="AA37">
        <v>75703208</v>
      </c>
      <c r="AB37">
        <f t="shared" si="39"/>
        <v>12283.96</v>
      </c>
      <c r="AC37">
        <f t="shared" si="40"/>
        <v>5145.8599999999997</v>
      </c>
      <c r="AD37">
        <f t="shared" si="41"/>
        <v>0</v>
      </c>
      <c r="AE37">
        <f t="shared" si="42"/>
        <v>0</v>
      </c>
      <c r="AF37">
        <f t="shared" si="43"/>
        <v>7138.1</v>
      </c>
      <c r="AG37">
        <f t="shared" si="44"/>
        <v>0</v>
      </c>
      <c r="AH37">
        <f t="shared" si="45"/>
        <v>12.88</v>
      </c>
      <c r="AI37">
        <f t="shared" si="46"/>
        <v>0</v>
      </c>
      <c r="AJ37">
        <f t="shared" si="47"/>
        <v>0</v>
      </c>
      <c r="AK37">
        <v>12283.96</v>
      </c>
      <c r="AL37">
        <v>5145.8599999999997</v>
      </c>
      <c r="AM37">
        <v>0</v>
      </c>
      <c r="AN37">
        <v>0</v>
      </c>
      <c r="AO37">
        <v>7138.1</v>
      </c>
      <c r="AP37">
        <v>0</v>
      </c>
      <c r="AQ37">
        <v>12.88</v>
      </c>
      <c r="AR37">
        <v>0</v>
      </c>
      <c r="AS37">
        <v>0</v>
      </c>
      <c r="AT37">
        <v>70</v>
      </c>
      <c r="AU37">
        <v>10</v>
      </c>
      <c r="AV37">
        <v>1</v>
      </c>
      <c r="AW37">
        <v>1</v>
      </c>
      <c r="AZ37">
        <v>1</v>
      </c>
      <c r="BA37">
        <v>1</v>
      </c>
      <c r="BB37">
        <v>1</v>
      </c>
      <c r="BC37">
        <v>1</v>
      </c>
      <c r="BD37" t="s">
        <v>3</v>
      </c>
      <c r="BE37" t="s">
        <v>3</v>
      </c>
      <c r="BF37" t="s">
        <v>3</v>
      </c>
      <c r="BG37" t="s">
        <v>3</v>
      </c>
      <c r="BH37">
        <v>0</v>
      </c>
      <c r="BI37">
        <v>4</v>
      </c>
      <c r="BJ37" t="s">
        <v>47</v>
      </c>
      <c r="BM37">
        <v>0</v>
      </c>
      <c r="BN37">
        <v>75371441</v>
      </c>
      <c r="BO37" t="s">
        <v>3</v>
      </c>
      <c r="BP37">
        <v>0</v>
      </c>
      <c r="BQ37">
        <v>1</v>
      </c>
      <c r="BR37">
        <v>0</v>
      </c>
      <c r="BS37">
        <v>1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3</v>
      </c>
      <c r="BZ37">
        <v>70</v>
      </c>
      <c r="CA37">
        <v>10</v>
      </c>
      <c r="CB37" t="s">
        <v>3</v>
      </c>
      <c r="CE37">
        <v>0</v>
      </c>
      <c r="CF37">
        <v>0</v>
      </c>
      <c r="CG37">
        <v>0</v>
      </c>
      <c r="CM37">
        <v>0</v>
      </c>
      <c r="CN37" t="s">
        <v>3</v>
      </c>
      <c r="CO37">
        <v>0</v>
      </c>
      <c r="CP37">
        <f t="shared" si="48"/>
        <v>194.07999999999998</v>
      </c>
      <c r="CQ37">
        <f t="shared" si="49"/>
        <v>5145.8599999999997</v>
      </c>
      <c r="CR37">
        <f t="shared" si="50"/>
        <v>0</v>
      </c>
      <c r="CS37">
        <f t="shared" si="51"/>
        <v>0</v>
      </c>
      <c r="CT37">
        <f t="shared" si="52"/>
        <v>7138.1</v>
      </c>
      <c r="CU37">
        <f t="shared" si="53"/>
        <v>0</v>
      </c>
      <c r="CV37">
        <f t="shared" si="54"/>
        <v>12.88</v>
      </c>
      <c r="CW37">
        <f t="shared" si="55"/>
        <v>0</v>
      </c>
      <c r="CX37">
        <f t="shared" si="56"/>
        <v>0</v>
      </c>
      <c r="CY37">
        <f t="shared" si="57"/>
        <v>78.945999999999998</v>
      </c>
      <c r="CZ37">
        <f t="shared" si="58"/>
        <v>11.277999999999999</v>
      </c>
      <c r="DC37" t="s">
        <v>3</v>
      </c>
      <c r="DD37" t="s">
        <v>3</v>
      </c>
      <c r="DE37" t="s">
        <v>3</v>
      </c>
      <c r="DF37" t="s">
        <v>3</v>
      </c>
      <c r="DG37" t="s">
        <v>3</v>
      </c>
      <c r="DH37" t="s">
        <v>3</v>
      </c>
      <c r="DI37" t="s">
        <v>3</v>
      </c>
      <c r="DJ37" t="s">
        <v>3</v>
      </c>
      <c r="DK37" t="s">
        <v>3</v>
      </c>
      <c r="DL37" t="s">
        <v>3</v>
      </c>
      <c r="DM37" t="s">
        <v>3</v>
      </c>
      <c r="DN37">
        <v>0</v>
      </c>
      <c r="DO37">
        <v>0</v>
      </c>
      <c r="DP37">
        <v>1</v>
      </c>
      <c r="DQ37">
        <v>1</v>
      </c>
      <c r="DU37">
        <v>1005</v>
      </c>
      <c r="DV37" t="s">
        <v>46</v>
      </c>
      <c r="DW37" t="s">
        <v>46</v>
      </c>
      <c r="DX37">
        <v>100</v>
      </c>
      <c r="DZ37" t="s">
        <v>3</v>
      </c>
      <c r="EA37" t="s">
        <v>3</v>
      </c>
      <c r="EB37" t="s">
        <v>3</v>
      </c>
      <c r="EC37" t="s">
        <v>3</v>
      </c>
      <c r="EE37">
        <v>75371444</v>
      </c>
      <c r="EF37">
        <v>1</v>
      </c>
      <c r="EG37" t="s">
        <v>22</v>
      </c>
      <c r="EH37">
        <v>0</v>
      </c>
      <c r="EI37" t="s">
        <v>3</v>
      </c>
      <c r="EJ37">
        <v>4</v>
      </c>
      <c r="EK37">
        <v>0</v>
      </c>
      <c r="EL37" t="s">
        <v>23</v>
      </c>
      <c r="EM37" t="s">
        <v>24</v>
      </c>
      <c r="EO37" t="s">
        <v>3</v>
      </c>
      <c r="EQ37">
        <v>0</v>
      </c>
      <c r="ER37">
        <v>12283.96</v>
      </c>
      <c r="ES37">
        <v>5145.8599999999997</v>
      </c>
      <c r="ET37">
        <v>0</v>
      </c>
      <c r="EU37">
        <v>0</v>
      </c>
      <c r="EV37">
        <v>7138.1</v>
      </c>
      <c r="EW37">
        <v>12.88</v>
      </c>
      <c r="EX37">
        <v>0</v>
      </c>
      <c r="EY37">
        <v>0</v>
      </c>
      <c r="FQ37">
        <v>0</v>
      </c>
      <c r="FR37">
        <f t="shared" si="59"/>
        <v>0</v>
      </c>
      <c r="FS37">
        <v>0</v>
      </c>
      <c r="FX37">
        <v>70</v>
      </c>
      <c r="FY37">
        <v>10</v>
      </c>
      <c r="GA37" t="s">
        <v>3</v>
      </c>
      <c r="GD37">
        <v>0</v>
      </c>
      <c r="GF37">
        <v>-1550398421</v>
      </c>
      <c r="GG37">
        <v>2</v>
      </c>
      <c r="GH37">
        <v>1</v>
      </c>
      <c r="GI37">
        <v>-2</v>
      </c>
      <c r="GJ37">
        <v>0</v>
      </c>
      <c r="GK37">
        <f>ROUND(R37*(R12)/100,2)</f>
        <v>0</v>
      </c>
      <c r="GL37">
        <f t="shared" si="60"/>
        <v>0</v>
      </c>
      <c r="GM37">
        <f t="shared" si="61"/>
        <v>284.31</v>
      </c>
      <c r="GN37">
        <f t="shared" si="62"/>
        <v>0</v>
      </c>
      <c r="GO37">
        <f t="shared" si="63"/>
        <v>0</v>
      </c>
      <c r="GP37">
        <f t="shared" si="64"/>
        <v>284.31</v>
      </c>
      <c r="GR37">
        <v>0</v>
      </c>
      <c r="GS37">
        <v>3</v>
      </c>
      <c r="GT37">
        <v>0</v>
      </c>
      <c r="GU37" t="s">
        <v>3</v>
      </c>
      <c r="GV37">
        <f t="shared" si="65"/>
        <v>0</v>
      </c>
      <c r="GW37">
        <v>1</v>
      </c>
      <c r="GX37">
        <f t="shared" si="66"/>
        <v>0</v>
      </c>
      <c r="HA37">
        <v>0</v>
      </c>
      <c r="HB37">
        <v>0</v>
      </c>
      <c r="HC37">
        <f t="shared" si="67"/>
        <v>0</v>
      </c>
      <c r="HE37" t="s">
        <v>3</v>
      </c>
      <c r="HF37" t="s">
        <v>3</v>
      </c>
      <c r="HM37" t="s">
        <v>3</v>
      </c>
      <c r="HN37" t="s">
        <v>3</v>
      </c>
      <c r="HO37" t="s">
        <v>3</v>
      </c>
      <c r="HP37" t="s">
        <v>3</v>
      </c>
      <c r="HQ37" t="s">
        <v>3</v>
      </c>
      <c r="IK37">
        <v>0</v>
      </c>
    </row>
    <row r="38" spans="1:245" x14ac:dyDescent="0.2">
      <c r="A38">
        <v>18</v>
      </c>
      <c r="B38">
        <v>1</v>
      </c>
      <c r="C38">
        <v>11</v>
      </c>
      <c r="E38" t="s">
        <v>48</v>
      </c>
      <c r="F38" t="s">
        <v>49</v>
      </c>
      <c r="G38" t="s">
        <v>50</v>
      </c>
      <c r="H38" t="s">
        <v>51</v>
      </c>
      <c r="I38">
        <f>I37*J38</f>
        <v>0.39500000000000002</v>
      </c>
      <c r="J38">
        <v>25</v>
      </c>
      <c r="K38">
        <v>25</v>
      </c>
      <c r="O38">
        <f t="shared" si="28"/>
        <v>122.22</v>
      </c>
      <c r="P38">
        <f t="shared" si="29"/>
        <v>122.22</v>
      </c>
      <c r="Q38">
        <f t="shared" si="30"/>
        <v>0</v>
      </c>
      <c r="R38">
        <f t="shared" si="31"/>
        <v>0</v>
      </c>
      <c r="S38">
        <f t="shared" si="32"/>
        <v>0</v>
      </c>
      <c r="T38">
        <f t="shared" si="33"/>
        <v>0</v>
      </c>
      <c r="U38">
        <f t="shared" si="34"/>
        <v>0</v>
      </c>
      <c r="V38">
        <f t="shared" si="35"/>
        <v>0</v>
      </c>
      <c r="W38">
        <f t="shared" si="36"/>
        <v>0</v>
      </c>
      <c r="X38">
        <f t="shared" si="37"/>
        <v>0</v>
      </c>
      <c r="Y38">
        <f t="shared" si="38"/>
        <v>0</v>
      </c>
      <c r="AA38">
        <v>75703208</v>
      </c>
      <c r="AB38">
        <f t="shared" si="39"/>
        <v>309.42</v>
      </c>
      <c r="AC38">
        <f t="shared" si="40"/>
        <v>309.42</v>
      </c>
      <c r="AD38">
        <f t="shared" si="41"/>
        <v>0</v>
      </c>
      <c r="AE38">
        <f t="shared" si="42"/>
        <v>0</v>
      </c>
      <c r="AF38">
        <f t="shared" si="43"/>
        <v>0</v>
      </c>
      <c r="AG38">
        <f t="shared" si="44"/>
        <v>0</v>
      </c>
      <c r="AH38">
        <f t="shared" si="45"/>
        <v>0</v>
      </c>
      <c r="AI38">
        <f t="shared" si="46"/>
        <v>0</v>
      </c>
      <c r="AJ38">
        <f t="shared" si="47"/>
        <v>0</v>
      </c>
      <c r="AK38">
        <v>309.42</v>
      </c>
      <c r="AL38">
        <v>309.42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70</v>
      </c>
      <c r="AU38">
        <v>10</v>
      </c>
      <c r="AV38">
        <v>1</v>
      </c>
      <c r="AW38">
        <v>1</v>
      </c>
      <c r="AZ38">
        <v>1</v>
      </c>
      <c r="BA38">
        <v>1</v>
      </c>
      <c r="BB38">
        <v>1</v>
      </c>
      <c r="BC38">
        <v>1</v>
      </c>
      <c r="BD38" t="s">
        <v>3</v>
      </c>
      <c r="BE38" t="s">
        <v>3</v>
      </c>
      <c r="BF38" t="s">
        <v>3</v>
      </c>
      <c r="BG38" t="s">
        <v>3</v>
      </c>
      <c r="BH38">
        <v>3</v>
      </c>
      <c r="BI38">
        <v>4</v>
      </c>
      <c r="BJ38" t="s">
        <v>52</v>
      </c>
      <c r="BM38">
        <v>0</v>
      </c>
      <c r="BN38">
        <v>75371441</v>
      </c>
      <c r="BO38" t="s">
        <v>3</v>
      </c>
      <c r="BP38">
        <v>0</v>
      </c>
      <c r="BQ38">
        <v>1</v>
      </c>
      <c r="BR38">
        <v>0</v>
      </c>
      <c r="BS38">
        <v>1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3</v>
      </c>
      <c r="BZ38">
        <v>70</v>
      </c>
      <c r="CA38">
        <v>10</v>
      </c>
      <c r="CB38" t="s">
        <v>3</v>
      </c>
      <c r="CE38">
        <v>0</v>
      </c>
      <c r="CF38">
        <v>0</v>
      </c>
      <c r="CG38">
        <v>0</v>
      </c>
      <c r="CM38">
        <v>0</v>
      </c>
      <c r="CN38" t="s">
        <v>3</v>
      </c>
      <c r="CO38">
        <v>0</v>
      </c>
      <c r="CP38">
        <f t="shared" si="48"/>
        <v>122.22</v>
      </c>
      <c r="CQ38">
        <f t="shared" si="49"/>
        <v>309.42</v>
      </c>
      <c r="CR38">
        <f t="shared" si="50"/>
        <v>0</v>
      </c>
      <c r="CS38">
        <f t="shared" si="51"/>
        <v>0</v>
      </c>
      <c r="CT38">
        <f t="shared" si="52"/>
        <v>0</v>
      </c>
      <c r="CU38">
        <f t="shared" si="53"/>
        <v>0</v>
      </c>
      <c r="CV38">
        <f t="shared" si="54"/>
        <v>0</v>
      </c>
      <c r="CW38">
        <f t="shared" si="55"/>
        <v>0</v>
      </c>
      <c r="CX38">
        <f t="shared" si="56"/>
        <v>0</v>
      </c>
      <c r="CY38">
        <f t="shared" si="57"/>
        <v>0</v>
      </c>
      <c r="CZ38">
        <f t="shared" si="58"/>
        <v>0</v>
      </c>
      <c r="DC38" t="s">
        <v>3</v>
      </c>
      <c r="DD38" t="s">
        <v>3</v>
      </c>
      <c r="DE38" t="s">
        <v>3</v>
      </c>
      <c r="DF38" t="s">
        <v>3</v>
      </c>
      <c r="DG38" t="s">
        <v>3</v>
      </c>
      <c r="DH38" t="s">
        <v>3</v>
      </c>
      <c r="DI38" t="s">
        <v>3</v>
      </c>
      <c r="DJ38" t="s">
        <v>3</v>
      </c>
      <c r="DK38" t="s">
        <v>3</v>
      </c>
      <c r="DL38" t="s">
        <v>3</v>
      </c>
      <c r="DM38" t="s">
        <v>3</v>
      </c>
      <c r="DN38">
        <v>0</v>
      </c>
      <c r="DO38">
        <v>0</v>
      </c>
      <c r="DP38">
        <v>1</v>
      </c>
      <c r="DQ38">
        <v>1</v>
      </c>
      <c r="DU38">
        <v>1009</v>
      </c>
      <c r="DV38" t="s">
        <v>51</v>
      </c>
      <c r="DW38" t="s">
        <v>51</v>
      </c>
      <c r="DX38">
        <v>1</v>
      </c>
      <c r="DZ38" t="s">
        <v>3</v>
      </c>
      <c r="EA38" t="s">
        <v>3</v>
      </c>
      <c r="EB38" t="s">
        <v>3</v>
      </c>
      <c r="EC38" t="s">
        <v>3</v>
      </c>
      <c r="EE38">
        <v>75371444</v>
      </c>
      <c r="EF38">
        <v>1</v>
      </c>
      <c r="EG38" t="s">
        <v>22</v>
      </c>
      <c r="EH38">
        <v>0</v>
      </c>
      <c r="EI38" t="s">
        <v>3</v>
      </c>
      <c r="EJ38">
        <v>4</v>
      </c>
      <c r="EK38">
        <v>0</v>
      </c>
      <c r="EL38" t="s">
        <v>23</v>
      </c>
      <c r="EM38" t="s">
        <v>24</v>
      </c>
      <c r="EO38" t="s">
        <v>3</v>
      </c>
      <c r="EQ38">
        <v>0</v>
      </c>
      <c r="ER38">
        <v>309.42</v>
      </c>
      <c r="ES38">
        <v>309.42</v>
      </c>
      <c r="ET38">
        <v>0</v>
      </c>
      <c r="EU38">
        <v>0</v>
      </c>
      <c r="EV38">
        <v>0</v>
      </c>
      <c r="EW38">
        <v>0</v>
      </c>
      <c r="EX38">
        <v>0</v>
      </c>
      <c r="FQ38">
        <v>0</v>
      </c>
      <c r="FR38">
        <f t="shared" si="59"/>
        <v>0</v>
      </c>
      <c r="FS38">
        <v>0</v>
      </c>
      <c r="FX38">
        <v>70</v>
      </c>
      <c r="FY38">
        <v>10</v>
      </c>
      <c r="GA38" t="s">
        <v>3</v>
      </c>
      <c r="GD38">
        <v>0</v>
      </c>
      <c r="GF38">
        <v>1429785642</v>
      </c>
      <c r="GG38">
        <v>2</v>
      </c>
      <c r="GH38">
        <v>1</v>
      </c>
      <c r="GI38">
        <v>-2</v>
      </c>
      <c r="GJ38">
        <v>0</v>
      </c>
      <c r="GK38">
        <f>ROUND(R38*(R12)/100,2)</f>
        <v>0</v>
      </c>
      <c r="GL38">
        <f t="shared" si="60"/>
        <v>0</v>
      </c>
      <c r="GM38">
        <f t="shared" si="61"/>
        <v>122.22</v>
      </c>
      <c r="GN38">
        <f t="shared" si="62"/>
        <v>0</v>
      </c>
      <c r="GO38">
        <f t="shared" si="63"/>
        <v>0</v>
      </c>
      <c r="GP38">
        <f t="shared" si="64"/>
        <v>122.22</v>
      </c>
      <c r="GR38">
        <v>0</v>
      </c>
      <c r="GS38">
        <v>3</v>
      </c>
      <c r="GT38">
        <v>0</v>
      </c>
      <c r="GU38" t="s">
        <v>3</v>
      </c>
      <c r="GV38">
        <f t="shared" si="65"/>
        <v>0</v>
      </c>
      <c r="GW38">
        <v>1</v>
      </c>
      <c r="GX38">
        <f t="shared" si="66"/>
        <v>0</v>
      </c>
      <c r="HA38">
        <v>0</v>
      </c>
      <c r="HB38">
        <v>0</v>
      </c>
      <c r="HC38">
        <f t="shared" si="67"/>
        <v>0</v>
      </c>
      <c r="HE38" t="s">
        <v>3</v>
      </c>
      <c r="HF38" t="s">
        <v>3</v>
      </c>
      <c r="HM38" t="s">
        <v>3</v>
      </c>
      <c r="HN38" t="s">
        <v>3</v>
      </c>
      <c r="HO38" t="s">
        <v>3</v>
      </c>
      <c r="HP38" t="s">
        <v>3</v>
      </c>
      <c r="HQ38" t="s">
        <v>3</v>
      </c>
      <c r="IK38">
        <v>0</v>
      </c>
    </row>
    <row r="39" spans="1:245" x14ac:dyDescent="0.2">
      <c r="A39">
        <v>18</v>
      </c>
      <c r="B39">
        <v>1</v>
      </c>
      <c r="C39">
        <v>10</v>
      </c>
      <c r="E39" t="s">
        <v>53</v>
      </c>
      <c r="F39" t="s">
        <v>54</v>
      </c>
      <c r="G39" t="s">
        <v>55</v>
      </c>
      <c r="H39" t="s">
        <v>56</v>
      </c>
      <c r="I39">
        <f>I37*J39</f>
        <v>-3.2899999999999997E-4</v>
      </c>
      <c r="J39">
        <v>-2.0822784810126577E-2</v>
      </c>
      <c r="K39">
        <v>-2.0799999999999999E-2</v>
      </c>
      <c r="O39">
        <f t="shared" si="28"/>
        <v>-81.39</v>
      </c>
      <c r="P39">
        <f t="shared" si="29"/>
        <v>-81.39</v>
      </c>
      <c r="Q39">
        <f t="shared" si="30"/>
        <v>0</v>
      </c>
      <c r="R39">
        <f t="shared" si="31"/>
        <v>0</v>
      </c>
      <c r="S39">
        <f t="shared" si="32"/>
        <v>0</v>
      </c>
      <c r="T39">
        <f t="shared" si="33"/>
        <v>0</v>
      </c>
      <c r="U39">
        <f t="shared" si="34"/>
        <v>0</v>
      </c>
      <c r="V39">
        <f t="shared" si="35"/>
        <v>0</v>
      </c>
      <c r="W39">
        <f t="shared" si="36"/>
        <v>0</v>
      </c>
      <c r="X39">
        <f t="shared" si="37"/>
        <v>0</v>
      </c>
      <c r="Y39">
        <f t="shared" si="38"/>
        <v>0</v>
      </c>
      <c r="AA39">
        <v>75703208</v>
      </c>
      <c r="AB39">
        <f t="shared" si="39"/>
        <v>247397.04</v>
      </c>
      <c r="AC39">
        <f t="shared" si="40"/>
        <v>247397.04</v>
      </c>
      <c r="AD39">
        <f t="shared" si="41"/>
        <v>0</v>
      </c>
      <c r="AE39">
        <f t="shared" si="42"/>
        <v>0</v>
      </c>
      <c r="AF39">
        <f t="shared" si="43"/>
        <v>0</v>
      </c>
      <c r="AG39">
        <f t="shared" si="44"/>
        <v>0</v>
      </c>
      <c r="AH39">
        <f t="shared" si="45"/>
        <v>0</v>
      </c>
      <c r="AI39">
        <f t="shared" si="46"/>
        <v>0</v>
      </c>
      <c r="AJ39">
        <f t="shared" si="47"/>
        <v>0</v>
      </c>
      <c r="AK39">
        <v>247397.04</v>
      </c>
      <c r="AL39">
        <v>247397.04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70</v>
      </c>
      <c r="AU39">
        <v>10</v>
      </c>
      <c r="AV39">
        <v>1</v>
      </c>
      <c r="AW39">
        <v>1</v>
      </c>
      <c r="AZ39">
        <v>1</v>
      </c>
      <c r="BA39">
        <v>1</v>
      </c>
      <c r="BB39">
        <v>1</v>
      </c>
      <c r="BC39">
        <v>1</v>
      </c>
      <c r="BD39" t="s">
        <v>3</v>
      </c>
      <c r="BE39" t="s">
        <v>3</v>
      </c>
      <c r="BF39" t="s">
        <v>3</v>
      </c>
      <c r="BG39" t="s">
        <v>3</v>
      </c>
      <c r="BH39">
        <v>3</v>
      </c>
      <c r="BI39">
        <v>4</v>
      </c>
      <c r="BJ39" t="s">
        <v>57</v>
      </c>
      <c r="BM39">
        <v>0</v>
      </c>
      <c r="BN39">
        <v>75371441</v>
      </c>
      <c r="BO39" t="s">
        <v>3</v>
      </c>
      <c r="BP39">
        <v>0</v>
      </c>
      <c r="BQ39">
        <v>1</v>
      </c>
      <c r="BR39">
        <v>1</v>
      </c>
      <c r="BS39">
        <v>1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3</v>
      </c>
      <c r="BZ39">
        <v>70</v>
      </c>
      <c r="CA39">
        <v>10</v>
      </c>
      <c r="CB39" t="s">
        <v>3</v>
      </c>
      <c r="CE39">
        <v>0</v>
      </c>
      <c r="CF39">
        <v>0</v>
      </c>
      <c r="CG39">
        <v>0</v>
      </c>
      <c r="CM39">
        <v>0</v>
      </c>
      <c r="CN39" t="s">
        <v>3</v>
      </c>
      <c r="CO39">
        <v>0</v>
      </c>
      <c r="CP39">
        <f t="shared" si="48"/>
        <v>-81.39</v>
      </c>
      <c r="CQ39">
        <f t="shared" si="49"/>
        <v>247397.04</v>
      </c>
      <c r="CR39">
        <f t="shared" si="50"/>
        <v>0</v>
      </c>
      <c r="CS39">
        <f t="shared" si="51"/>
        <v>0</v>
      </c>
      <c r="CT39">
        <f t="shared" si="52"/>
        <v>0</v>
      </c>
      <c r="CU39">
        <f t="shared" si="53"/>
        <v>0</v>
      </c>
      <c r="CV39">
        <f t="shared" si="54"/>
        <v>0</v>
      </c>
      <c r="CW39">
        <f t="shared" si="55"/>
        <v>0</v>
      </c>
      <c r="CX39">
        <f t="shared" si="56"/>
        <v>0</v>
      </c>
      <c r="CY39">
        <f t="shared" si="57"/>
        <v>0</v>
      </c>
      <c r="CZ39">
        <f t="shared" si="58"/>
        <v>0</v>
      </c>
      <c r="DC39" t="s">
        <v>3</v>
      </c>
      <c r="DD39" t="s">
        <v>3</v>
      </c>
      <c r="DE39" t="s">
        <v>3</v>
      </c>
      <c r="DF39" t="s">
        <v>3</v>
      </c>
      <c r="DG39" t="s">
        <v>3</v>
      </c>
      <c r="DH39" t="s">
        <v>3</v>
      </c>
      <c r="DI39" t="s">
        <v>3</v>
      </c>
      <c r="DJ39" t="s">
        <v>3</v>
      </c>
      <c r="DK39" t="s">
        <v>3</v>
      </c>
      <c r="DL39" t="s">
        <v>3</v>
      </c>
      <c r="DM39" t="s">
        <v>3</v>
      </c>
      <c r="DN39">
        <v>0</v>
      </c>
      <c r="DO39">
        <v>0</v>
      </c>
      <c r="DP39">
        <v>1</v>
      </c>
      <c r="DQ39">
        <v>1</v>
      </c>
      <c r="DU39">
        <v>1009</v>
      </c>
      <c r="DV39" t="s">
        <v>56</v>
      </c>
      <c r="DW39" t="s">
        <v>56</v>
      </c>
      <c r="DX39">
        <v>1000</v>
      </c>
      <c r="DZ39" t="s">
        <v>3</v>
      </c>
      <c r="EA39" t="s">
        <v>3</v>
      </c>
      <c r="EB39" t="s">
        <v>3</v>
      </c>
      <c r="EC39" t="s">
        <v>3</v>
      </c>
      <c r="EE39">
        <v>75371444</v>
      </c>
      <c r="EF39">
        <v>1</v>
      </c>
      <c r="EG39" t="s">
        <v>22</v>
      </c>
      <c r="EH39">
        <v>0</v>
      </c>
      <c r="EI39" t="s">
        <v>3</v>
      </c>
      <c r="EJ39">
        <v>4</v>
      </c>
      <c r="EK39">
        <v>0</v>
      </c>
      <c r="EL39" t="s">
        <v>23</v>
      </c>
      <c r="EM39" t="s">
        <v>24</v>
      </c>
      <c r="EO39" t="s">
        <v>3</v>
      </c>
      <c r="EQ39">
        <v>32768</v>
      </c>
      <c r="ER39">
        <v>247397.04</v>
      </c>
      <c r="ES39">
        <v>247397.04</v>
      </c>
      <c r="ET39">
        <v>0</v>
      </c>
      <c r="EU39">
        <v>0</v>
      </c>
      <c r="EV39">
        <v>0</v>
      </c>
      <c r="EW39">
        <v>0</v>
      </c>
      <c r="EX39">
        <v>0</v>
      </c>
      <c r="FQ39">
        <v>0</v>
      </c>
      <c r="FR39">
        <f t="shared" si="59"/>
        <v>0</v>
      </c>
      <c r="FS39">
        <v>0</v>
      </c>
      <c r="FX39">
        <v>70</v>
      </c>
      <c r="FY39">
        <v>10</v>
      </c>
      <c r="GA39" t="s">
        <v>3</v>
      </c>
      <c r="GD39">
        <v>0</v>
      </c>
      <c r="GF39">
        <v>-1906236598</v>
      </c>
      <c r="GG39">
        <v>2</v>
      </c>
      <c r="GH39">
        <v>1</v>
      </c>
      <c r="GI39">
        <v>-2</v>
      </c>
      <c r="GJ39">
        <v>0</v>
      </c>
      <c r="GK39">
        <f>ROUND(R39*(R12)/100,2)</f>
        <v>0</v>
      </c>
      <c r="GL39">
        <f t="shared" si="60"/>
        <v>0</v>
      </c>
      <c r="GM39">
        <f t="shared" si="61"/>
        <v>-81.39</v>
      </c>
      <c r="GN39">
        <f t="shared" si="62"/>
        <v>0</v>
      </c>
      <c r="GO39">
        <f t="shared" si="63"/>
        <v>0</v>
      </c>
      <c r="GP39">
        <f t="shared" si="64"/>
        <v>-81.39</v>
      </c>
      <c r="GR39">
        <v>0</v>
      </c>
      <c r="GS39">
        <v>3</v>
      </c>
      <c r="GT39">
        <v>0</v>
      </c>
      <c r="GU39" t="s">
        <v>3</v>
      </c>
      <c r="GV39">
        <f t="shared" si="65"/>
        <v>0</v>
      </c>
      <c r="GW39">
        <v>1</v>
      </c>
      <c r="GX39">
        <f t="shared" si="66"/>
        <v>0</v>
      </c>
      <c r="HA39">
        <v>0</v>
      </c>
      <c r="HB39">
        <v>0</v>
      </c>
      <c r="HC39">
        <f t="shared" si="67"/>
        <v>0</v>
      </c>
      <c r="HE39" t="s">
        <v>3</v>
      </c>
      <c r="HF39" t="s">
        <v>3</v>
      </c>
      <c r="HM39" t="s">
        <v>3</v>
      </c>
      <c r="HN39" t="s">
        <v>3</v>
      </c>
      <c r="HO39" t="s">
        <v>3</v>
      </c>
      <c r="HP39" t="s">
        <v>3</v>
      </c>
      <c r="HQ39" t="s">
        <v>3</v>
      </c>
      <c r="IK39">
        <v>0</v>
      </c>
    </row>
    <row r="40" spans="1:245" x14ac:dyDescent="0.2">
      <c r="A40">
        <v>17</v>
      </c>
      <c r="B40">
        <v>1</v>
      </c>
      <c r="C40">
        <f>ROW(SmtRes!A17)</f>
        <v>17</v>
      </c>
      <c r="D40">
        <f>ROW(EtalonRes!A15)</f>
        <v>15</v>
      </c>
      <c r="E40" t="s">
        <v>58</v>
      </c>
      <c r="F40" t="s">
        <v>59</v>
      </c>
      <c r="G40" t="s">
        <v>60</v>
      </c>
      <c r="H40" t="s">
        <v>20</v>
      </c>
      <c r="I40">
        <f>ROUND(0.9/100,9)</f>
        <v>8.9999999999999993E-3</v>
      </c>
      <c r="J40">
        <v>0</v>
      </c>
      <c r="K40">
        <f>ROUND(0.9/100,9)</f>
        <v>8.9999999999999993E-3</v>
      </c>
      <c r="O40">
        <f t="shared" si="28"/>
        <v>226.82</v>
      </c>
      <c r="P40">
        <f t="shared" si="29"/>
        <v>148.29</v>
      </c>
      <c r="Q40">
        <f t="shared" si="30"/>
        <v>0.81</v>
      </c>
      <c r="R40">
        <f t="shared" si="31"/>
        <v>0.09</v>
      </c>
      <c r="S40">
        <f t="shared" si="32"/>
        <v>77.72</v>
      </c>
      <c r="T40">
        <f t="shared" si="33"/>
        <v>0</v>
      </c>
      <c r="U40">
        <f t="shared" si="34"/>
        <v>0.17226</v>
      </c>
      <c r="V40">
        <f t="shared" si="35"/>
        <v>0</v>
      </c>
      <c r="W40">
        <f t="shared" si="36"/>
        <v>0</v>
      </c>
      <c r="X40">
        <f t="shared" si="37"/>
        <v>54.4</v>
      </c>
      <c r="Y40">
        <f t="shared" si="38"/>
        <v>7.77</v>
      </c>
      <c r="AA40">
        <v>75703208</v>
      </c>
      <c r="AB40">
        <f t="shared" si="39"/>
        <v>25201.35</v>
      </c>
      <c r="AC40">
        <f t="shared" si="40"/>
        <v>16476.439999999999</v>
      </c>
      <c r="AD40">
        <f t="shared" si="41"/>
        <v>89.91</v>
      </c>
      <c r="AE40">
        <f t="shared" si="42"/>
        <v>10.32</v>
      </c>
      <c r="AF40">
        <f t="shared" si="43"/>
        <v>8635</v>
      </c>
      <c r="AG40">
        <f t="shared" si="44"/>
        <v>0</v>
      </c>
      <c r="AH40">
        <f t="shared" si="45"/>
        <v>19.14</v>
      </c>
      <c r="AI40">
        <f t="shared" si="46"/>
        <v>0</v>
      </c>
      <c r="AJ40">
        <f t="shared" si="47"/>
        <v>0</v>
      </c>
      <c r="AK40">
        <v>25201.35</v>
      </c>
      <c r="AL40">
        <v>16476.439999999999</v>
      </c>
      <c r="AM40">
        <v>89.91</v>
      </c>
      <c r="AN40">
        <v>10.32</v>
      </c>
      <c r="AO40">
        <v>8635</v>
      </c>
      <c r="AP40">
        <v>0</v>
      </c>
      <c r="AQ40">
        <v>19.14</v>
      </c>
      <c r="AR40">
        <v>0</v>
      </c>
      <c r="AS40">
        <v>0</v>
      </c>
      <c r="AT40">
        <v>70</v>
      </c>
      <c r="AU40">
        <v>10</v>
      </c>
      <c r="AV40">
        <v>1</v>
      </c>
      <c r="AW40">
        <v>1</v>
      </c>
      <c r="AZ40">
        <v>1</v>
      </c>
      <c r="BA40">
        <v>1</v>
      </c>
      <c r="BB40">
        <v>1</v>
      </c>
      <c r="BC40">
        <v>1</v>
      </c>
      <c r="BD40" t="s">
        <v>3</v>
      </c>
      <c r="BE40" t="s">
        <v>3</v>
      </c>
      <c r="BF40" t="s">
        <v>3</v>
      </c>
      <c r="BG40" t="s">
        <v>3</v>
      </c>
      <c r="BH40">
        <v>0</v>
      </c>
      <c r="BI40">
        <v>4</v>
      </c>
      <c r="BJ40" t="s">
        <v>61</v>
      </c>
      <c r="BM40">
        <v>0</v>
      </c>
      <c r="BN40">
        <v>75371441</v>
      </c>
      <c r="BO40" t="s">
        <v>3</v>
      </c>
      <c r="BP40">
        <v>0</v>
      </c>
      <c r="BQ40">
        <v>1</v>
      </c>
      <c r="BR40">
        <v>0</v>
      </c>
      <c r="BS40">
        <v>1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3</v>
      </c>
      <c r="BZ40">
        <v>70</v>
      </c>
      <c r="CA40">
        <v>10</v>
      </c>
      <c r="CB40" t="s">
        <v>3</v>
      </c>
      <c r="CE40">
        <v>0</v>
      </c>
      <c r="CF40">
        <v>0</v>
      </c>
      <c r="CG40">
        <v>0</v>
      </c>
      <c r="CM40">
        <v>0</v>
      </c>
      <c r="CN40" t="s">
        <v>3</v>
      </c>
      <c r="CO40">
        <v>0</v>
      </c>
      <c r="CP40">
        <f t="shared" si="48"/>
        <v>226.82</v>
      </c>
      <c r="CQ40">
        <f t="shared" si="49"/>
        <v>16476.439999999999</v>
      </c>
      <c r="CR40">
        <f t="shared" si="50"/>
        <v>89.91</v>
      </c>
      <c r="CS40">
        <f t="shared" si="51"/>
        <v>10.32</v>
      </c>
      <c r="CT40">
        <f t="shared" si="52"/>
        <v>8635</v>
      </c>
      <c r="CU40">
        <f t="shared" si="53"/>
        <v>0</v>
      </c>
      <c r="CV40">
        <f t="shared" si="54"/>
        <v>19.14</v>
      </c>
      <c r="CW40">
        <f t="shared" si="55"/>
        <v>0</v>
      </c>
      <c r="CX40">
        <f t="shared" si="56"/>
        <v>0</v>
      </c>
      <c r="CY40">
        <f t="shared" si="57"/>
        <v>54.403999999999996</v>
      </c>
      <c r="CZ40">
        <f t="shared" si="58"/>
        <v>7.7720000000000002</v>
      </c>
      <c r="DC40" t="s">
        <v>3</v>
      </c>
      <c r="DD40" t="s">
        <v>3</v>
      </c>
      <c r="DE40" t="s">
        <v>3</v>
      </c>
      <c r="DF40" t="s">
        <v>3</v>
      </c>
      <c r="DG40" t="s">
        <v>3</v>
      </c>
      <c r="DH40" t="s">
        <v>3</v>
      </c>
      <c r="DI40" t="s">
        <v>3</v>
      </c>
      <c r="DJ40" t="s">
        <v>3</v>
      </c>
      <c r="DK40" t="s">
        <v>3</v>
      </c>
      <c r="DL40" t="s">
        <v>3</v>
      </c>
      <c r="DM40" t="s">
        <v>3</v>
      </c>
      <c r="DN40">
        <v>0</v>
      </c>
      <c r="DO40">
        <v>0</v>
      </c>
      <c r="DP40">
        <v>1</v>
      </c>
      <c r="DQ40">
        <v>1</v>
      </c>
      <c r="DU40">
        <v>1003</v>
      </c>
      <c r="DV40" t="s">
        <v>20</v>
      </c>
      <c r="DW40" t="s">
        <v>20</v>
      </c>
      <c r="DX40">
        <v>100</v>
      </c>
      <c r="DZ40" t="s">
        <v>3</v>
      </c>
      <c r="EA40" t="s">
        <v>3</v>
      </c>
      <c r="EB40" t="s">
        <v>3</v>
      </c>
      <c r="EC40" t="s">
        <v>3</v>
      </c>
      <c r="EE40">
        <v>75371444</v>
      </c>
      <c r="EF40">
        <v>1</v>
      </c>
      <c r="EG40" t="s">
        <v>22</v>
      </c>
      <c r="EH40">
        <v>0</v>
      </c>
      <c r="EI40" t="s">
        <v>3</v>
      </c>
      <c r="EJ40">
        <v>4</v>
      </c>
      <c r="EK40">
        <v>0</v>
      </c>
      <c r="EL40" t="s">
        <v>23</v>
      </c>
      <c r="EM40" t="s">
        <v>24</v>
      </c>
      <c r="EO40" t="s">
        <v>3</v>
      </c>
      <c r="EQ40">
        <v>0</v>
      </c>
      <c r="ER40">
        <v>25201.35</v>
      </c>
      <c r="ES40">
        <v>16476.439999999999</v>
      </c>
      <c r="ET40">
        <v>89.91</v>
      </c>
      <c r="EU40">
        <v>10.32</v>
      </c>
      <c r="EV40">
        <v>8635</v>
      </c>
      <c r="EW40">
        <v>19.14</v>
      </c>
      <c r="EX40">
        <v>0</v>
      </c>
      <c r="EY40">
        <v>0</v>
      </c>
      <c r="FQ40">
        <v>0</v>
      </c>
      <c r="FR40">
        <f t="shared" si="59"/>
        <v>0</v>
      </c>
      <c r="FS40">
        <v>0</v>
      </c>
      <c r="FX40">
        <v>70</v>
      </c>
      <c r="FY40">
        <v>10</v>
      </c>
      <c r="GA40" t="s">
        <v>3</v>
      </c>
      <c r="GD40">
        <v>0</v>
      </c>
      <c r="GF40">
        <v>2067592017</v>
      </c>
      <c r="GG40">
        <v>2</v>
      </c>
      <c r="GH40">
        <v>1</v>
      </c>
      <c r="GI40">
        <v>-2</v>
      </c>
      <c r="GJ40">
        <v>0</v>
      </c>
      <c r="GK40">
        <f>ROUND(R40*(R12)/100,2)</f>
        <v>0.1</v>
      </c>
      <c r="GL40">
        <f t="shared" si="60"/>
        <v>0</v>
      </c>
      <c r="GM40">
        <f t="shared" si="61"/>
        <v>289.08999999999997</v>
      </c>
      <c r="GN40">
        <f t="shared" si="62"/>
        <v>0</v>
      </c>
      <c r="GO40">
        <f t="shared" si="63"/>
        <v>0</v>
      </c>
      <c r="GP40">
        <f t="shared" si="64"/>
        <v>289.08999999999997</v>
      </c>
      <c r="GR40">
        <v>0</v>
      </c>
      <c r="GS40">
        <v>3</v>
      </c>
      <c r="GT40">
        <v>0</v>
      </c>
      <c r="GU40" t="s">
        <v>3</v>
      </c>
      <c r="GV40">
        <f t="shared" si="65"/>
        <v>0</v>
      </c>
      <c r="GW40">
        <v>1</v>
      </c>
      <c r="GX40">
        <f t="shared" si="66"/>
        <v>0</v>
      </c>
      <c r="HA40">
        <v>0</v>
      </c>
      <c r="HB40">
        <v>0</v>
      </c>
      <c r="HC40">
        <f t="shared" si="67"/>
        <v>0</v>
      </c>
      <c r="HE40" t="s">
        <v>3</v>
      </c>
      <c r="HF40" t="s">
        <v>3</v>
      </c>
      <c r="HM40" t="s">
        <v>3</v>
      </c>
      <c r="HN40" t="s">
        <v>3</v>
      </c>
      <c r="HO40" t="s">
        <v>3</v>
      </c>
      <c r="HP40" t="s">
        <v>3</v>
      </c>
      <c r="HQ40" t="s">
        <v>3</v>
      </c>
      <c r="IK40">
        <v>0</v>
      </c>
    </row>
    <row r="41" spans="1:245" x14ac:dyDescent="0.2">
      <c r="A41">
        <v>17</v>
      </c>
      <c r="B41">
        <v>1</v>
      </c>
      <c r="C41">
        <f>ROW(SmtRes!A19)</f>
        <v>19</v>
      </c>
      <c r="D41">
        <f>ROW(EtalonRes!A17)</f>
        <v>17</v>
      </c>
      <c r="E41" t="s">
        <v>62</v>
      </c>
      <c r="F41" t="s">
        <v>63</v>
      </c>
      <c r="G41" t="s">
        <v>64</v>
      </c>
      <c r="H41" t="s">
        <v>46</v>
      </c>
      <c r="I41">
        <f>ROUND(55/100,9)</f>
        <v>0.55000000000000004</v>
      </c>
      <c r="J41">
        <v>0</v>
      </c>
      <c r="K41">
        <f>ROUND(55/100,9)</f>
        <v>0.55000000000000004</v>
      </c>
      <c r="O41">
        <f t="shared" si="28"/>
        <v>2438.52</v>
      </c>
      <c r="P41">
        <f t="shared" si="29"/>
        <v>0</v>
      </c>
      <c r="Q41">
        <f t="shared" si="30"/>
        <v>0</v>
      </c>
      <c r="R41">
        <f t="shared" si="31"/>
        <v>0</v>
      </c>
      <c r="S41">
        <f t="shared" si="32"/>
        <v>2438.52</v>
      </c>
      <c r="T41">
        <f t="shared" si="33"/>
        <v>0</v>
      </c>
      <c r="U41">
        <f t="shared" si="34"/>
        <v>6.2645000000000008</v>
      </c>
      <c r="V41">
        <f t="shared" si="35"/>
        <v>0</v>
      </c>
      <c r="W41">
        <f t="shared" si="36"/>
        <v>0</v>
      </c>
      <c r="X41">
        <f t="shared" si="37"/>
        <v>1706.96</v>
      </c>
      <c r="Y41">
        <f t="shared" si="38"/>
        <v>243.85</v>
      </c>
      <c r="AA41">
        <v>75703208</v>
      </c>
      <c r="AB41">
        <f t="shared" si="39"/>
        <v>4433.67</v>
      </c>
      <c r="AC41">
        <f t="shared" si="40"/>
        <v>0</v>
      </c>
      <c r="AD41">
        <f t="shared" si="41"/>
        <v>0</v>
      </c>
      <c r="AE41">
        <f t="shared" si="42"/>
        <v>0</v>
      </c>
      <c r="AF41">
        <f t="shared" si="43"/>
        <v>4433.67</v>
      </c>
      <c r="AG41">
        <f t="shared" si="44"/>
        <v>0</v>
      </c>
      <c r="AH41">
        <f t="shared" si="45"/>
        <v>11.39</v>
      </c>
      <c r="AI41">
        <f t="shared" si="46"/>
        <v>0</v>
      </c>
      <c r="AJ41">
        <f t="shared" si="47"/>
        <v>0</v>
      </c>
      <c r="AK41">
        <v>4433.67</v>
      </c>
      <c r="AL41">
        <v>0</v>
      </c>
      <c r="AM41">
        <v>0</v>
      </c>
      <c r="AN41">
        <v>0</v>
      </c>
      <c r="AO41">
        <v>4433.67</v>
      </c>
      <c r="AP41">
        <v>0</v>
      </c>
      <c r="AQ41">
        <v>11.39</v>
      </c>
      <c r="AR41">
        <v>0</v>
      </c>
      <c r="AS41">
        <v>0</v>
      </c>
      <c r="AT41">
        <v>70</v>
      </c>
      <c r="AU41">
        <v>10</v>
      </c>
      <c r="AV41">
        <v>1</v>
      </c>
      <c r="AW41">
        <v>1</v>
      </c>
      <c r="AZ41">
        <v>1</v>
      </c>
      <c r="BA41">
        <v>1</v>
      </c>
      <c r="BB41">
        <v>1</v>
      </c>
      <c r="BC41">
        <v>1</v>
      </c>
      <c r="BD41" t="s">
        <v>3</v>
      </c>
      <c r="BE41" t="s">
        <v>3</v>
      </c>
      <c r="BF41" t="s">
        <v>3</v>
      </c>
      <c r="BG41" t="s">
        <v>3</v>
      </c>
      <c r="BH41">
        <v>0</v>
      </c>
      <c r="BI41">
        <v>4</v>
      </c>
      <c r="BJ41" t="s">
        <v>65</v>
      </c>
      <c r="BM41">
        <v>0</v>
      </c>
      <c r="BN41">
        <v>75371441</v>
      </c>
      <c r="BO41" t="s">
        <v>3</v>
      </c>
      <c r="BP41">
        <v>0</v>
      </c>
      <c r="BQ41">
        <v>1</v>
      </c>
      <c r="BR41">
        <v>0</v>
      </c>
      <c r="BS41">
        <v>1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3</v>
      </c>
      <c r="BZ41">
        <v>70</v>
      </c>
      <c r="CA41">
        <v>10</v>
      </c>
      <c r="CB41" t="s">
        <v>3</v>
      </c>
      <c r="CE41">
        <v>0</v>
      </c>
      <c r="CF41">
        <v>0</v>
      </c>
      <c r="CG41">
        <v>0</v>
      </c>
      <c r="CM41">
        <v>0</v>
      </c>
      <c r="CN41" t="s">
        <v>3</v>
      </c>
      <c r="CO41">
        <v>0</v>
      </c>
      <c r="CP41">
        <f t="shared" si="48"/>
        <v>2438.52</v>
      </c>
      <c r="CQ41">
        <f t="shared" si="49"/>
        <v>0</v>
      </c>
      <c r="CR41">
        <f t="shared" si="50"/>
        <v>0</v>
      </c>
      <c r="CS41">
        <f t="shared" si="51"/>
        <v>0</v>
      </c>
      <c r="CT41">
        <f t="shared" si="52"/>
        <v>4433.67</v>
      </c>
      <c r="CU41">
        <f t="shared" si="53"/>
        <v>0</v>
      </c>
      <c r="CV41">
        <f t="shared" si="54"/>
        <v>11.39</v>
      </c>
      <c r="CW41">
        <f t="shared" si="55"/>
        <v>0</v>
      </c>
      <c r="CX41">
        <f t="shared" si="56"/>
        <v>0</v>
      </c>
      <c r="CY41">
        <f t="shared" si="57"/>
        <v>1706.9639999999999</v>
      </c>
      <c r="CZ41">
        <f t="shared" si="58"/>
        <v>243.852</v>
      </c>
      <c r="DC41" t="s">
        <v>3</v>
      </c>
      <c r="DD41" t="s">
        <v>3</v>
      </c>
      <c r="DE41" t="s">
        <v>3</v>
      </c>
      <c r="DF41" t="s">
        <v>3</v>
      </c>
      <c r="DG41" t="s">
        <v>3</v>
      </c>
      <c r="DH41" t="s">
        <v>3</v>
      </c>
      <c r="DI41" t="s">
        <v>3</v>
      </c>
      <c r="DJ41" t="s">
        <v>3</v>
      </c>
      <c r="DK41" t="s">
        <v>3</v>
      </c>
      <c r="DL41" t="s">
        <v>3</v>
      </c>
      <c r="DM41" t="s">
        <v>3</v>
      </c>
      <c r="DN41">
        <v>0</v>
      </c>
      <c r="DO41">
        <v>0</v>
      </c>
      <c r="DP41">
        <v>1</v>
      </c>
      <c r="DQ41">
        <v>1</v>
      </c>
      <c r="DU41">
        <v>1005</v>
      </c>
      <c r="DV41" t="s">
        <v>46</v>
      </c>
      <c r="DW41" t="s">
        <v>46</v>
      </c>
      <c r="DX41">
        <v>100</v>
      </c>
      <c r="DZ41" t="s">
        <v>3</v>
      </c>
      <c r="EA41" t="s">
        <v>3</v>
      </c>
      <c r="EB41" t="s">
        <v>3</v>
      </c>
      <c r="EC41" t="s">
        <v>3</v>
      </c>
      <c r="EE41">
        <v>75371444</v>
      </c>
      <c r="EF41">
        <v>1</v>
      </c>
      <c r="EG41" t="s">
        <v>22</v>
      </c>
      <c r="EH41">
        <v>0</v>
      </c>
      <c r="EI41" t="s">
        <v>3</v>
      </c>
      <c r="EJ41">
        <v>4</v>
      </c>
      <c r="EK41">
        <v>0</v>
      </c>
      <c r="EL41" t="s">
        <v>23</v>
      </c>
      <c r="EM41" t="s">
        <v>24</v>
      </c>
      <c r="EO41" t="s">
        <v>3</v>
      </c>
      <c r="EQ41">
        <v>0</v>
      </c>
      <c r="ER41">
        <v>4433.67</v>
      </c>
      <c r="ES41">
        <v>0</v>
      </c>
      <c r="ET41">
        <v>0</v>
      </c>
      <c r="EU41">
        <v>0</v>
      </c>
      <c r="EV41">
        <v>4433.67</v>
      </c>
      <c r="EW41">
        <v>11.39</v>
      </c>
      <c r="EX41">
        <v>0</v>
      </c>
      <c r="EY41">
        <v>0</v>
      </c>
      <c r="FQ41">
        <v>0</v>
      </c>
      <c r="FR41">
        <f t="shared" si="59"/>
        <v>0</v>
      </c>
      <c r="FS41">
        <v>0</v>
      </c>
      <c r="FX41">
        <v>70</v>
      </c>
      <c r="FY41">
        <v>10</v>
      </c>
      <c r="GA41" t="s">
        <v>3</v>
      </c>
      <c r="GD41">
        <v>0</v>
      </c>
      <c r="GF41">
        <v>-1234166715</v>
      </c>
      <c r="GG41">
        <v>2</v>
      </c>
      <c r="GH41">
        <v>1</v>
      </c>
      <c r="GI41">
        <v>-2</v>
      </c>
      <c r="GJ41">
        <v>0</v>
      </c>
      <c r="GK41">
        <f>ROUND(R41*(R12)/100,2)</f>
        <v>0</v>
      </c>
      <c r="GL41">
        <f t="shared" si="60"/>
        <v>0</v>
      </c>
      <c r="GM41">
        <f t="shared" si="61"/>
        <v>4389.33</v>
      </c>
      <c r="GN41">
        <f t="shared" si="62"/>
        <v>0</v>
      </c>
      <c r="GO41">
        <f t="shared" si="63"/>
        <v>0</v>
      </c>
      <c r="GP41">
        <f t="shared" si="64"/>
        <v>4389.33</v>
      </c>
      <c r="GR41">
        <v>0</v>
      </c>
      <c r="GS41">
        <v>3</v>
      </c>
      <c r="GT41">
        <v>0</v>
      </c>
      <c r="GU41" t="s">
        <v>3</v>
      </c>
      <c r="GV41">
        <f t="shared" si="65"/>
        <v>0</v>
      </c>
      <c r="GW41">
        <v>1</v>
      </c>
      <c r="GX41">
        <f t="shared" si="66"/>
        <v>0</v>
      </c>
      <c r="HA41">
        <v>0</v>
      </c>
      <c r="HB41">
        <v>0</v>
      </c>
      <c r="HC41">
        <f t="shared" si="67"/>
        <v>0</v>
      </c>
      <c r="HE41" t="s">
        <v>3</v>
      </c>
      <c r="HF41" t="s">
        <v>3</v>
      </c>
      <c r="HM41" t="s">
        <v>3</v>
      </c>
      <c r="HN41" t="s">
        <v>3</v>
      </c>
      <c r="HO41" t="s">
        <v>3</v>
      </c>
      <c r="HP41" t="s">
        <v>3</v>
      </c>
      <c r="HQ41" t="s">
        <v>3</v>
      </c>
      <c r="IK41">
        <v>0</v>
      </c>
    </row>
    <row r="42" spans="1:245" x14ac:dyDescent="0.2">
      <c r="A42">
        <v>17</v>
      </c>
      <c r="B42">
        <v>1</v>
      </c>
      <c r="C42">
        <f>ROW(SmtRes!A27)</f>
        <v>27</v>
      </c>
      <c r="D42">
        <f>ROW(EtalonRes!A25)</f>
        <v>25</v>
      </c>
      <c r="E42" t="s">
        <v>66</v>
      </c>
      <c r="F42" t="s">
        <v>67</v>
      </c>
      <c r="G42" t="s">
        <v>68</v>
      </c>
      <c r="H42" t="s">
        <v>46</v>
      </c>
      <c r="I42">
        <f>ROUND(55/100,9)</f>
        <v>0.55000000000000004</v>
      </c>
      <c r="J42">
        <v>0</v>
      </c>
      <c r="K42">
        <f>ROUND(55/100,9)</f>
        <v>0.55000000000000004</v>
      </c>
      <c r="O42">
        <f t="shared" si="28"/>
        <v>37701.120000000003</v>
      </c>
      <c r="P42">
        <f t="shared" si="29"/>
        <v>27736.19</v>
      </c>
      <c r="Q42">
        <f t="shared" si="30"/>
        <v>133.34</v>
      </c>
      <c r="R42">
        <f t="shared" si="31"/>
        <v>14.7</v>
      </c>
      <c r="S42">
        <f t="shared" si="32"/>
        <v>9831.59</v>
      </c>
      <c r="T42">
        <f t="shared" si="33"/>
        <v>0</v>
      </c>
      <c r="U42">
        <f t="shared" si="34"/>
        <v>20.883500000000002</v>
      </c>
      <c r="V42">
        <f t="shared" si="35"/>
        <v>0</v>
      </c>
      <c r="W42">
        <f t="shared" si="36"/>
        <v>0</v>
      </c>
      <c r="X42">
        <f t="shared" si="37"/>
        <v>6882.11</v>
      </c>
      <c r="Y42">
        <f t="shared" si="38"/>
        <v>983.16</v>
      </c>
      <c r="AA42">
        <v>75703208</v>
      </c>
      <c r="AB42">
        <f t="shared" si="39"/>
        <v>68547.48</v>
      </c>
      <c r="AC42">
        <f t="shared" si="40"/>
        <v>50429.440000000002</v>
      </c>
      <c r="AD42">
        <f t="shared" si="41"/>
        <v>242.43</v>
      </c>
      <c r="AE42">
        <f t="shared" si="42"/>
        <v>26.72</v>
      </c>
      <c r="AF42">
        <f t="shared" si="43"/>
        <v>17875.61</v>
      </c>
      <c r="AG42">
        <f t="shared" si="44"/>
        <v>0</v>
      </c>
      <c r="AH42">
        <f t="shared" si="45"/>
        <v>37.97</v>
      </c>
      <c r="AI42">
        <f t="shared" si="46"/>
        <v>0</v>
      </c>
      <c r="AJ42">
        <f t="shared" si="47"/>
        <v>0</v>
      </c>
      <c r="AK42">
        <v>68547.48</v>
      </c>
      <c r="AL42">
        <v>50429.440000000002</v>
      </c>
      <c r="AM42">
        <v>242.43</v>
      </c>
      <c r="AN42">
        <v>26.72</v>
      </c>
      <c r="AO42">
        <v>17875.61</v>
      </c>
      <c r="AP42">
        <v>0</v>
      </c>
      <c r="AQ42">
        <v>37.97</v>
      </c>
      <c r="AR42">
        <v>0</v>
      </c>
      <c r="AS42">
        <v>0</v>
      </c>
      <c r="AT42">
        <v>70</v>
      </c>
      <c r="AU42">
        <v>10</v>
      </c>
      <c r="AV42">
        <v>1</v>
      </c>
      <c r="AW42">
        <v>1</v>
      </c>
      <c r="AZ42">
        <v>1</v>
      </c>
      <c r="BA42">
        <v>1</v>
      </c>
      <c r="BB42">
        <v>1</v>
      </c>
      <c r="BC42">
        <v>1</v>
      </c>
      <c r="BD42" t="s">
        <v>3</v>
      </c>
      <c r="BE42" t="s">
        <v>3</v>
      </c>
      <c r="BF42" t="s">
        <v>3</v>
      </c>
      <c r="BG42" t="s">
        <v>3</v>
      </c>
      <c r="BH42">
        <v>0</v>
      </c>
      <c r="BI42">
        <v>4</v>
      </c>
      <c r="BJ42" t="s">
        <v>69</v>
      </c>
      <c r="BM42">
        <v>0</v>
      </c>
      <c r="BN42">
        <v>75371441</v>
      </c>
      <c r="BO42" t="s">
        <v>3</v>
      </c>
      <c r="BP42">
        <v>0</v>
      </c>
      <c r="BQ42">
        <v>1</v>
      </c>
      <c r="BR42">
        <v>0</v>
      </c>
      <c r="BS42">
        <v>1</v>
      </c>
      <c r="BT42">
        <v>1</v>
      </c>
      <c r="BU42">
        <v>1</v>
      </c>
      <c r="BV42">
        <v>1</v>
      </c>
      <c r="BW42">
        <v>1</v>
      </c>
      <c r="BX42">
        <v>1</v>
      </c>
      <c r="BY42" t="s">
        <v>3</v>
      </c>
      <c r="BZ42">
        <v>70</v>
      </c>
      <c r="CA42">
        <v>10</v>
      </c>
      <c r="CB42" t="s">
        <v>3</v>
      </c>
      <c r="CE42">
        <v>0</v>
      </c>
      <c r="CF42">
        <v>0</v>
      </c>
      <c r="CG42">
        <v>0</v>
      </c>
      <c r="CM42">
        <v>0</v>
      </c>
      <c r="CN42" t="s">
        <v>3</v>
      </c>
      <c r="CO42">
        <v>0</v>
      </c>
      <c r="CP42">
        <f t="shared" si="48"/>
        <v>37701.119999999995</v>
      </c>
      <c r="CQ42">
        <f t="shared" si="49"/>
        <v>50429.440000000002</v>
      </c>
      <c r="CR42">
        <f t="shared" si="50"/>
        <v>242.43</v>
      </c>
      <c r="CS42">
        <f t="shared" si="51"/>
        <v>26.72</v>
      </c>
      <c r="CT42">
        <f t="shared" si="52"/>
        <v>17875.61</v>
      </c>
      <c r="CU42">
        <f t="shared" si="53"/>
        <v>0</v>
      </c>
      <c r="CV42">
        <f t="shared" si="54"/>
        <v>37.97</v>
      </c>
      <c r="CW42">
        <f t="shared" si="55"/>
        <v>0</v>
      </c>
      <c r="CX42">
        <f t="shared" si="56"/>
        <v>0</v>
      </c>
      <c r="CY42">
        <f t="shared" si="57"/>
        <v>6882.1130000000003</v>
      </c>
      <c r="CZ42">
        <f t="shared" si="58"/>
        <v>983.15899999999999</v>
      </c>
      <c r="DC42" t="s">
        <v>3</v>
      </c>
      <c r="DD42" t="s">
        <v>3</v>
      </c>
      <c r="DE42" t="s">
        <v>3</v>
      </c>
      <c r="DF42" t="s">
        <v>3</v>
      </c>
      <c r="DG42" t="s">
        <v>3</v>
      </c>
      <c r="DH42" t="s">
        <v>3</v>
      </c>
      <c r="DI42" t="s">
        <v>3</v>
      </c>
      <c r="DJ42" t="s">
        <v>3</v>
      </c>
      <c r="DK42" t="s">
        <v>3</v>
      </c>
      <c r="DL42" t="s">
        <v>3</v>
      </c>
      <c r="DM42" t="s">
        <v>3</v>
      </c>
      <c r="DN42">
        <v>0</v>
      </c>
      <c r="DO42">
        <v>0</v>
      </c>
      <c r="DP42">
        <v>1</v>
      </c>
      <c r="DQ42">
        <v>1</v>
      </c>
      <c r="DU42">
        <v>1005</v>
      </c>
      <c r="DV42" t="s">
        <v>46</v>
      </c>
      <c r="DW42" t="s">
        <v>46</v>
      </c>
      <c r="DX42">
        <v>100</v>
      </c>
      <c r="DZ42" t="s">
        <v>3</v>
      </c>
      <c r="EA42" t="s">
        <v>3</v>
      </c>
      <c r="EB42" t="s">
        <v>3</v>
      </c>
      <c r="EC42" t="s">
        <v>3</v>
      </c>
      <c r="EE42">
        <v>75371444</v>
      </c>
      <c r="EF42">
        <v>1</v>
      </c>
      <c r="EG42" t="s">
        <v>22</v>
      </c>
      <c r="EH42">
        <v>0</v>
      </c>
      <c r="EI42" t="s">
        <v>3</v>
      </c>
      <c r="EJ42">
        <v>4</v>
      </c>
      <c r="EK42">
        <v>0</v>
      </c>
      <c r="EL42" t="s">
        <v>23</v>
      </c>
      <c r="EM42" t="s">
        <v>24</v>
      </c>
      <c r="EO42" t="s">
        <v>3</v>
      </c>
      <c r="EQ42">
        <v>0</v>
      </c>
      <c r="ER42">
        <v>68547.48</v>
      </c>
      <c r="ES42">
        <v>50429.440000000002</v>
      </c>
      <c r="ET42">
        <v>242.43</v>
      </c>
      <c r="EU42">
        <v>26.72</v>
      </c>
      <c r="EV42">
        <v>17875.61</v>
      </c>
      <c r="EW42">
        <v>37.97</v>
      </c>
      <c r="EX42">
        <v>0</v>
      </c>
      <c r="EY42">
        <v>0</v>
      </c>
      <c r="FQ42">
        <v>0</v>
      </c>
      <c r="FR42">
        <f t="shared" si="59"/>
        <v>0</v>
      </c>
      <c r="FS42">
        <v>0</v>
      </c>
      <c r="FX42">
        <v>70</v>
      </c>
      <c r="FY42">
        <v>10</v>
      </c>
      <c r="GA42" t="s">
        <v>3</v>
      </c>
      <c r="GD42">
        <v>0</v>
      </c>
      <c r="GF42">
        <v>-1728316976</v>
      </c>
      <c r="GG42">
        <v>2</v>
      </c>
      <c r="GH42">
        <v>1</v>
      </c>
      <c r="GI42">
        <v>-2</v>
      </c>
      <c r="GJ42">
        <v>0</v>
      </c>
      <c r="GK42">
        <f>ROUND(R42*(R12)/100,2)</f>
        <v>15.88</v>
      </c>
      <c r="GL42">
        <f t="shared" si="60"/>
        <v>0</v>
      </c>
      <c r="GM42">
        <f t="shared" si="61"/>
        <v>45582.27</v>
      </c>
      <c r="GN42">
        <f t="shared" si="62"/>
        <v>0</v>
      </c>
      <c r="GO42">
        <f t="shared" si="63"/>
        <v>0</v>
      </c>
      <c r="GP42">
        <f t="shared" si="64"/>
        <v>45582.27</v>
      </c>
      <c r="GR42">
        <v>0</v>
      </c>
      <c r="GS42">
        <v>3</v>
      </c>
      <c r="GT42">
        <v>0</v>
      </c>
      <c r="GU42" t="s">
        <v>3</v>
      </c>
      <c r="GV42">
        <f t="shared" si="65"/>
        <v>0</v>
      </c>
      <c r="GW42">
        <v>1</v>
      </c>
      <c r="GX42">
        <f t="shared" si="66"/>
        <v>0</v>
      </c>
      <c r="HA42">
        <v>0</v>
      </c>
      <c r="HB42">
        <v>0</v>
      </c>
      <c r="HC42">
        <f t="shared" si="67"/>
        <v>0</v>
      </c>
      <c r="HE42" t="s">
        <v>3</v>
      </c>
      <c r="HF42" t="s">
        <v>3</v>
      </c>
      <c r="HM42" t="s">
        <v>3</v>
      </c>
      <c r="HN42" t="s">
        <v>3</v>
      </c>
      <c r="HO42" t="s">
        <v>3</v>
      </c>
      <c r="HP42" t="s">
        <v>3</v>
      </c>
      <c r="HQ42" t="s">
        <v>3</v>
      </c>
      <c r="IK42">
        <v>0</v>
      </c>
    </row>
    <row r="43" spans="1:245" x14ac:dyDescent="0.2">
      <c r="A43">
        <v>17</v>
      </c>
      <c r="B43">
        <v>1</v>
      </c>
      <c r="C43">
        <f>ROW(SmtRes!A33)</f>
        <v>33</v>
      </c>
      <c r="D43">
        <f>ROW(EtalonRes!A30)</f>
        <v>30</v>
      </c>
      <c r="E43" t="s">
        <v>70</v>
      </c>
      <c r="F43" t="s">
        <v>71</v>
      </c>
      <c r="G43" t="s">
        <v>72</v>
      </c>
      <c r="H43" t="s">
        <v>46</v>
      </c>
      <c r="I43">
        <f>ROUND(55/100,9)</f>
        <v>0.55000000000000004</v>
      </c>
      <c r="J43">
        <v>0</v>
      </c>
      <c r="K43">
        <f>ROUND(55/100,9)</f>
        <v>0.55000000000000004</v>
      </c>
      <c r="O43">
        <f t="shared" si="28"/>
        <v>13371.63</v>
      </c>
      <c r="P43">
        <f t="shared" si="29"/>
        <v>5700.18</v>
      </c>
      <c r="Q43">
        <f t="shared" si="30"/>
        <v>205.21</v>
      </c>
      <c r="R43">
        <f t="shared" si="31"/>
        <v>1.1299999999999999</v>
      </c>
      <c r="S43">
        <f t="shared" si="32"/>
        <v>7466.24</v>
      </c>
      <c r="T43">
        <f t="shared" si="33"/>
        <v>0</v>
      </c>
      <c r="U43">
        <f t="shared" si="34"/>
        <v>16.2745</v>
      </c>
      <c r="V43">
        <f t="shared" si="35"/>
        <v>0</v>
      </c>
      <c r="W43">
        <f t="shared" si="36"/>
        <v>0</v>
      </c>
      <c r="X43">
        <f t="shared" si="37"/>
        <v>5226.37</v>
      </c>
      <c r="Y43">
        <f t="shared" si="38"/>
        <v>746.62</v>
      </c>
      <c r="AA43">
        <v>75703208</v>
      </c>
      <c r="AB43">
        <f t="shared" si="39"/>
        <v>24312.05</v>
      </c>
      <c r="AC43">
        <f t="shared" si="40"/>
        <v>10363.959999999999</v>
      </c>
      <c r="AD43">
        <f t="shared" si="41"/>
        <v>373.1</v>
      </c>
      <c r="AE43">
        <f t="shared" si="42"/>
        <v>2.06</v>
      </c>
      <c r="AF43">
        <f t="shared" si="43"/>
        <v>13574.99</v>
      </c>
      <c r="AG43">
        <f t="shared" si="44"/>
        <v>0</v>
      </c>
      <c r="AH43">
        <f t="shared" si="45"/>
        <v>29.59</v>
      </c>
      <c r="AI43">
        <f t="shared" si="46"/>
        <v>0</v>
      </c>
      <c r="AJ43">
        <f t="shared" si="47"/>
        <v>0</v>
      </c>
      <c r="AK43">
        <v>24312.05</v>
      </c>
      <c r="AL43">
        <v>10363.959999999999</v>
      </c>
      <c r="AM43">
        <v>373.1</v>
      </c>
      <c r="AN43">
        <v>2.06</v>
      </c>
      <c r="AO43">
        <v>13574.99</v>
      </c>
      <c r="AP43">
        <v>0</v>
      </c>
      <c r="AQ43">
        <v>29.59</v>
      </c>
      <c r="AR43">
        <v>0</v>
      </c>
      <c r="AS43">
        <v>0</v>
      </c>
      <c r="AT43">
        <v>70</v>
      </c>
      <c r="AU43">
        <v>10</v>
      </c>
      <c r="AV43">
        <v>1</v>
      </c>
      <c r="AW43">
        <v>1</v>
      </c>
      <c r="AZ43">
        <v>1</v>
      </c>
      <c r="BA43">
        <v>1</v>
      </c>
      <c r="BB43">
        <v>1</v>
      </c>
      <c r="BC43">
        <v>1</v>
      </c>
      <c r="BD43" t="s">
        <v>3</v>
      </c>
      <c r="BE43" t="s">
        <v>3</v>
      </c>
      <c r="BF43" t="s">
        <v>3</v>
      </c>
      <c r="BG43" t="s">
        <v>3</v>
      </c>
      <c r="BH43">
        <v>0</v>
      </c>
      <c r="BI43">
        <v>4</v>
      </c>
      <c r="BJ43" t="s">
        <v>73</v>
      </c>
      <c r="BM43">
        <v>0</v>
      </c>
      <c r="BN43">
        <v>75371441</v>
      </c>
      <c r="BO43" t="s">
        <v>3</v>
      </c>
      <c r="BP43">
        <v>0</v>
      </c>
      <c r="BQ43">
        <v>1</v>
      </c>
      <c r="BR43">
        <v>0</v>
      </c>
      <c r="BS43">
        <v>1</v>
      </c>
      <c r="BT43">
        <v>1</v>
      </c>
      <c r="BU43">
        <v>1</v>
      </c>
      <c r="BV43">
        <v>1</v>
      </c>
      <c r="BW43">
        <v>1</v>
      </c>
      <c r="BX43">
        <v>1</v>
      </c>
      <c r="BY43" t="s">
        <v>3</v>
      </c>
      <c r="BZ43">
        <v>70</v>
      </c>
      <c r="CA43">
        <v>10</v>
      </c>
      <c r="CB43" t="s">
        <v>3</v>
      </c>
      <c r="CE43">
        <v>0</v>
      </c>
      <c r="CF43">
        <v>0</v>
      </c>
      <c r="CG43">
        <v>0</v>
      </c>
      <c r="CM43">
        <v>0</v>
      </c>
      <c r="CN43" t="s">
        <v>3</v>
      </c>
      <c r="CO43">
        <v>0</v>
      </c>
      <c r="CP43">
        <f t="shared" si="48"/>
        <v>13371.630000000001</v>
      </c>
      <c r="CQ43">
        <f t="shared" si="49"/>
        <v>10363.959999999999</v>
      </c>
      <c r="CR43">
        <f t="shared" si="50"/>
        <v>373.1</v>
      </c>
      <c r="CS43">
        <f t="shared" si="51"/>
        <v>2.06</v>
      </c>
      <c r="CT43">
        <f t="shared" si="52"/>
        <v>13574.99</v>
      </c>
      <c r="CU43">
        <f t="shared" si="53"/>
        <v>0</v>
      </c>
      <c r="CV43">
        <f t="shared" si="54"/>
        <v>29.59</v>
      </c>
      <c r="CW43">
        <f t="shared" si="55"/>
        <v>0</v>
      </c>
      <c r="CX43">
        <f t="shared" si="56"/>
        <v>0</v>
      </c>
      <c r="CY43">
        <f t="shared" si="57"/>
        <v>5226.3679999999995</v>
      </c>
      <c r="CZ43">
        <f t="shared" si="58"/>
        <v>746.62399999999991</v>
      </c>
      <c r="DC43" t="s">
        <v>3</v>
      </c>
      <c r="DD43" t="s">
        <v>3</v>
      </c>
      <c r="DE43" t="s">
        <v>3</v>
      </c>
      <c r="DF43" t="s">
        <v>3</v>
      </c>
      <c r="DG43" t="s">
        <v>3</v>
      </c>
      <c r="DH43" t="s">
        <v>3</v>
      </c>
      <c r="DI43" t="s">
        <v>3</v>
      </c>
      <c r="DJ43" t="s">
        <v>3</v>
      </c>
      <c r="DK43" t="s">
        <v>3</v>
      </c>
      <c r="DL43" t="s">
        <v>3</v>
      </c>
      <c r="DM43" t="s">
        <v>3</v>
      </c>
      <c r="DN43">
        <v>0</v>
      </c>
      <c r="DO43">
        <v>0</v>
      </c>
      <c r="DP43">
        <v>1</v>
      </c>
      <c r="DQ43">
        <v>1</v>
      </c>
      <c r="DU43">
        <v>1005</v>
      </c>
      <c r="DV43" t="s">
        <v>46</v>
      </c>
      <c r="DW43" t="s">
        <v>46</v>
      </c>
      <c r="DX43">
        <v>100</v>
      </c>
      <c r="DZ43" t="s">
        <v>3</v>
      </c>
      <c r="EA43" t="s">
        <v>3</v>
      </c>
      <c r="EB43" t="s">
        <v>3</v>
      </c>
      <c r="EC43" t="s">
        <v>3</v>
      </c>
      <c r="EE43">
        <v>75371444</v>
      </c>
      <c r="EF43">
        <v>1</v>
      </c>
      <c r="EG43" t="s">
        <v>22</v>
      </c>
      <c r="EH43">
        <v>0</v>
      </c>
      <c r="EI43" t="s">
        <v>3</v>
      </c>
      <c r="EJ43">
        <v>4</v>
      </c>
      <c r="EK43">
        <v>0</v>
      </c>
      <c r="EL43" t="s">
        <v>23</v>
      </c>
      <c r="EM43" t="s">
        <v>24</v>
      </c>
      <c r="EO43" t="s">
        <v>3</v>
      </c>
      <c r="EQ43">
        <v>0</v>
      </c>
      <c r="ER43">
        <v>24312.05</v>
      </c>
      <c r="ES43">
        <v>10363.959999999999</v>
      </c>
      <c r="ET43">
        <v>373.1</v>
      </c>
      <c r="EU43">
        <v>2.06</v>
      </c>
      <c r="EV43">
        <v>13574.99</v>
      </c>
      <c r="EW43">
        <v>29.59</v>
      </c>
      <c r="EX43">
        <v>0</v>
      </c>
      <c r="EY43">
        <v>0</v>
      </c>
      <c r="FQ43">
        <v>0</v>
      </c>
      <c r="FR43">
        <f t="shared" si="59"/>
        <v>0</v>
      </c>
      <c r="FS43">
        <v>0</v>
      </c>
      <c r="FX43">
        <v>70</v>
      </c>
      <c r="FY43">
        <v>10</v>
      </c>
      <c r="GA43" t="s">
        <v>3</v>
      </c>
      <c r="GD43">
        <v>0</v>
      </c>
      <c r="GF43">
        <v>1156050607</v>
      </c>
      <c r="GG43">
        <v>2</v>
      </c>
      <c r="GH43">
        <v>1</v>
      </c>
      <c r="GI43">
        <v>-2</v>
      </c>
      <c r="GJ43">
        <v>0</v>
      </c>
      <c r="GK43">
        <f>ROUND(R43*(R12)/100,2)</f>
        <v>1.22</v>
      </c>
      <c r="GL43">
        <f t="shared" si="60"/>
        <v>0</v>
      </c>
      <c r="GM43">
        <f t="shared" si="61"/>
        <v>19345.84</v>
      </c>
      <c r="GN43">
        <f t="shared" si="62"/>
        <v>0</v>
      </c>
      <c r="GO43">
        <f t="shared" si="63"/>
        <v>0</v>
      </c>
      <c r="GP43">
        <f t="shared" si="64"/>
        <v>19345.84</v>
      </c>
      <c r="GR43">
        <v>0</v>
      </c>
      <c r="GS43">
        <v>3</v>
      </c>
      <c r="GT43">
        <v>0</v>
      </c>
      <c r="GU43" t="s">
        <v>3</v>
      </c>
      <c r="GV43">
        <f t="shared" si="65"/>
        <v>0</v>
      </c>
      <c r="GW43">
        <v>1</v>
      </c>
      <c r="GX43">
        <f t="shared" si="66"/>
        <v>0</v>
      </c>
      <c r="HA43">
        <v>0</v>
      </c>
      <c r="HB43">
        <v>0</v>
      </c>
      <c r="HC43">
        <f t="shared" si="67"/>
        <v>0</v>
      </c>
      <c r="HE43" t="s">
        <v>3</v>
      </c>
      <c r="HF43" t="s">
        <v>3</v>
      </c>
      <c r="HM43" t="s">
        <v>3</v>
      </c>
      <c r="HN43" t="s">
        <v>3</v>
      </c>
      <c r="HO43" t="s">
        <v>3</v>
      </c>
      <c r="HP43" t="s">
        <v>3</v>
      </c>
      <c r="HQ43" t="s">
        <v>3</v>
      </c>
      <c r="IK43">
        <v>0</v>
      </c>
    </row>
    <row r="44" spans="1:245" x14ac:dyDescent="0.2">
      <c r="A44">
        <v>18</v>
      </c>
      <c r="B44">
        <v>1</v>
      </c>
      <c r="C44">
        <v>33</v>
      </c>
      <c r="E44" t="s">
        <v>74</v>
      </c>
      <c r="F44" t="s">
        <v>34</v>
      </c>
      <c r="G44" t="s">
        <v>75</v>
      </c>
      <c r="H44" t="s">
        <v>76</v>
      </c>
      <c r="I44">
        <f>I43*J44</f>
        <v>56.65</v>
      </c>
      <c r="J44">
        <v>102.99999999999999</v>
      </c>
      <c r="K44">
        <v>103</v>
      </c>
      <c r="O44">
        <f t="shared" si="28"/>
        <v>1290.49</v>
      </c>
      <c r="P44">
        <f t="shared" si="29"/>
        <v>1290.49</v>
      </c>
      <c r="Q44">
        <f t="shared" si="30"/>
        <v>0</v>
      </c>
      <c r="R44">
        <f t="shared" si="31"/>
        <v>0</v>
      </c>
      <c r="S44">
        <f t="shared" si="32"/>
        <v>0</v>
      </c>
      <c r="T44">
        <f t="shared" si="33"/>
        <v>0</v>
      </c>
      <c r="U44">
        <f t="shared" si="34"/>
        <v>0</v>
      </c>
      <c r="V44">
        <f t="shared" si="35"/>
        <v>0</v>
      </c>
      <c r="W44">
        <f t="shared" si="36"/>
        <v>0</v>
      </c>
      <c r="X44">
        <f t="shared" si="37"/>
        <v>0</v>
      </c>
      <c r="Y44">
        <f t="shared" si="38"/>
        <v>0</v>
      </c>
      <c r="AA44">
        <v>75703208</v>
      </c>
      <c r="AB44">
        <f t="shared" si="39"/>
        <v>22.78</v>
      </c>
      <c r="AC44">
        <f t="shared" si="40"/>
        <v>22.78</v>
      </c>
      <c r="AD44">
        <f t="shared" si="41"/>
        <v>0</v>
      </c>
      <c r="AE44">
        <f t="shared" si="42"/>
        <v>0</v>
      </c>
      <c r="AF44">
        <f t="shared" si="43"/>
        <v>0</v>
      </c>
      <c r="AG44">
        <f t="shared" si="44"/>
        <v>0</v>
      </c>
      <c r="AH44">
        <f t="shared" si="45"/>
        <v>0</v>
      </c>
      <c r="AI44">
        <f t="shared" si="46"/>
        <v>0</v>
      </c>
      <c r="AJ44">
        <f t="shared" si="47"/>
        <v>0</v>
      </c>
      <c r="AK44">
        <v>22.78</v>
      </c>
      <c r="AL44">
        <v>22.78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70</v>
      </c>
      <c r="AU44">
        <v>10</v>
      </c>
      <c r="AV44">
        <v>1</v>
      </c>
      <c r="AW44">
        <v>1</v>
      </c>
      <c r="AZ44">
        <v>1</v>
      </c>
      <c r="BA44">
        <v>1</v>
      </c>
      <c r="BB44">
        <v>1</v>
      </c>
      <c r="BC44">
        <v>1</v>
      </c>
      <c r="BD44" t="s">
        <v>3</v>
      </c>
      <c r="BE44" t="s">
        <v>3</v>
      </c>
      <c r="BF44" t="s">
        <v>3</v>
      </c>
      <c r="BG44" t="s">
        <v>3</v>
      </c>
      <c r="BH44">
        <v>3</v>
      </c>
      <c r="BI44">
        <v>4</v>
      </c>
      <c r="BJ44" t="s">
        <v>3</v>
      </c>
      <c r="BM44">
        <v>0</v>
      </c>
      <c r="BN44">
        <v>0</v>
      </c>
      <c r="BO44" t="s">
        <v>3</v>
      </c>
      <c r="BP44">
        <v>0</v>
      </c>
      <c r="BQ44">
        <v>1</v>
      </c>
      <c r="BR44">
        <v>0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 t="s">
        <v>3</v>
      </c>
      <c r="BZ44">
        <v>70</v>
      </c>
      <c r="CA44">
        <v>10</v>
      </c>
      <c r="CB44" t="s">
        <v>3</v>
      </c>
      <c r="CE44">
        <v>0</v>
      </c>
      <c r="CF44">
        <v>0</v>
      </c>
      <c r="CG44">
        <v>0</v>
      </c>
      <c r="CM44">
        <v>0</v>
      </c>
      <c r="CN44" t="s">
        <v>3</v>
      </c>
      <c r="CO44">
        <v>0</v>
      </c>
      <c r="CP44">
        <f t="shared" si="48"/>
        <v>1290.49</v>
      </c>
      <c r="CQ44">
        <f t="shared" si="49"/>
        <v>22.78</v>
      </c>
      <c r="CR44">
        <f t="shared" si="50"/>
        <v>0</v>
      </c>
      <c r="CS44">
        <f t="shared" si="51"/>
        <v>0</v>
      </c>
      <c r="CT44">
        <f t="shared" si="52"/>
        <v>0</v>
      </c>
      <c r="CU44">
        <f t="shared" si="53"/>
        <v>0</v>
      </c>
      <c r="CV44">
        <f t="shared" si="54"/>
        <v>0</v>
      </c>
      <c r="CW44">
        <f t="shared" si="55"/>
        <v>0</v>
      </c>
      <c r="CX44">
        <f t="shared" si="56"/>
        <v>0</v>
      </c>
      <c r="CY44">
        <f t="shared" si="57"/>
        <v>0</v>
      </c>
      <c r="CZ44">
        <f t="shared" si="58"/>
        <v>0</v>
      </c>
      <c r="DC44" t="s">
        <v>3</v>
      </c>
      <c r="DD44" t="s">
        <v>3</v>
      </c>
      <c r="DE44" t="s">
        <v>3</v>
      </c>
      <c r="DF44" t="s">
        <v>3</v>
      </c>
      <c r="DG44" t="s">
        <v>3</v>
      </c>
      <c r="DH44" t="s">
        <v>3</v>
      </c>
      <c r="DI44" t="s">
        <v>3</v>
      </c>
      <c r="DJ44" t="s">
        <v>3</v>
      </c>
      <c r="DK44" t="s">
        <v>3</v>
      </c>
      <c r="DL44" t="s">
        <v>3</v>
      </c>
      <c r="DM44" t="s">
        <v>3</v>
      </c>
      <c r="DN44">
        <v>0</v>
      </c>
      <c r="DO44">
        <v>0</v>
      </c>
      <c r="DP44">
        <v>1</v>
      </c>
      <c r="DQ44">
        <v>1</v>
      </c>
      <c r="DU44">
        <v>1005</v>
      </c>
      <c r="DV44" t="s">
        <v>76</v>
      </c>
      <c r="DW44" t="s">
        <v>76</v>
      </c>
      <c r="DX44">
        <v>1</v>
      </c>
      <c r="DZ44" t="s">
        <v>3</v>
      </c>
      <c r="EA44" t="s">
        <v>3</v>
      </c>
      <c r="EB44" t="s">
        <v>3</v>
      </c>
      <c r="EC44" t="s">
        <v>3</v>
      </c>
      <c r="EE44">
        <v>75371444</v>
      </c>
      <c r="EF44">
        <v>1</v>
      </c>
      <c r="EG44" t="s">
        <v>22</v>
      </c>
      <c r="EH44">
        <v>0</v>
      </c>
      <c r="EI44" t="s">
        <v>3</v>
      </c>
      <c r="EJ44">
        <v>4</v>
      </c>
      <c r="EK44">
        <v>0</v>
      </c>
      <c r="EL44" t="s">
        <v>23</v>
      </c>
      <c r="EM44" t="s">
        <v>24</v>
      </c>
      <c r="EO44" t="s">
        <v>3</v>
      </c>
      <c r="EQ44">
        <v>0</v>
      </c>
      <c r="ER44">
        <v>22.78</v>
      </c>
      <c r="ES44">
        <v>22.78</v>
      </c>
      <c r="ET44">
        <v>0</v>
      </c>
      <c r="EU44">
        <v>0</v>
      </c>
      <c r="EV44">
        <v>0</v>
      </c>
      <c r="EW44">
        <v>0</v>
      </c>
      <c r="EX44">
        <v>0</v>
      </c>
      <c r="EZ44">
        <v>5</v>
      </c>
      <c r="FC44">
        <v>1</v>
      </c>
      <c r="FD44">
        <v>18</v>
      </c>
      <c r="FF44">
        <v>27.33</v>
      </c>
      <c r="FQ44">
        <v>0</v>
      </c>
      <c r="FR44">
        <f t="shared" si="59"/>
        <v>0</v>
      </c>
      <c r="FS44">
        <v>0</v>
      </c>
      <c r="FX44">
        <v>70</v>
      </c>
      <c r="FY44">
        <v>10</v>
      </c>
      <c r="GA44" t="s">
        <v>77</v>
      </c>
      <c r="GD44">
        <v>0</v>
      </c>
      <c r="GF44">
        <v>236700427</v>
      </c>
      <c r="GG44">
        <v>2</v>
      </c>
      <c r="GH44">
        <v>3</v>
      </c>
      <c r="GI44">
        <v>-2</v>
      </c>
      <c r="GJ44">
        <v>0</v>
      </c>
      <c r="GK44">
        <f>ROUND(R44*(R12)/100,2)</f>
        <v>0</v>
      </c>
      <c r="GL44">
        <f t="shared" si="60"/>
        <v>0</v>
      </c>
      <c r="GM44">
        <f t="shared" si="61"/>
        <v>1290.49</v>
      </c>
      <c r="GN44">
        <f t="shared" si="62"/>
        <v>0</v>
      </c>
      <c r="GO44">
        <f t="shared" si="63"/>
        <v>0</v>
      </c>
      <c r="GP44">
        <f t="shared" si="64"/>
        <v>1290.49</v>
      </c>
      <c r="GR44">
        <v>1</v>
      </c>
      <c r="GS44">
        <v>1</v>
      </c>
      <c r="GT44">
        <v>0</v>
      </c>
      <c r="GU44" t="s">
        <v>3</v>
      </c>
      <c r="GV44">
        <f t="shared" si="65"/>
        <v>0</v>
      </c>
      <c r="GW44">
        <v>1</v>
      </c>
      <c r="GX44">
        <f t="shared" si="66"/>
        <v>0</v>
      </c>
      <c r="HA44">
        <v>0</v>
      </c>
      <c r="HB44">
        <v>0</v>
      </c>
      <c r="HC44">
        <f t="shared" si="67"/>
        <v>0</v>
      </c>
      <c r="HE44" t="s">
        <v>38</v>
      </c>
      <c r="HF44" t="s">
        <v>38</v>
      </c>
      <c r="HM44" t="s">
        <v>3</v>
      </c>
      <c r="HN44" t="s">
        <v>3</v>
      </c>
      <c r="HO44" t="s">
        <v>3</v>
      </c>
      <c r="HP44" t="s">
        <v>3</v>
      </c>
      <c r="HQ44" t="s">
        <v>3</v>
      </c>
      <c r="IK44">
        <v>0</v>
      </c>
    </row>
    <row r="45" spans="1:245" x14ac:dyDescent="0.2">
      <c r="A45">
        <v>18</v>
      </c>
      <c r="B45">
        <v>1</v>
      </c>
      <c r="C45">
        <v>30</v>
      </c>
      <c r="E45" t="s">
        <v>78</v>
      </c>
      <c r="F45" t="s">
        <v>79</v>
      </c>
      <c r="G45" t="s">
        <v>80</v>
      </c>
      <c r="H45" t="s">
        <v>76</v>
      </c>
      <c r="I45">
        <f>I43*J45</f>
        <v>-56.65</v>
      </c>
      <c r="J45">
        <v>-102.99999999999999</v>
      </c>
      <c r="K45">
        <v>-103</v>
      </c>
      <c r="O45">
        <f t="shared" si="28"/>
        <v>-1156.79</v>
      </c>
      <c r="P45">
        <f t="shared" si="29"/>
        <v>-1156.79</v>
      </c>
      <c r="Q45">
        <f t="shared" si="30"/>
        <v>0</v>
      </c>
      <c r="R45">
        <f t="shared" si="31"/>
        <v>0</v>
      </c>
      <c r="S45">
        <f t="shared" si="32"/>
        <v>0</v>
      </c>
      <c r="T45">
        <f t="shared" si="33"/>
        <v>0</v>
      </c>
      <c r="U45">
        <f t="shared" si="34"/>
        <v>0</v>
      </c>
      <c r="V45">
        <f t="shared" si="35"/>
        <v>0</v>
      </c>
      <c r="W45">
        <f t="shared" si="36"/>
        <v>0</v>
      </c>
      <c r="X45">
        <f t="shared" si="37"/>
        <v>0</v>
      </c>
      <c r="Y45">
        <f t="shared" si="38"/>
        <v>0</v>
      </c>
      <c r="AA45">
        <v>75703208</v>
      </c>
      <c r="AB45">
        <f t="shared" si="39"/>
        <v>20.420000000000002</v>
      </c>
      <c r="AC45">
        <f t="shared" si="40"/>
        <v>20.420000000000002</v>
      </c>
      <c r="AD45">
        <f t="shared" si="41"/>
        <v>0</v>
      </c>
      <c r="AE45">
        <f t="shared" si="42"/>
        <v>0</v>
      </c>
      <c r="AF45">
        <f t="shared" si="43"/>
        <v>0</v>
      </c>
      <c r="AG45">
        <f t="shared" si="44"/>
        <v>0</v>
      </c>
      <c r="AH45">
        <f t="shared" si="45"/>
        <v>0</v>
      </c>
      <c r="AI45">
        <f t="shared" si="46"/>
        <v>0</v>
      </c>
      <c r="AJ45">
        <f t="shared" si="47"/>
        <v>0</v>
      </c>
      <c r="AK45">
        <v>20.420000000000002</v>
      </c>
      <c r="AL45">
        <v>20.420000000000002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70</v>
      </c>
      <c r="AU45">
        <v>10</v>
      </c>
      <c r="AV45">
        <v>1</v>
      </c>
      <c r="AW45">
        <v>1</v>
      </c>
      <c r="AZ45">
        <v>1</v>
      </c>
      <c r="BA45">
        <v>1</v>
      </c>
      <c r="BB45">
        <v>1</v>
      </c>
      <c r="BC45">
        <v>1</v>
      </c>
      <c r="BD45" t="s">
        <v>3</v>
      </c>
      <c r="BE45" t="s">
        <v>3</v>
      </c>
      <c r="BF45" t="s">
        <v>3</v>
      </c>
      <c r="BG45" t="s">
        <v>3</v>
      </c>
      <c r="BH45">
        <v>3</v>
      </c>
      <c r="BI45">
        <v>4</v>
      </c>
      <c r="BJ45" t="s">
        <v>81</v>
      </c>
      <c r="BM45">
        <v>0</v>
      </c>
      <c r="BN45">
        <v>75371441</v>
      </c>
      <c r="BO45" t="s">
        <v>3</v>
      </c>
      <c r="BP45">
        <v>0</v>
      </c>
      <c r="BQ45">
        <v>1</v>
      </c>
      <c r="BR45">
        <v>1</v>
      </c>
      <c r="BS45">
        <v>1</v>
      </c>
      <c r="BT45">
        <v>1</v>
      </c>
      <c r="BU45">
        <v>1</v>
      </c>
      <c r="BV45">
        <v>1</v>
      </c>
      <c r="BW45">
        <v>1</v>
      </c>
      <c r="BX45">
        <v>1</v>
      </c>
      <c r="BY45" t="s">
        <v>3</v>
      </c>
      <c r="BZ45">
        <v>70</v>
      </c>
      <c r="CA45">
        <v>10</v>
      </c>
      <c r="CB45" t="s">
        <v>3</v>
      </c>
      <c r="CE45">
        <v>0</v>
      </c>
      <c r="CF45">
        <v>0</v>
      </c>
      <c r="CG45">
        <v>0</v>
      </c>
      <c r="CM45">
        <v>0</v>
      </c>
      <c r="CN45" t="s">
        <v>3</v>
      </c>
      <c r="CO45">
        <v>0</v>
      </c>
      <c r="CP45">
        <f t="shared" si="48"/>
        <v>-1156.79</v>
      </c>
      <c r="CQ45">
        <f t="shared" si="49"/>
        <v>20.420000000000002</v>
      </c>
      <c r="CR45">
        <f t="shared" si="50"/>
        <v>0</v>
      </c>
      <c r="CS45">
        <f t="shared" si="51"/>
        <v>0</v>
      </c>
      <c r="CT45">
        <f t="shared" si="52"/>
        <v>0</v>
      </c>
      <c r="CU45">
        <f t="shared" si="53"/>
        <v>0</v>
      </c>
      <c r="CV45">
        <f t="shared" si="54"/>
        <v>0</v>
      </c>
      <c r="CW45">
        <f t="shared" si="55"/>
        <v>0</v>
      </c>
      <c r="CX45">
        <f t="shared" si="56"/>
        <v>0</v>
      </c>
      <c r="CY45">
        <f t="shared" si="57"/>
        <v>0</v>
      </c>
      <c r="CZ45">
        <f t="shared" si="58"/>
        <v>0</v>
      </c>
      <c r="DC45" t="s">
        <v>3</v>
      </c>
      <c r="DD45" t="s">
        <v>3</v>
      </c>
      <c r="DE45" t="s">
        <v>3</v>
      </c>
      <c r="DF45" t="s">
        <v>3</v>
      </c>
      <c r="DG45" t="s">
        <v>3</v>
      </c>
      <c r="DH45" t="s">
        <v>3</v>
      </c>
      <c r="DI45" t="s">
        <v>3</v>
      </c>
      <c r="DJ45" t="s">
        <v>3</v>
      </c>
      <c r="DK45" t="s">
        <v>3</v>
      </c>
      <c r="DL45" t="s">
        <v>3</v>
      </c>
      <c r="DM45" t="s">
        <v>3</v>
      </c>
      <c r="DN45">
        <v>0</v>
      </c>
      <c r="DO45">
        <v>0</v>
      </c>
      <c r="DP45">
        <v>1</v>
      </c>
      <c r="DQ45">
        <v>1</v>
      </c>
      <c r="DU45">
        <v>1005</v>
      </c>
      <c r="DV45" t="s">
        <v>76</v>
      </c>
      <c r="DW45" t="s">
        <v>76</v>
      </c>
      <c r="DX45">
        <v>1</v>
      </c>
      <c r="DZ45" t="s">
        <v>3</v>
      </c>
      <c r="EA45" t="s">
        <v>3</v>
      </c>
      <c r="EB45" t="s">
        <v>3</v>
      </c>
      <c r="EC45" t="s">
        <v>3</v>
      </c>
      <c r="EE45">
        <v>75371444</v>
      </c>
      <c r="EF45">
        <v>1</v>
      </c>
      <c r="EG45" t="s">
        <v>22</v>
      </c>
      <c r="EH45">
        <v>0</v>
      </c>
      <c r="EI45" t="s">
        <v>3</v>
      </c>
      <c r="EJ45">
        <v>4</v>
      </c>
      <c r="EK45">
        <v>0</v>
      </c>
      <c r="EL45" t="s">
        <v>23</v>
      </c>
      <c r="EM45" t="s">
        <v>24</v>
      </c>
      <c r="EO45" t="s">
        <v>3</v>
      </c>
      <c r="EQ45">
        <v>32768</v>
      </c>
      <c r="ER45">
        <v>20.420000000000002</v>
      </c>
      <c r="ES45">
        <v>20.420000000000002</v>
      </c>
      <c r="ET45">
        <v>0</v>
      </c>
      <c r="EU45">
        <v>0</v>
      </c>
      <c r="EV45">
        <v>0</v>
      </c>
      <c r="EW45">
        <v>0</v>
      </c>
      <c r="EX45">
        <v>0</v>
      </c>
      <c r="FQ45">
        <v>0</v>
      </c>
      <c r="FR45">
        <f t="shared" si="59"/>
        <v>0</v>
      </c>
      <c r="FS45">
        <v>0</v>
      </c>
      <c r="FX45">
        <v>70</v>
      </c>
      <c r="FY45">
        <v>10</v>
      </c>
      <c r="GA45" t="s">
        <v>3</v>
      </c>
      <c r="GD45">
        <v>0</v>
      </c>
      <c r="GF45">
        <v>934093876</v>
      </c>
      <c r="GG45">
        <v>2</v>
      </c>
      <c r="GH45">
        <v>1</v>
      </c>
      <c r="GI45">
        <v>-2</v>
      </c>
      <c r="GJ45">
        <v>0</v>
      </c>
      <c r="GK45">
        <f>ROUND(R45*(R12)/100,2)</f>
        <v>0</v>
      </c>
      <c r="GL45">
        <f t="shared" si="60"/>
        <v>0</v>
      </c>
      <c r="GM45">
        <f t="shared" si="61"/>
        <v>-1156.79</v>
      </c>
      <c r="GN45">
        <f t="shared" si="62"/>
        <v>0</v>
      </c>
      <c r="GO45">
        <f t="shared" si="63"/>
        <v>0</v>
      </c>
      <c r="GP45">
        <f t="shared" si="64"/>
        <v>-1156.79</v>
      </c>
      <c r="GR45">
        <v>0</v>
      </c>
      <c r="GS45">
        <v>3</v>
      </c>
      <c r="GT45">
        <v>0</v>
      </c>
      <c r="GU45" t="s">
        <v>3</v>
      </c>
      <c r="GV45">
        <f t="shared" si="65"/>
        <v>0</v>
      </c>
      <c r="GW45">
        <v>1</v>
      </c>
      <c r="GX45">
        <f t="shared" si="66"/>
        <v>0</v>
      </c>
      <c r="HA45">
        <v>0</v>
      </c>
      <c r="HB45">
        <v>0</v>
      </c>
      <c r="HC45">
        <f t="shared" si="67"/>
        <v>0</v>
      </c>
      <c r="HE45" t="s">
        <v>3</v>
      </c>
      <c r="HF45" t="s">
        <v>3</v>
      </c>
      <c r="HM45" t="s">
        <v>3</v>
      </c>
      <c r="HN45" t="s">
        <v>3</v>
      </c>
      <c r="HO45" t="s">
        <v>3</v>
      </c>
      <c r="HP45" t="s">
        <v>3</v>
      </c>
      <c r="HQ45" t="s">
        <v>3</v>
      </c>
      <c r="IK45">
        <v>0</v>
      </c>
    </row>
    <row r="46" spans="1:245" x14ac:dyDescent="0.2">
      <c r="A46">
        <v>17</v>
      </c>
      <c r="B46">
        <v>1</v>
      </c>
      <c r="C46">
        <f>ROW(SmtRes!A41)</f>
        <v>41</v>
      </c>
      <c r="D46">
        <f>ROW(EtalonRes!A38)</f>
        <v>38</v>
      </c>
      <c r="E46" t="s">
        <v>82</v>
      </c>
      <c r="F46" t="s">
        <v>83</v>
      </c>
      <c r="G46" t="s">
        <v>84</v>
      </c>
      <c r="H46" t="s">
        <v>46</v>
      </c>
      <c r="I46">
        <f>ROUND(55/100,9)</f>
        <v>0.55000000000000004</v>
      </c>
      <c r="J46">
        <v>0</v>
      </c>
      <c r="K46">
        <f>ROUND(55/100,9)</f>
        <v>0.55000000000000004</v>
      </c>
      <c r="O46">
        <f t="shared" si="28"/>
        <v>88660.12</v>
      </c>
      <c r="P46">
        <f t="shared" si="29"/>
        <v>72826.61</v>
      </c>
      <c r="Q46">
        <f t="shared" si="30"/>
        <v>234.05</v>
      </c>
      <c r="R46">
        <f t="shared" si="31"/>
        <v>1.1399999999999999</v>
      </c>
      <c r="S46">
        <f t="shared" si="32"/>
        <v>15599.46</v>
      </c>
      <c r="T46">
        <f t="shared" si="33"/>
        <v>0</v>
      </c>
      <c r="U46">
        <f t="shared" si="34"/>
        <v>33.022000000000006</v>
      </c>
      <c r="V46">
        <f t="shared" si="35"/>
        <v>0</v>
      </c>
      <c r="W46">
        <f t="shared" si="36"/>
        <v>0</v>
      </c>
      <c r="X46">
        <f t="shared" si="37"/>
        <v>10919.62</v>
      </c>
      <c r="Y46">
        <f t="shared" si="38"/>
        <v>1559.95</v>
      </c>
      <c r="AA46">
        <v>75703208</v>
      </c>
      <c r="AB46">
        <f t="shared" si="39"/>
        <v>161200.22</v>
      </c>
      <c r="AC46">
        <f t="shared" si="40"/>
        <v>132412.01999999999</v>
      </c>
      <c r="AD46">
        <f t="shared" si="41"/>
        <v>425.55</v>
      </c>
      <c r="AE46">
        <f t="shared" si="42"/>
        <v>2.0699999999999998</v>
      </c>
      <c r="AF46">
        <f t="shared" si="43"/>
        <v>28362.65</v>
      </c>
      <c r="AG46">
        <f t="shared" si="44"/>
        <v>0</v>
      </c>
      <c r="AH46">
        <f t="shared" si="45"/>
        <v>60.04</v>
      </c>
      <c r="AI46">
        <f t="shared" si="46"/>
        <v>0</v>
      </c>
      <c r="AJ46">
        <f t="shared" si="47"/>
        <v>0</v>
      </c>
      <c r="AK46">
        <v>161200.22</v>
      </c>
      <c r="AL46">
        <v>132412.01999999999</v>
      </c>
      <c r="AM46">
        <v>425.55</v>
      </c>
      <c r="AN46">
        <v>2.0699999999999998</v>
      </c>
      <c r="AO46">
        <v>28362.65</v>
      </c>
      <c r="AP46">
        <v>0</v>
      </c>
      <c r="AQ46">
        <v>60.04</v>
      </c>
      <c r="AR46">
        <v>0</v>
      </c>
      <c r="AS46">
        <v>0</v>
      </c>
      <c r="AT46">
        <v>70</v>
      </c>
      <c r="AU46">
        <v>10</v>
      </c>
      <c r="AV46">
        <v>1</v>
      </c>
      <c r="AW46">
        <v>1</v>
      </c>
      <c r="AZ46">
        <v>1</v>
      </c>
      <c r="BA46">
        <v>1</v>
      </c>
      <c r="BB46">
        <v>1</v>
      </c>
      <c r="BC46">
        <v>1</v>
      </c>
      <c r="BD46" t="s">
        <v>3</v>
      </c>
      <c r="BE46" t="s">
        <v>3</v>
      </c>
      <c r="BF46" t="s">
        <v>3</v>
      </c>
      <c r="BG46" t="s">
        <v>3</v>
      </c>
      <c r="BH46">
        <v>0</v>
      </c>
      <c r="BI46">
        <v>4</v>
      </c>
      <c r="BJ46" t="s">
        <v>85</v>
      </c>
      <c r="BM46">
        <v>0</v>
      </c>
      <c r="BN46">
        <v>75371441</v>
      </c>
      <c r="BO46" t="s">
        <v>3</v>
      </c>
      <c r="BP46">
        <v>0</v>
      </c>
      <c r="BQ46">
        <v>1</v>
      </c>
      <c r="BR46">
        <v>0</v>
      </c>
      <c r="BS46">
        <v>1</v>
      </c>
      <c r="BT46">
        <v>1</v>
      </c>
      <c r="BU46">
        <v>1</v>
      </c>
      <c r="BV46">
        <v>1</v>
      </c>
      <c r="BW46">
        <v>1</v>
      </c>
      <c r="BX46">
        <v>1</v>
      </c>
      <c r="BY46" t="s">
        <v>3</v>
      </c>
      <c r="BZ46">
        <v>70</v>
      </c>
      <c r="CA46">
        <v>10</v>
      </c>
      <c r="CB46" t="s">
        <v>3</v>
      </c>
      <c r="CE46">
        <v>0</v>
      </c>
      <c r="CF46">
        <v>0</v>
      </c>
      <c r="CG46">
        <v>0</v>
      </c>
      <c r="CM46">
        <v>0</v>
      </c>
      <c r="CN46" t="s">
        <v>3</v>
      </c>
      <c r="CO46">
        <v>0</v>
      </c>
      <c r="CP46">
        <f t="shared" si="48"/>
        <v>88660.12</v>
      </c>
      <c r="CQ46">
        <f t="shared" si="49"/>
        <v>132412.01999999999</v>
      </c>
      <c r="CR46">
        <f t="shared" si="50"/>
        <v>425.55</v>
      </c>
      <c r="CS46">
        <f t="shared" si="51"/>
        <v>2.0699999999999998</v>
      </c>
      <c r="CT46">
        <f t="shared" si="52"/>
        <v>28362.65</v>
      </c>
      <c r="CU46">
        <f t="shared" si="53"/>
        <v>0</v>
      </c>
      <c r="CV46">
        <f t="shared" si="54"/>
        <v>60.04</v>
      </c>
      <c r="CW46">
        <f t="shared" si="55"/>
        <v>0</v>
      </c>
      <c r="CX46">
        <f t="shared" si="56"/>
        <v>0</v>
      </c>
      <c r="CY46">
        <f t="shared" si="57"/>
        <v>10919.621999999999</v>
      </c>
      <c r="CZ46">
        <f t="shared" si="58"/>
        <v>1559.9459999999997</v>
      </c>
      <c r="DC46" t="s">
        <v>3</v>
      </c>
      <c r="DD46" t="s">
        <v>3</v>
      </c>
      <c r="DE46" t="s">
        <v>3</v>
      </c>
      <c r="DF46" t="s">
        <v>3</v>
      </c>
      <c r="DG46" t="s">
        <v>3</v>
      </c>
      <c r="DH46" t="s">
        <v>3</v>
      </c>
      <c r="DI46" t="s">
        <v>3</v>
      </c>
      <c r="DJ46" t="s">
        <v>3</v>
      </c>
      <c r="DK46" t="s">
        <v>3</v>
      </c>
      <c r="DL46" t="s">
        <v>3</v>
      </c>
      <c r="DM46" t="s">
        <v>3</v>
      </c>
      <c r="DN46">
        <v>0</v>
      </c>
      <c r="DO46">
        <v>0</v>
      </c>
      <c r="DP46">
        <v>1</v>
      </c>
      <c r="DQ46">
        <v>1</v>
      </c>
      <c r="DU46">
        <v>1005</v>
      </c>
      <c r="DV46" t="s">
        <v>46</v>
      </c>
      <c r="DW46" t="s">
        <v>46</v>
      </c>
      <c r="DX46">
        <v>100</v>
      </c>
      <c r="DZ46" t="s">
        <v>3</v>
      </c>
      <c r="EA46" t="s">
        <v>3</v>
      </c>
      <c r="EB46" t="s">
        <v>3</v>
      </c>
      <c r="EC46" t="s">
        <v>3</v>
      </c>
      <c r="EE46">
        <v>75371444</v>
      </c>
      <c r="EF46">
        <v>1</v>
      </c>
      <c r="EG46" t="s">
        <v>22</v>
      </c>
      <c r="EH46">
        <v>0</v>
      </c>
      <c r="EI46" t="s">
        <v>3</v>
      </c>
      <c r="EJ46">
        <v>4</v>
      </c>
      <c r="EK46">
        <v>0</v>
      </c>
      <c r="EL46" t="s">
        <v>23</v>
      </c>
      <c r="EM46" t="s">
        <v>24</v>
      </c>
      <c r="EO46" t="s">
        <v>3</v>
      </c>
      <c r="EQ46">
        <v>0</v>
      </c>
      <c r="ER46">
        <v>161200.22</v>
      </c>
      <c r="ES46">
        <v>132412.01999999999</v>
      </c>
      <c r="ET46">
        <v>425.55</v>
      </c>
      <c r="EU46">
        <v>2.0699999999999998</v>
      </c>
      <c r="EV46">
        <v>28362.65</v>
      </c>
      <c r="EW46">
        <v>60.04</v>
      </c>
      <c r="EX46">
        <v>0</v>
      </c>
      <c r="EY46">
        <v>0</v>
      </c>
      <c r="FQ46">
        <v>0</v>
      </c>
      <c r="FR46">
        <f t="shared" si="59"/>
        <v>0</v>
      </c>
      <c r="FS46">
        <v>0</v>
      </c>
      <c r="FX46">
        <v>70</v>
      </c>
      <c r="FY46">
        <v>10</v>
      </c>
      <c r="GA46" t="s">
        <v>3</v>
      </c>
      <c r="GD46">
        <v>0</v>
      </c>
      <c r="GF46">
        <v>726381480</v>
      </c>
      <c r="GG46">
        <v>2</v>
      </c>
      <c r="GH46">
        <v>1</v>
      </c>
      <c r="GI46">
        <v>-2</v>
      </c>
      <c r="GJ46">
        <v>0</v>
      </c>
      <c r="GK46">
        <f>ROUND(R46*(R12)/100,2)</f>
        <v>1.23</v>
      </c>
      <c r="GL46">
        <f t="shared" si="60"/>
        <v>0</v>
      </c>
      <c r="GM46">
        <f t="shared" si="61"/>
        <v>101140.92</v>
      </c>
      <c r="GN46">
        <f t="shared" si="62"/>
        <v>0</v>
      </c>
      <c r="GO46">
        <f t="shared" si="63"/>
        <v>0</v>
      </c>
      <c r="GP46">
        <f t="shared" si="64"/>
        <v>101140.92</v>
      </c>
      <c r="GR46">
        <v>0</v>
      </c>
      <c r="GS46">
        <v>3</v>
      </c>
      <c r="GT46">
        <v>0</v>
      </c>
      <c r="GU46" t="s">
        <v>3</v>
      </c>
      <c r="GV46">
        <f t="shared" si="65"/>
        <v>0</v>
      </c>
      <c r="GW46">
        <v>1</v>
      </c>
      <c r="GX46">
        <f t="shared" si="66"/>
        <v>0</v>
      </c>
      <c r="HA46">
        <v>0</v>
      </c>
      <c r="HB46">
        <v>0</v>
      </c>
      <c r="HC46">
        <f t="shared" si="67"/>
        <v>0</v>
      </c>
      <c r="HE46" t="s">
        <v>3</v>
      </c>
      <c r="HF46" t="s">
        <v>3</v>
      </c>
      <c r="HM46" t="s">
        <v>3</v>
      </c>
      <c r="HN46" t="s">
        <v>3</v>
      </c>
      <c r="HO46" t="s">
        <v>3</v>
      </c>
      <c r="HP46" t="s">
        <v>3</v>
      </c>
      <c r="HQ46" t="s">
        <v>3</v>
      </c>
      <c r="IK46">
        <v>0</v>
      </c>
    </row>
    <row r="48" spans="1:245" x14ac:dyDescent="0.2">
      <c r="A48" s="2">
        <v>51</v>
      </c>
      <c r="B48" s="2">
        <f>B28</f>
        <v>1</v>
      </c>
      <c r="C48" s="2">
        <f>A28</f>
        <v>5</v>
      </c>
      <c r="D48" s="2">
        <f>ROW(A28)</f>
        <v>28</v>
      </c>
      <c r="E48" s="2"/>
      <c r="F48" s="2" t="str">
        <f>IF(F28&lt;&gt;"",F28,"")</f>
        <v>Новый подраздел</v>
      </c>
      <c r="G48" s="2" t="str">
        <f>IF(G28&lt;&gt;"",G28,"")</f>
        <v>Полы</v>
      </c>
      <c r="H48" s="2">
        <v>0</v>
      </c>
      <c r="I48" s="2"/>
      <c r="J48" s="2"/>
      <c r="K48" s="2"/>
      <c r="L48" s="2"/>
      <c r="M48" s="2"/>
      <c r="N48" s="2"/>
      <c r="O48" s="2">
        <f t="shared" ref="O48:T48" si="68">ROUND(AB48,2)</f>
        <v>147333.88</v>
      </c>
      <c r="P48" s="2">
        <f t="shared" si="68"/>
        <v>109561.61</v>
      </c>
      <c r="Q48" s="2">
        <f t="shared" si="68"/>
        <v>573.48</v>
      </c>
      <c r="R48" s="2">
        <f t="shared" si="68"/>
        <v>17.059999999999999</v>
      </c>
      <c r="S48" s="2">
        <f t="shared" si="68"/>
        <v>37198.79</v>
      </c>
      <c r="T48" s="2">
        <f t="shared" si="68"/>
        <v>0</v>
      </c>
      <c r="U48" s="2">
        <f>AH48</f>
        <v>80.787249000000003</v>
      </c>
      <c r="V48" s="2">
        <f>AI48</f>
        <v>0</v>
      </c>
      <c r="W48" s="2">
        <f>ROUND(AJ48,2)</f>
        <v>0</v>
      </c>
      <c r="X48" s="2">
        <f>ROUND(AK48,2)</f>
        <v>26039.14</v>
      </c>
      <c r="Y48" s="2">
        <f>ROUND(AL48,2)</f>
        <v>3719.88</v>
      </c>
      <c r="Z48" s="2"/>
      <c r="AA48" s="2"/>
      <c r="AB48" s="2">
        <f>ROUND(SUMIF(AA32:AA46,"=75703208",O32:O46),2)</f>
        <v>147333.88</v>
      </c>
      <c r="AC48" s="2">
        <f>ROUND(SUMIF(AA32:AA46,"=75703208",P32:P46),2)</f>
        <v>109561.61</v>
      </c>
      <c r="AD48" s="2">
        <f>ROUND(SUMIF(AA32:AA46,"=75703208",Q32:Q46),2)</f>
        <v>573.48</v>
      </c>
      <c r="AE48" s="2">
        <f>ROUND(SUMIF(AA32:AA46,"=75703208",R32:R46),2)</f>
        <v>17.059999999999999</v>
      </c>
      <c r="AF48" s="2">
        <f>ROUND(SUMIF(AA32:AA46,"=75703208",S32:S46),2)</f>
        <v>37198.79</v>
      </c>
      <c r="AG48" s="2">
        <f>ROUND(SUMIF(AA32:AA46,"=75703208",T32:T46),2)</f>
        <v>0</v>
      </c>
      <c r="AH48" s="2">
        <f>SUMIF(AA32:AA46,"=75703208",U32:U46)</f>
        <v>80.787249000000003</v>
      </c>
      <c r="AI48" s="2">
        <f>SUMIF(AA32:AA46,"=75703208",V32:V46)</f>
        <v>0</v>
      </c>
      <c r="AJ48" s="2">
        <f>ROUND(SUMIF(AA32:AA46,"=75703208",W32:W46),2)</f>
        <v>0</v>
      </c>
      <c r="AK48" s="2">
        <f>ROUND(SUMIF(AA32:AA46,"=75703208",X32:X46),2)</f>
        <v>26039.14</v>
      </c>
      <c r="AL48" s="2">
        <f>ROUND(SUMIF(AA32:AA46,"=75703208",Y32:Y46),2)</f>
        <v>3719.88</v>
      </c>
      <c r="AM48" s="2"/>
      <c r="AN48" s="2"/>
      <c r="AO48" s="2">
        <f t="shared" ref="AO48:BD48" si="69">ROUND(BX48,2)</f>
        <v>0</v>
      </c>
      <c r="AP48" s="2">
        <f t="shared" si="69"/>
        <v>0</v>
      </c>
      <c r="AQ48" s="2">
        <f t="shared" si="69"/>
        <v>0</v>
      </c>
      <c r="AR48" s="2">
        <f t="shared" si="69"/>
        <v>177111.33</v>
      </c>
      <c r="AS48" s="2">
        <f t="shared" si="69"/>
        <v>0</v>
      </c>
      <c r="AT48" s="2">
        <f t="shared" si="69"/>
        <v>0</v>
      </c>
      <c r="AU48" s="2">
        <f t="shared" si="69"/>
        <v>177111.33</v>
      </c>
      <c r="AV48" s="2">
        <f t="shared" si="69"/>
        <v>109561.61</v>
      </c>
      <c r="AW48" s="2">
        <f t="shared" si="69"/>
        <v>109561.61</v>
      </c>
      <c r="AX48" s="2">
        <f t="shared" si="69"/>
        <v>0</v>
      </c>
      <c r="AY48" s="2">
        <f t="shared" si="69"/>
        <v>109561.61</v>
      </c>
      <c r="AZ48" s="2">
        <f t="shared" si="69"/>
        <v>0</v>
      </c>
      <c r="BA48" s="2">
        <f t="shared" si="69"/>
        <v>0</v>
      </c>
      <c r="BB48" s="2">
        <f t="shared" si="69"/>
        <v>0</v>
      </c>
      <c r="BC48" s="2">
        <f t="shared" si="69"/>
        <v>0</v>
      </c>
      <c r="BD48" s="2">
        <f t="shared" si="69"/>
        <v>0</v>
      </c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>
        <f>ROUND(SUMIF(AA32:AA46,"=75703208",FQ32:FQ46),2)</f>
        <v>0</v>
      </c>
      <c r="BY48" s="2">
        <f>ROUND(SUMIF(AA32:AA46,"=75703208",FR32:FR46),2)</f>
        <v>0</v>
      </c>
      <c r="BZ48" s="2">
        <f>ROUND(SUMIF(AA32:AA46,"=75703208",GL32:GL46),2)</f>
        <v>0</v>
      </c>
      <c r="CA48" s="2">
        <f>ROUND(SUMIF(AA32:AA46,"=75703208",GM32:GM46),2)</f>
        <v>177111.33</v>
      </c>
      <c r="CB48" s="2">
        <f>ROUND(SUMIF(AA32:AA46,"=75703208",GN32:GN46),2)</f>
        <v>0</v>
      </c>
      <c r="CC48" s="2">
        <f>ROUND(SUMIF(AA32:AA46,"=75703208",GO32:GO46),2)</f>
        <v>0</v>
      </c>
      <c r="CD48" s="2">
        <f>ROUND(SUMIF(AA32:AA46,"=75703208",GP32:GP46),2)</f>
        <v>177111.33</v>
      </c>
      <c r="CE48" s="2">
        <f>AC48-BX48</f>
        <v>109561.61</v>
      </c>
      <c r="CF48" s="2">
        <f>AC48-BY48</f>
        <v>109561.61</v>
      </c>
      <c r="CG48" s="2">
        <f>BX48-BZ48</f>
        <v>0</v>
      </c>
      <c r="CH48" s="2">
        <f>AC48-BX48-BY48+BZ48</f>
        <v>109561.61</v>
      </c>
      <c r="CI48" s="2">
        <f>BY48-BZ48</f>
        <v>0</v>
      </c>
      <c r="CJ48" s="2">
        <f>ROUND(SUMIF(AA32:AA46,"=75703208",GX32:GX46),2)</f>
        <v>0</v>
      </c>
      <c r="CK48" s="2">
        <f>ROUND(SUMIF(AA32:AA46,"=75703208",GY32:GY46),2)</f>
        <v>0</v>
      </c>
      <c r="CL48" s="2">
        <f>ROUND(SUMIF(AA32:AA46,"=75703208",GZ32:GZ46),2)</f>
        <v>0</v>
      </c>
      <c r="CM48" s="2">
        <f>ROUND(SUMIF(AA32:AA46,"=75703208",HD32:HD46),2)</f>
        <v>0</v>
      </c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  <c r="GB48" s="3"/>
      <c r="GC48" s="3"/>
      <c r="GD48" s="3"/>
      <c r="GE48" s="3"/>
      <c r="GF48" s="3"/>
      <c r="GG48" s="3"/>
      <c r="GH48" s="3"/>
      <c r="GI48" s="3"/>
      <c r="GJ48" s="3"/>
      <c r="GK48" s="3"/>
      <c r="GL48" s="3"/>
      <c r="GM48" s="3"/>
      <c r="GN48" s="3"/>
      <c r="GO48" s="3"/>
      <c r="GP48" s="3"/>
      <c r="GQ48" s="3"/>
      <c r="GR48" s="3"/>
      <c r="GS48" s="3"/>
      <c r="GT48" s="3"/>
      <c r="GU48" s="3"/>
      <c r="GV48" s="3"/>
      <c r="GW48" s="3"/>
      <c r="GX48" s="3">
        <v>0</v>
      </c>
    </row>
    <row r="50" spans="1:28" x14ac:dyDescent="0.2">
      <c r="A50" s="4">
        <v>50</v>
      </c>
      <c r="B50" s="4">
        <v>0</v>
      </c>
      <c r="C50" s="4">
        <v>0</v>
      </c>
      <c r="D50" s="4">
        <v>1</v>
      </c>
      <c r="E50" s="4">
        <v>201</v>
      </c>
      <c r="F50" s="4">
        <f>ROUND(Source!O48,O50)</f>
        <v>147333.88</v>
      </c>
      <c r="G50" s="4" t="s">
        <v>86</v>
      </c>
      <c r="H50" s="4" t="s">
        <v>87</v>
      </c>
      <c r="I50" s="4"/>
      <c r="J50" s="4"/>
      <c r="K50" s="4">
        <v>201</v>
      </c>
      <c r="L50" s="4">
        <v>1</v>
      </c>
      <c r="M50" s="4">
        <v>3</v>
      </c>
      <c r="N50" s="4" t="s">
        <v>3</v>
      </c>
      <c r="O50" s="4">
        <v>2</v>
      </c>
      <c r="P50" s="4"/>
      <c r="Q50" s="4"/>
      <c r="R50" s="4"/>
      <c r="S50" s="4"/>
      <c r="T50" s="4"/>
      <c r="U50" s="4"/>
      <c r="V50" s="4"/>
      <c r="W50" s="4">
        <v>147333.88</v>
      </c>
      <c r="X50" s="4">
        <v>1</v>
      </c>
      <c r="Y50" s="4">
        <v>147333.88</v>
      </c>
      <c r="Z50" s="4"/>
      <c r="AA50" s="4"/>
      <c r="AB50" s="4"/>
    </row>
    <row r="51" spans="1:28" x14ac:dyDescent="0.2">
      <c r="A51" s="4">
        <v>50</v>
      </c>
      <c r="B51" s="4">
        <v>0</v>
      </c>
      <c r="C51" s="4">
        <v>0</v>
      </c>
      <c r="D51" s="4">
        <v>1</v>
      </c>
      <c r="E51" s="4">
        <v>202</v>
      </c>
      <c r="F51" s="4">
        <f>ROUND(Source!P48,O51)</f>
        <v>109561.61</v>
      </c>
      <c r="G51" s="4" t="s">
        <v>88</v>
      </c>
      <c r="H51" s="4" t="s">
        <v>89</v>
      </c>
      <c r="I51" s="4"/>
      <c r="J51" s="4"/>
      <c r="K51" s="4">
        <v>202</v>
      </c>
      <c r="L51" s="4">
        <v>2</v>
      </c>
      <c r="M51" s="4">
        <v>3</v>
      </c>
      <c r="N51" s="4" t="s">
        <v>3</v>
      </c>
      <c r="O51" s="4">
        <v>2</v>
      </c>
      <c r="P51" s="4"/>
      <c r="Q51" s="4"/>
      <c r="R51" s="4"/>
      <c r="S51" s="4"/>
      <c r="T51" s="4"/>
      <c r="U51" s="4"/>
      <c r="V51" s="4"/>
      <c r="W51" s="4">
        <v>109561.61</v>
      </c>
      <c r="X51" s="4">
        <v>1</v>
      </c>
      <c r="Y51" s="4">
        <v>109561.61</v>
      </c>
      <c r="Z51" s="4"/>
      <c r="AA51" s="4"/>
      <c r="AB51" s="4"/>
    </row>
    <row r="52" spans="1:28" x14ac:dyDescent="0.2">
      <c r="A52" s="4">
        <v>50</v>
      </c>
      <c r="B52" s="4">
        <v>0</v>
      </c>
      <c r="C52" s="4">
        <v>0</v>
      </c>
      <c r="D52" s="4">
        <v>1</v>
      </c>
      <c r="E52" s="4">
        <v>222</v>
      </c>
      <c r="F52" s="4">
        <f>ROUND(Source!AO48,O52)</f>
        <v>0</v>
      </c>
      <c r="G52" s="4" t="s">
        <v>90</v>
      </c>
      <c r="H52" s="4" t="s">
        <v>91</v>
      </c>
      <c r="I52" s="4"/>
      <c r="J52" s="4"/>
      <c r="K52" s="4">
        <v>222</v>
      </c>
      <c r="L52" s="4">
        <v>3</v>
      </c>
      <c r="M52" s="4">
        <v>3</v>
      </c>
      <c r="N52" s="4" t="s">
        <v>3</v>
      </c>
      <c r="O52" s="4">
        <v>2</v>
      </c>
      <c r="P52" s="4"/>
      <c r="Q52" s="4"/>
      <c r="R52" s="4"/>
      <c r="S52" s="4"/>
      <c r="T52" s="4"/>
      <c r="U52" s="4"/>
      <c r="V52" s="4"/>
      <c r="W52" s="4">
        <v>0</v>
      </c>
      <c r="X52" s="4">
        <v>1</v>
      </c>
      <c r="Y52" s="4">
        <v>0</v>
      </c>
      <c r="Z52" s="4"/>
      <c r="AA52" s="4"/>
      <c r="AB52" s="4"/>
    </row>
    <row r="53" spans="1:28" x14ac:dyDescent="0.2">
      <c r="A53" s="4">
        <v>50</v>
      </c>
      <c r="B53" s="4">
        <v>0</v>
      </c>
      <c r="C53" s="4">
        <v>0</v>
      </c>
      <c r="D53" s="4">
        <v>1</v>
      </c>
      <c r="E53" s="4">
        <v>225</v>
      </c>
      <c r="F53" s="4">
        <f>ROUND(Source!AV48,O53)</f>
        <v>109561.61</v>
      </c>
      <c r="G53" s="4" t="s">
        <v>92</v>
      </c>
      <c r="H53" s="4" t="s">
        <v>93</v>
      </c>
      <c r="I53" s="4"/>
      <c r="J53" s="4"/>
      <c r="K53" s="4">
        <v>225</v>
      </c>
      <c r="L53" s="4">
        <v>4</v>
      </c>
      <c r="M53" s="4">
        <v>3</v>
      </c>
      <c r="N53" s="4" t="s">
        <v>3</v>
      </c>
      <c r="O53" s="4">
        <v>2</v>
      </c>
      <c r="P53" s="4"/>
      <c r="Q53" s="4"/>
      <c r="R53" s="4"/>
      <c r="S53" s="4"/>
      <c r="T53" s="4"/>
      <c r="U53" s="4"/>
      <c r="V53" s="4"/>
      <c r="W53" s="4">
        <v>109561.61</v>
      </c>
      <c r="X53" s="4">
        <v>1</v>
      </c>
      <c r="Y53" s="4">
        <v>109561.61</v>
      </c>
      <c r="Z53" s="4"/>
      <c r="AA53" s="4"/>
      <c r="AB53" s="4"/>
    </row>
    <row r="54" spans="1:28" x14ac:dyDescent="0.2">
      <c r="A54" s="4">
        <v>50</v>
      </c>
      <c r="B54" s="4">
        <v>0</v>
      </c>
      <c r="C54" s="4">
        <v>0</v>
      </c>
      <c r="D54" s="4">
        <v>1</v>
      </c>
      <c r="E54" s="4">
        <v>226</v>
      </c>
      <c r="F54" s="4">
        <f>ROUND(Source!AW48,O54)</f>
        <v>109561.61</v>
      </c>
      <c r="G54" s="4" t="s">
        <v>94</v>
      </c>
      <c r="H54" s="4" t="s">
        <v>95</v>
      </c>
      <c r="I54" s="4"/>
      <c r="J54" s="4"/>
      <c r="K54" s="4">
        <v>226</v>
      </c>
      <c r="L54" s="4">
        <v>5</v>
      </c>
      <c r="M54" s="4">
        <v>3</v>
      </c>
      <c r="N54" s="4" t="s">
        <v>3</v>
      </c>
      <c r="O54" s="4">
        <v>2</v>
      </c>
      <c r="P54" s="4"/>
      <c r="Q54" s="4"/>
      <c r="R54" s="4"/>
      <c r="S54" s="4"/>
      <c r="T54" s="4"/>
      <c r="U54" s="4"/>
      <c r="V54" s="4"/>
      <c r="W54" s="4">
        <v>109561.61</v>
      </c>
      <c r="X54" s="4">
        <v>1</v>
      </c>
      <c r="Y54" s="4">
        <v>109561.61</v>
      </c>
      <c r="Z54" s="4"/>
      <c r="AA54" s="4"/>
      <c r="AB54" s="4"/>
    </row>
    <row r="55" spans="1:28" x14ac:dyDescent="0.2">
      <c r="A55" s="4">
        <v>50</v>
      </c>
      <c r="B55" s="4">
        <v>0</v>
      </c>
      <c r="C55" s="4">
        <v>0</v>
      </c>
      <c r="D55" s="4">
        <v>1</v>
      </c>
      <c r="E55" s="4">
        <v>227</v>
      </c>
      <c r="F55" s="4">
        <f>ROUND(Source!AX48,O55)</f>
        <v>0</v>
      </c>
      <c r="G55" s="4" t="s">
        <v>96</v>
      </c>
      <c r="H55" s="4" t="s">
        <v>97</v>
      </c>
      <c r="I55" s="4"/>
      <c r="J55" s="4"/>
      <c r="K55" s="4">
        <v>227</v>
      </c>
      <c r="L55" s="4">
        <v>6</v>
      </c>
      <c r="M55" s="4">
        <v>3</v>
      </c>
      <c r="N55" s="4" t="s">
        <v>3</v>
      </c>
      <c r="O55" s="4">
        <v>2</v>
      </c>
      <c r="P55" s="4"/>
      <c r="Q55" s="4"/>
      <c r="R55" s="4"/>
      <c r="S55" s="4"/>
      <c r="T55" s="4"/>
      <c r="U55" s="4"/>
      <c r="V55" s="4"/>
      <c r="W55" s="4">
        <v>0</v>
      </c>
      <c r="X55" s="4">
        <v>1</v>
      </c>
      <c r="Y55" s="4">
        <v>0</v>
      </c>
      <c r="Z55" s="4"/>
      <c r="AA55" s="4"/>
      <c r="AB55" s="4"/>
    </row>
    <row r="56" spans="1:28" x14ac:dyDescent="0.2">
      <c r="A56" s="4">
        <v>50</v>
      </c>
      <c r="B56" s="4">
        <v>0</v>
      </c>
      <c r="C56" s="4">
        <v>0</v>
      </c>
      <c r="D56" s="4">
        <v>1</v>
      </c>
      <c r="E56" s="4">
        <v>228</v>
      </c>
      <c r="F56" s="4">
        <f>ROUND(Source!AY48,O56)</f>
        <v>109561.61</v>
      </c>
      <c r="G56" s="4" t="s">
        <v>98</v>
      </c>
      <c r="H56" s="4" t="s">
        <v>99</v>
      </c>
      <c r="I56" s="4"/>
      <c r="J56" s="4"/>
      <c r="K56" s="4">
        <v>228</v>
      </c>
      <c r="L56" s="4">
        <v>7</v>
      </c>
      <c r="M56" s="4">
        <v>3</v>
      </c>
      <c r="N56" s="4" t="s">
        <v>3</v>
      </c>
      <c r="O56" s="4">
        <v>2</v>
      </c>
      <c r="P56" s="4"/>
      <c r="Q56" s="4"/>
      <c r="R56" s="4"/>
      <c r="S56" s="4"/>
      <c r="T56" s="4"/>
      <c r="U56" s="4"/>
      <c r="V56" s="4"/>
      <c r="W56" s="4">
        <v>109561.61</v>
      </c>
      <c r="X56" s="4">
        <v>1</v>
      </c>
      <c r="Y56" s="4">
        <v>109561.61</v>
      </c>
      <c r="Z56" s="4"/>
      <c r="AA56" s="4"/>
      <c r="AB56" s="4"/>
    </row>
    <row r="57" spans="1:28" x14ac:dyDescent="0.2">
      <c r="A57" s="4">
        <v>50</v>
      </c>
      <c r="B57" s="4">
        <v>0</v>
      </c>
      <c r="C57" s="4">
        <v>0</v>
      </c>
      <c r="D57" s="4">
        <v>1</v>
      </c>
      <c r="E57" s="4">
        <v>216</v>
      </c>
      <c r="F57" s="4">
        <f>ROUND(Source!AP48,O57)</f>
        <v>0</v>
      </c>
      <c r="G57" s="4" t="s">
        <v>100</v>
      </c>
      <c r="H57" s="4" t="s">
        <v>101</v>
      </c>
      <c r="I57" s="4"/>
      <c r="J57" s="4"/>
      <c r="K57" s="4">
        <v>216</v>
      </c>
      <c r="L57" s="4">
        <v>8</v>
      </c>
      <c r="M57" s="4">
        <v>3</v>
      </c>
      <c r="N57" s="4" t="s">
        <v>3</v>
      </c>
      <c r="O57" s="4">
        <v>2</v>
      </c>
      <c r="P57" s="4"/>
      <c r="Q57" s="4"/>
      <c r="R57" s="4"/>
      <c r="S57" s="4"/>
      <c r="T57" s="4"/>
      <c r="U57" s="4"/>
      <c r="V57" s="4"/>
      <c r="W57" s="4">
        <v>0</v>
      </c>
      <c r="X57" s="4">
        <v>1</v>
      </c>
      <c r="Y57" s="4">
        <v>0</v>
      </c>
      <c r="Z57" s="4"/>
      <c r="AA57" s="4"/>
      <c r="AB57" s="4"/>
    </row>
    <row r="58" spans="1:28" x14ac:dyDescent="0.2">
      <c r="A58" s="4">
        <v>50</v>
      </c>
      <c r="B58" s="4">
        <v>0</v>
      </c>
      <c r="C58" s="4">
        <v>0</v>
      </c>
      <c r="D58" s="4">
        <v>1</v>
      </c>
      <c r="E58" s="4">
        <v>223</v>
      </c>
      <c r="F58" s="4">
        <f>ROUND(Source!AQ48,O58)</f>
        <v>0</v>
      </c>
      <c r="G58" s="4" t="s">
        <v>102</v>
      </c>
      <c r="H58" s="4" t="s">
        <v>103</v>
      </c>
      <c r="I58" s="4"/>
      <c r="J58" s="4"/>
      <c r="K58" s="4">
        <v>223</v>
      </c>
      <c r="L58" s="4">
        <v>9</v>
      </c>
      <c r="M58" s="4">
        <v>3</v>
      </c>
      <c r="N58" s="4" t="s">
        <v>3</v>
      </c>
      <c r="O58" s="4">
        <v>2</v>
      </c>
      <c r="P58" s="4"/>
      <c r="Q58" s="4"/>
      <c r="R58" s="4"/>
      <c r="S58" s="4"/>
      <c r="T58" s="4"/>
      <c r="U58" s="4"/>
      <c r="V58" s="4"/>
      <c r="W58" s="4">
        <v>0</v>
      </c>
      <c r="X58" s="4">
        <v>1</v>
      </c>
      <c r="Y58" s="4">
        <v>0</v>
      </c>
      <c r="Z58" s="4"/>
      <c r="AA58" s="4"/>
      <c r="AB58" s="4"/>
    </row>
    <row r="59" spans="1:28" x14ac:dyDescent="0.2">
      <c r="A59" s="4">
        <v>50</v>
      </c>
      <c r="B59" s="4">
        <v>0</v>
      </c>
      <c r="C59" s="4">
        <v>0</v>
      </c>
      <c r="D59" s="4">
        <v>1</v>
      </c>
      <c r="E59" s="4">
        <v>229</v>
      </c>
      <c r="F59" s="4">
        <f>ROUND(Source!AZ48,O59)</f>
        <v>0</v>
      </c>
      <c r="G59" s="4" t="s">
        <v>104</v>
      </c>
      <c r="H59" s="4" t="s">
        <v>105</v>
      </c>
      <c r="I59" s="4"/>
      <c r="J59" s="4"/>
      <c r="K59" s="4">
        <v>229</v>
      </c>
      <c r="L59" s="4">
        <v>10</v>
      </c>
      <c r="M59" s="4">
        <v>3</v>
      </c>
      <c r="N59" s="4" t="s">
        <v>3</v>
      </c>
      <c r="O59" s="4">
        <v>2</v>
      </c>
      <c r="P59" s="4"/>
      <c r="Q59" s="4"/>
      <c r="R59" s="4"/>
      <c r="S59" s="4"/>
      <c r="T59" s="4"/>
      <c r="U59" s="4"/>
      <c r="V59" s="4"/>
      <c r="W59" s="4">
        <v>0</v>
      </c>
      <c r="X59" s="4">
        <v>1</v>
      </c>
      <c r="Y59" s="4">
        <v>0</v>
      </c>
      <c r="Z59" s="4"/>
      <c r="AA59" s="4"/>
      <c r="AB59" s="4"/>
    </row>
    <row r="60" spans="1:28" x14ac:dyDescent="0.2">
      <c r="A60" s="4">
        <v>50</v>
      </c>
      <c r="B60" s="4">
        <v>0</v>
      </c>
      <c r="C60" s="4">
        <v>0</v>
      </c>
      <c r="D60" s="4">
        <v>1</v>
      </c>
      <c r="E60" s="4">
        <v>203</v>
      </c>
      <c r="F60" s="4">
        <f>ROUND(Source!Q48,O60)</f>
        <v>573.48</v>
      </c>
      <c r="G60" s="4" t="s">
        <v>106</v>
      </c>
      <c r="H60" s="4" t="s">
        <v>107</v>
      </c>
      <c r="I60" s="4"/>
      <c r="J60" s="4"/>
      <c r="K60" s="4">
        <v>203</v>
      </c>
      <c r="L60" s="4">
        <v>11</v>
      </c>
      <c r="M60" s="4">
        <v>3</v>
      </c>
      <c r="N60" s="4" t="s">
        <v>3</v>
      </c>
      <c r="O60" s="4">
        <v>2</v>
      </c>
      <c r="P60" s="4"/>
      <c r="Q60" s="4"/>
      <c r="R60" s="4"/>
      <c r="S60" s="4"/>
      <c r="T60" s="4"/>
      <c r="U60" s="4"/>
      <c r="V60" s="4"/>
      <c r="W60" s="4">
        <v>573.48</v>
      </c>
      <c r="X60" s="4">
        <v>1</v>
      </c>
      <c r="Y60" s="4">
        <v>573.48</v>
      </c>
      <c r="Z60" s="4"/>
      <c r="AA60" s="4"/>
      <c r="AB60" s="4"/>
    </row>
    <row r="61" spans="1:28" x14ac:dyDescent="0.2">
      <c r="A61" s="4">
        <v>50</v>
      </c>
      <c r="B61" s="4">
        <v>0</v>
      </c>
      <c r="C61" s="4">
        <v>0</v>
      </c>
      <c r="D61" s="4">
        <v>1</v>
      </c>
      <c r="E61" s="4">
        <v>231</v>
      </c>
      <c r="F61" s="4">
        <f>ROUND(Source!BB48,O61)</f>
        <v>0</v>
      </c>
      <c r="G61" s="4" t="s">
        <v>108</v>
      </c>
      <c r="H61" s="4" t="s">
        <v>109</v>
      </c>
      <c r="I61" s="4"/>
      <c r="J61" s="4"/>
      <c r="K61" s="4">
        <v>231</v>
      </c>
      <c r="L61" s="4">
        <v>12</v>
      </c>
      <c r="M61" s="4">
        <v>3</v>
      </c>
      <c r="N61" s="4" t="s">
        <v>3</v>
      </c>
      <c r="O61" s="4">
        <v>2</v>
      </c>
      <c r="P61" s="4"/>
      <c r="Q61" s="4"/>
      <c r="R61" s="4"/>
      <c r="S61" s="4"/>
      <c r="T61" s="4"/>
      <c r="U61" s="4"/>
      <c r="V61" s="4"/>
      <c r="W61" s="4">
        <v>0</v>
      </c>
      <c r="X61" s="4">
        <v>1</v>
      </c>
      <c r="Y61" s="4">
        <v>0</v>
      </c>
      <c r="Z61" s="4"/>
      <c r="AA61" s="4"/>
      <c r="AB61" s="4"/>
    </row>
    <row r="62" spans="1:28" x14ac:dyDescent="0.2">
      <c r="A62" s="4">
        <v>50</v>
      </c>
      <c r="B62" s="4">
        <v>0</v>
      </c>
      <c r="C62" s="4">
        <v>0</v>
      </c>
      <c r="D62" s="4">
        <v>1</v>
      </c>
      <c r="E62" s="4">
        <v>204</v>
      </c>
      <c r="F62" s="4">
        <f>ROUND(Source!R48,O62)</f>
        <v>17.059999999999999</v>
      </c>
      <c r="G62" s="4" t="s">
        <v>110</v>
      </c>
      <c r="H62" s="4" t="s">
        <v>111</v>
      </c>
      <c r="I62" s="4"/>
      <c r="J62" s="4"/>
      <c r="K62" s="4">
        <v>204</v>
      </c>
      <c r="L62" s="4">
        <v>13</v>
      </c>
      <c r="M62" s="4">
        <v>3</v>
      </c>
      <c r="N62" s="4" t="s">
        <v>3</v>
      </c>
      <c r="O62" s="4">
        <v>2</v>
      </c>
      <c r="P62" s="4"/>
      <c r="Q62" s="4"/>
      <c r="R62" s="4"/>
      <c r="S62" s="4"/>
      <c r="T62" s="4"/>
      <c r="U62" s="4"/>
      <c r="V62" s="4"/>
      <c r="W62" s="4">
        <v>17.059999999999999</v>
      </c>
      <c r="X62" s="4">
        <v>1</v>
      </c>
      <c r="Y62" s="4">
        <v>17.059999999999999</v>
      </c>
      <c r="Z62" s="4"/>
      <c r="AA62" s="4"/>
      <c r="AB62" s="4"/>
    </row>
    <row r="63" spans="1:28" x14ac:dyDescent="0.2">
      <c r="A63" s="4">
        <v>50</v>
      </c>
      <c r="B63" s="4">
        <v>0</v>
      </c>
      <c r="C63" s="4">
        <v>0</v>
      </c>
      <c r="D63" s="4">
        <v>1</v>
      </c>
      <c r="E63" s="4">
        <v>205</v>
      </c>
      <c r="F63" s="4">
        <f>ROUND(Source!S48,O63)</f>
        <v>37198.79</v>
      </c>
      <c r="G63" s="4" t="s">
        <v>112</v>
      </c>
      <c r="H63" s="4" t="s">
        <v>113</v>
      </c>
      <c r="I63" s="4"/>
      <c r="J63" s="4"/>
      <c r="K63" s="4">
        <v>205</v>
      </c>
      <c r="L63" s="4">
        <v>14</v>
      </c>
      <c r="M63" s="4">
        <v>3</v>
      </c>
      <c r="N63" s="4" t="s">
        <v>3</v>
      </c>
      <c r="O63" s="4">
        <v>2</v>
      </c>
      <c r="P63" s="4"/>
      <c r="Q63" s="4"/>
      <c r="R63" s="4"/>
      <c r="S63" s="4"/>
      <c r="T63" s="4"/>
      <c r="U63" s="4"/>
      <c r="V63" s="4"/>
      <c r="W63" s="4">
        <v>37198.79</v>
      </c>
      <c r="X63" s="4">
        <v>1</v>
      </c>
      <c r="Y63" s="4">
        <v>37198.79</v>
      </c>
      <c r="Z63" s="4"/>
      <c r="AA63" s="4"/>
      <c r="AB63" s="4"/>
    </row>
    <row r="64" spans="1:28" x14ac:dyDescent="0.2">
      <c r="A64" s="4">
        <v>50</v>
      </c>
      <c r="B64" s="4">
        <v>0</v>
      </c>
      <c r="C64" s="4">
        <v>0</v>
      </c>
      <c r="D64" s="4">
        <v>1</v>
      </c>
      <c r="E64" s="4">
        <v>232</v>
      </c>
      <c r="F64" s="4">
        <f>ROUND(Source!BC48,O64)</f>
        <v>0</v>
      </c>
      <c r="G64" s="4" t="s">
        <v>114</v>
      </c>
      <c r="H64" s="4" t="s">
        <v>115</v>
      </c>
      <c r="I64" s="4"/>
      <c r="J64" s="4"/>
      <c r="K64" s="4">
        <v>232</v>
      </c>
      <c r="L64" s="4">
        <v>15</v>
      </c>
      <c r="M64" s="4">
        <v>3</v>
      </c>
      <c r="N64" s="4" t="s">
        <v>3</v>
      </c>
      <c r="O64" s="4">
        <v>2</v>
      </c>
      <c r="P64" s="4"/>
      <c r="Q64" s="4"/>
      <c r="R64" s="4"/>
      <c r="S64" s="4"/>
      <c r="T64" s="4"/>
      <c r="U64" s="4"/>
      <c r="V64" s="4"/>
      <c r="W64" s="4">
        <v>0</v>
      </c>
      <c r="X64" s="4">
        <v>1</v>
      </c>
      <c r="Y64" s="4">
        <v>0</v>
      </c>
      <c r="Z64" s="4"/>
      <c r="AA64" s="4"/>
      <c r="AB64" s="4"/>
    </row>
    <row r="65" spans="1:206" x14ac:dyDescent="0.2">
      <c r="A65" s="4">
        <v>50</v>
      </c>
      <c r="B65" s="4">
        <v>0</v>
      </c>
      <c r="C65" s="4">
        <v>0</v>
      </c>
      <c r="D65" s="4">
        <v>1</v>
      </c>
      <c r="E65" s="4">
        <v>214</v>
      </c>
      <c r="F65" s="4">
        <f>ROUND(Source!AS48,O65)</f>
        <v>0</v>
      </c>
      <c r="G65" s="4" t="s">
        <v>116</v>
      </c>
      <c r="H65" s="4" t="s">
        <v>117</v>
      </c>
      <c r="I65" s="4"/>
      <c r="J65" s="4"/>
      <c r="K65" s="4">
        <v>214</v>
      </c>
      <c r="L65" s="4">
        <v>16</v>
      </c>
      <c r="M65" s="4">
        <v>3</v>
      </c>
      <c r="N65" s="4" t="s">
        <v>3</v>
      </c>
      <c r="O65" s="4">
        <v>2</v>
      </c>
      <c r="P65" s="4"/>
      <c r="Q65" s="4"/>
      <c r="R65" s="4"/>
      <c r="S65" s="4"/>
      <c r="T65" s="4"/>
      <c r="U65" s="4"/>
      <c r="V65" s="4"/>
      <c r="W65" s="4">
        <v>0</v>
      </c>
      <c r="X65" s="4">
        <v>1</v>
      </c>
      <c r="Y65" s="4">
        <v>0</v>
      </c>
      <c r="Z65" s="4"/>
      <c r="AA65" s="4"/>
      <c r="AB65" s="4"/>
    </row>
    <row r="66" spans="1:206" x14ac:dyDescent="0.2">
      <c r="A66" s="4">
        <v>50</v>
      </c>
      <c r="B66" s="4">
        <v>0</v>
      </c>
      <c r="C66" s="4">
        <v>0</v>
      </c>
      <c r="D66" s="4">
        <v>1</v>
      </c>
      <c r="E66" s="4">
        <v>215</v>
      </c>
      <c r="F66" s="4">
        <f>ROUND(Source!AT48,O66)</f>
        <v>0</v>
      </c>
      <c r="G66" s="4" t="s">
        <v>118</v>
      </c>
      <c r="H66" s="4" t="s">
        <v>119</v>
      </c>
      <c r="I66" s="4"/>
      <c r="J66" s="4"/>
      <c r="K66" s="4">
        <v>215</v>
      </c>
      <c r="L66" s="4">
        <v>17</v>
      </c>
      <c r="M66" s="4">
        <v>3</v>
      </c>
      <c r="N66" s="4" t="s">
        <v>3</v>
      </c>
      <c r="O66" s="4">
        <v>2</v>
      </c>
      <c r="P66" s="4"/>
      <c r="Q66" s="4"/>
      <c r="R66" s="4"/>
      <c r="S66" s="4"/>
      <c r="T66" s="4"/>
      <c r="U66" s="4"/>
      <c r="V66" s="4"/>
      <c r="W66" s="4">
        <v>0</v>
      </c>
      <c r="X66" s="4">
        <v>1</v>
      </c>
      <c r="Y66" s="4">
        <v>0</v>
      </c>
      <c r="Z66" s="4"/>
      <c r="AA66" s="4"/>
      <c r="AB66" s="4"/>
    </row>
    <row r="67" spans="1:206" x14ac:dyDescent="0.2">
      <c r="A67" s="4">
        <v>50</v>
      </c>
      <c r="B67" s="4">
        <v>0</v>
      </c>
      <c r="C67" s="4">
        <v>0</v>
      </c>
      <c r="D67" s="4">
        <v>1</v>
      </c>
      <c r="E67" s="4">
        <v>217</v>
      </c>
      <c r="F67" s="4">
        <f>ROUND(Source!AU48,O67)</f>
        <v>177111.33</v>
      </c>
      <c r="G67" s="4" t="s">
        <v>120</v>
      </c>
      <c r="H67" s="4" t="s">
        <v>121</v>
      </c>
      <c r="I67" s="4"/>
      <c r="J67" s="4"/>
      <c r="K67" s="4">
        <v>217</v>
      </c>
      <c r="L67" s="4">
        <v>18</v>
      </c>
      <c r="M67" s="4">
        <v>3</v>
      </c>
      <c r="N67" s="4" t="s">
        <v>3</v>
      </c>
      <c r="O67" s="4">
        <v>2</v>
      </c>
      <c r="P67" s="4"/>
      <c r="Q67" s="4"/>
      <c r="R67" s="4"/>
      <c r="S67" s="4"/>
      <c r="T67" s="4"/>
      <c r="U67" s="4"/>
      <c r="V67" s="4"/>
      <c r="W67" s="4">
        <v>177111.33</v>
      </c>
      <c r="X67" s="4">
        <v>1</v>
      </c>
      <c r="Y67" s="4">
        <v>177111.33</v>
      </c>
      <c r="Z67" s="4"/>
      <c r="AA67" s="4"/>
      <c r="AB67" s="4"/>
    </row>
    <row r="68" spans="1:206" x14ac:dyDescent="0.2">
      <c r="A68" s="4">
        <v>50</v>
      </c>
      <c r="B68" s="4">
        <v>0</v>
      </c>
      <c r="C68" s="4">
        <v>0</v>
      </c>
      <c r="D68" s="4">
        <v>1</v>
      </c>
      <c r="E68" s="4">
        <v>230</v>
      </c>
      <c r="F68" s="4">
        <f>ROUND(Source!BA48,O68)</f>
        <v>0</v>
      </c>
      <c r="G68" s="4" t="s">
        <v>122</v>
      </c>
      <c r="H68" s="4" t="s">
        <v>123</v>
      </c>
      <c r="I68" s="4"/>
      <c r="J68" s="4"/>
      <c r="K68" s="4">
        <v>230</v>
      </c>
      <c r="L68" s="4">
        <v>19</v>
      </c>
      <c r="M68" s="4">
        <v>3</v>
      </c>
      <c r="N68" s="4" t="s">
        <v>3</v>
      </c>
      <c r="O68" s="4">
        <v>2</v>
      </c>
      <c r="P68" s="4"/>
      <c r="Q68" s="4"/>
      <c r="R68" s="4"/>
      <c r="S68" s="4"/>
      <c r="T68" s="4"/>
      <c r="U68" s="4"/>
      <c r="V68" s="4"/>
      <c r="W68" s="4">
        <v>0</v>
      </c>
      <c r="X68" s="4">
        <v>1</v>
      </c>
      <c r="Y68" s="4">
        <v>0</v>
      </c>
      <c r="Z68" s="4"/>
      <c r="AA68" s="4"/>
      <c r="AB68" s="4"/>
    </row>
    <row r="69" spans="1:206" x14ac:dyDescent="0.2">
      <c r="A69" s="4">
        <v>50</v>
      </c>
      <c r="B69" s="4">
        <v>0</v>
      </c>
      <c r="C69" s="4">
        <v>0</v>
      </c>
      <c r="D69" s="4">
        <v>1</v>
      </c>
      <c r="E69" s="4">
        <v>206</v>
      </c>
      <c r="F69" s="4">
        <f>ROUND(Source!T48,O69)</f>
        <v>0</v>
      </c>
      <c r="G69" s="4" t="s">
        <v>124</v>
      </c>
      <c r="H69" s="4" t="s">
        <v>125</v>
      </c>
      <c r="I69" s="4"/>
      <c r="J69" s="4"/>
      <c r="K69" s="4">
        <v>206</v>
      </c>
      <c r="L69" s="4">
        <v>20</v>
      </c>
      <c r="M69" s="4">
        <v>3</v>
      </c>
      <c r="N69" s="4" t="s">
        <v>3</v>
      </c>
      <c r="O69" s="4">
        <v>2</v>
      </c>
      <c r="P69" s="4"/>
      <c r="Q69" s="4"/>
      <c r="R69" s="4"/>
      <c r="S69" s="4"/>
      <c r="T69" s="4"/>
      <c r="U69" s="4"/>
      <c r="V69" s="4"/>
      <c r="W69" s="4">
        <v>0</v>
      </c>
      <c r="X69" s="4">
        <v>1</v>
      </c>
      <c r="Y69" s="4">
        <v>0</v>
      </c>
      <c r="Z69" s="4"/>
      <c r="AA69" s="4"/>
      <c r="AB69" s="4"/>
    </row>
    <row r="70" spans="1:206" x14ac:dyDescent="0.2">
      <c r="A70" s="4">
        <v>50</v>
      </c>
      <c r="B70" s="4">
        <v>0</v>
      </c>
      <c r="C70" s="4">
        <v>0</v>
      </c>
      <c r="D70" s="4">
        <v>1</v>
      </c>
      <c r="E70" s="4">
        <v>207</v>
      </c>
      <c r="F70" s="4">
        <f>Source!U48</f>
        <v>80.787249000000003</v>
      </c>
      <c r="G70" s="4" t="s">
        <v>126</v>
      </c>
      <c r="H70" s="4" t="s">
        <v>127</v>
      </c>
      <c r="I70" s="4"/>
      <c r="J70" s="4"/>
      <c r="K70" s="4">
        <v>207</v>
      </c>
      <c r="L70" s="4">
        <v>21</v>
      </c>
      <c r="M70" s="4">
        <v>3</v>
      </c>
      <c r="N70" s="4" t="s">
        <v>3</v>
      </c>
      <c r="O70" s="4">
        <v>-1</v>
      </c>
      <c r="P70" s="4"/>
      <c r="Q70" s="4"/>
      <c r="R70" s="4"/>
      <c r="S70" s="4"/>
      <c r="T70" s="4"/>
      <c r="U70" s="4"/>
      <c r="V70" s="4"/>
      <c r="W70" s="4">
        <v>80.787249000000003</v>
      </c>
      <c r="X70" s="4">
        <v>1</v>
      </c>
      <c r="Y70" s="4">
        <v>80.787249000000003</v>
      </c>
      <c r="Z70" s="4"/>
      <c r="AA70" s="4"/>
      <c r="AB70" s="4"/>
    </row>
    <row r="71" spans="1:206" x14ac:dyDescent="0.2">
      <c r="A71" s="4">
        <v>50</v>
      </c>
      <c r="B71" s="4">
        <v>0</v>
      </c>
      <c r="C71" s="4">
        <v>0</v>
      </c>
      <c r="D71" s="4">
        <v>1</v>
      </c>
      <c r="E71" s="4">
        <v>208</v>
      </c>
      <c r="F71" s="4">
        <f>Source!V48</f>
        <v>0</v>
      </c>
      <c r="G71" s="4" t="s">
        <v>128</v>
      </c>
      <c r="H71" s="4" t="s">
        <v>129</v>
      </c>
      <c r="I71" s="4"/>
      <c r="J71" s="4"/>
      <c r="K71" s="4">
        <v>208</v>
      </c>
      <c r="L71" s="4">
        <v>22</v>
      </c>
      <c r="M71" s="4">
        <v>3</v>
      </c>
      <c r="N71" s="4" t="s">
        <v>3</v>
      </c>
      <c r="O71" s="4">
        <v>-1</v>
      </c>
      <c r="P71" s="4"/>
      <c r="Q71" s="4"/>
      <c r="R71" s="4"/>
      <c r="S71" s="4"/>
      <c r="T71" s="4"/>
      <c r="U71" s="4"/>
      <c r="V71" s="4"/>
      <c r="W71" s="4">
        <v>0</v>
      </c>
      <c r="X71" s="4">
        <v>1</v>
      </c>
      <c r="Y71" s="4">
        <v>0</v>
      </c>
      <c r="Z71" s="4"/>
      <c r="AA71" s="4"/>
      <c r="AB71" s="4"/>
    </row>
    <row r="72" spans="1:206" x14ac:dyDescent="0.2">
      <c r="A72" s="4">
        <v>50</v>
      </c>
      <c r="B72" s="4">
        <v>0</v>
      </c>
      <c r="C72" s="4">
        <v>0</v>
      </c>
      <c r="D72" s="4">
        <v>1</v>
      </c>
      <c r="E72" s="4">
        <v>209</v>
      </c>
      <c r="F72" s="4">
        <f>ROUND(Source!W48,O72)</f>
        <v>0</v>
      </c>
      <c r="G72" s="4" t="s">
        <v>130</v>
      </c>
      <c r="H72" s="4" t="s">
        <v>131</v>
      </c>
      <c r="I72" s="4"/>
      <c r="J72" s="4"/>
      <c r="K72" s="4">
        <v>209</v>
      </c>
      <c r="L72" s="4">
        <v>23</v>
      </c>
      <c r="M72" s="4">
        <v>3</v>
      </c>
      <c r="N72" s="4" t="s">
        <v>3</v>
      </c>
      <c r="O72" s="4">
        <v>2</v>
      </c>
      <c r="P72" s="4"/>
      <c r="Q72" s="4"/>
      <c r="R72" s="4"/>
      <c r="S72" s="4"/>
      <c r="T72" s="4"/>
      <c r="U72" s="4"/>
      <c r="V72" s="4"/>
      <c r="W72" s="4">
        <v>0</v>
      </c>
      <c r="X72" s="4">
        <v>1</v>
      </c>
      <c r="Y72" s="4">
        <v>0</v>
      </c>
      <c r="Z72" s="4"/>
      <c r="AA72" s="4"/>
      <c r="AB72" s="4"/>
    </row>
    <row r="73" spans="1:206" x14ac:dyDescent="0.2">
      <c r="A73" s="4">
        <v>50</v>
      </c>
      <c r="B73" s="4">
        <v>0</v>
      </c>
      <c r="C73" s="4">
        <v>0</v>
      </c>
      <c r="D73" s="4">
        <v>1</v>
      </c>
      <c r="E73" s="4">
        <v>233</v>
      </c>
      <c r="F73" s="4">
        <f>ROUND(Source!BD48,O73)</f>
        <v>0</v>
      </c>
      <c r="G73" s="4" t="s">
        <v>132</v>
      </c>
      <c r="H73" s="4" t="s">
        <v>133</v>
      </c>
      <c r="I73" s="4"/>
      <c r="J73" s="4"/>
      <c r="K73" s="4">
        <v>233</v>
      </c>
      <c r="L73" s="4">
        <v>24</v>
      </c>
      <c r="M73" s="4">
        <v>3</v>
      </c>
      <c r="N73" s="4" t="s">
        <v>3</v>
      </c>
      <c r="O73" s="4">
        <v>2</v>
      </c>
      <c r="P73" s="4"/>
      <c r="Q73" s="4"/>
      <c r="R73" s="4"/>
      <c r="S73" s="4"/>
      <c r="T73" s="4"/>
      <c r="U73" s="4"/>
      <c r="V73" s="4"/>
      <c r="W73" s="4">
        <v>0</v>
      </c>
      <c r="X73" s="4">
        <v>1</v>
      </c>
      <c r="Y73" s="4">
        <v>0</v>
      </c>
      <c r="Z73" s="4"/>
      <c r="AA73" s="4"/>
      <c r="AB73" s="4"/>
    </row>
    <row r="74" spans="1:206" x14ac:dyDescent="0.2">
      <c r="A74" s="4">
        <v>50</v>
      </c>
      <c r="B74" s="4">
        <v>0</v>
      </c>
      <c r="C74" s="4">
        <v>0</v>
      </c>
      <c r="D74" s="4">
        <v>1</v>
      </c>
      <c r="E74" s="4">
        <v>210</v>
      </c>
      <c r="F74" s="4">
        <f>ROUND(Source!X48,O74)</f>
        <v>26039.14</v>
      </c>
      <c r="G74" s="4" t="s">
        <v>134</v>
      </c>
      <c r="H74" s="4" t="s">
        <v>135</v>
      </c>
      <c r="I74" s="4"/>
      <c r="J74" s="4"/>
      <c r="K74" s="4">
        <v>210</v>
      </c>
      <c r="L74" s="4">
        <v>25</v>
      </c>
      <c r="M74" s="4">
        <v>3</v>
      </c>
      <c r="N74" s="4" t="s">
        <v>3</v>
      </c>
      <c r="O74" s="4">
        <v>2</v>
      </c>
      <c r="P74" s="4"/>
      <c r="Q74" s="4"/>
      <c r="R74" s="4"/>
      <c r="S74" s="4"/>
      <c r="T74" s="4"/>
      <c r="U74" s="4"/>
      <c r="V74" s="4"/>
      <c r="W74" s="4">
        <v>26039.14</v>
      </c>
      <c r="X74" s="4">
        <v>1</v>
      </c>
      <c r="Y74" s="4">
        <v>26039.14</v>
      </c>
      <c r="Z74" s="4"/>
      <c r="AA74" s="4"/>
      <c r="AB74" s="4"/>
    </row>
    <row r="75" spans="1:206" x14ac:dyDescent="0.2">
      <c r="A75" s="4">
        <v>50</v>
      </c>
      <c r="B75" s="4">
        <v>0</v>
      </c>
      <c r="C75" s="4">
        <v>0</v>
      </c>
      <c r="D75" s="4">
        <v>1</v>
      </c>
      <c r="E75" s="4">
        <v>211</v>
      </c>
      <c r="F75" s="4">
        <f>ROUND(Source!Y48,O75)</f>
        <v>3719.88</v>
      </c>
      <c r="G75" s="4" t="s">
        <v>136</v>
      </c>
      <c r="H75" s="4" t="s">
        <v>137</v>
      </c>
      <c r="I75" s="4"/>
      <c r="J75" s="4"/>
      <c r="K75" s="4">
        <v>211</v>
      </c>
      <c r="L75" s="4">
        <v>26</v>
      </c>
      <c r="M75" s="4">
        <v>3</v>
      </c>
      <c r="N75" s="4" t="s">
        <v>3</v>
      </c>
      <c r="O75" s="4">
        <v>2</v>
      </c>
      <c r="P75" s="4"/>
      <c r="Q75" s="4"/>
      <c r="R75" s="4"/>
      <c r="S75" s="4"/>
      <c r="T75" s="4"/>
      <c r="U75" s="4"/>
      <c r="V75" s="4"/>
      <c r="W75" s="4">
        <v>3719.88</v>
      </c>
      <c r="X75" s="4">
        <v>1</v>
      </c>
      <c r="Y75" s="4">
        <v>3719.88</v>
      </c>
      <c r="Z75" s="4"/>
      <c r="AA75" s="4"/>
      <c r="AB75" s="4"/>
    </row>
    <row r="76" spans="1:206" x14ac:dyDescent="0.2">
      <c r="A76" s="4">
        <v>50</v>
      </c>
      <c r="B76" s="4">
        <v>0</v>
      </c>
      <c r="C76" s="4">
        <v>0</v>
      </c>
      <c r="D76" s="4">
        <v>1</v>
      </c>
      <c r="E76" s="4">
        <v>224</v>
      </c>
      <c r="F76" s="4">
        <f>ROUND(Source!AR48,O76)</f>
        <v>177111.33</v>
      </c>
      <c r="G76" s="4" t="s">
        <v>138</v>
      </c>
      <c r="H76" s="4" t="s">
        <v>139</v>
      </c>
      <c r="I76" s="4"/>
      <c r="J76" s="4"/>
      <c r="K76" s="4">
        <v>224</v>
      </c>
      <c r="L76" s="4">
        <v>27</v>
      </c>
      <c r="M76" s="4">
        <v>3</v>
      </c>
      <c r="N76" s="4" t="s">
        <v>3</v>
      </c>
      <c r="O76" s="4">
        <v>2</v>
      </c>
      <c r="P76" s="4"/>
      <c r="Q76" s="4"/>
      <c r="R76" s="4"/>
      <c r="S76" s="4"/>
      <c r="T76" s="4"/>
      <c r="U76" s="4"/>
      <c r="V76" s="4"/>
      <c r="W76" s="4">
        <v>177111.33</v>
      </c>
      <c r="X76" s="4">
        <v>1</v>
      </c>
      <c r="Y76" s="4">
        <v>177111.33</v>
      </c>
      <c r="Z76" s="4"/>
      <c r="AA76" s="4"/>
      <c r="AB76" s="4"/>
    </row>
    <row r="78" spans="1:206" x14ac:dyDescent="0.2">
      <c r="A78" s="1">
        <v>5</v>
      </c>
      <c r="B78" s="1">
        <v>1</v>
      </c>
      <c r="C78" s="1"/>
      <c r="D78" s="1">
        <f>ROW(A85)</f>
        <v>85</v>
      </c>
      <c r="E78" s="1"/>
      <c r="F78" s="1" t="s">
        <v>15</v>
      </c>
      <c r="G78" s="1" t="s">
        <v>140</v>
      </c>
      <c r="H78" s="1" t="s">
        <v>3</v>
      </c>
      <c r="I78" s="1">
        <v>0</v>
      </c>
      <c r="J78" s="1"/>
      <c r="K78" s="1">
        <v>0</v>
      </c>
      <c r="L78" s="1"/>
      <c r="M78" s="1" t="s">
        <v>3</v>
      </c>
      <c r="N78" s="1"/>
      <c r="O78" s="1"/>
      <c r="P78" s="1"/>
      <c r="Q78" s="1"/>
      <c r="R78" s="1"/>
      <c r="S78" s="1">
        <v>0</v>
      </c>
      <c r="T78" s="1"/>
      <c r="U78" s="1" t="s">
        <v>3</v>
      </c>
      <c r="V78" s="1">
        <v>0</v>
      </c>
      <c r="W78" s="1"/>
      <c r="X78" s="1"/>
      <c r="Y78" s="1"/>
      <c r="Z78" s="1"/>
      <c r="AA78" s="1"/>
      <c r="AB78" s="1" t="s">
        <v>3</v>
      </c>
      <c r="AC78" s="1" t="s">
        <v>3</v>
      </c>
      <c r="AD78" s="1" t="s">
        <v>3</v>
      </c>
      <c r="AE78" s="1" t="s">
        <v>3</v>
      </c>
      <c r="AF78" s="1" t="s">
        <v>3</v>
      </c>
      <c r="AG78" s="1" t="s">
        <v>3</v>
      </c>
      <c r="AH78" s="1"/>
      <c r="AI78" s="1"/>
      <c r="AJ78" s="1"/>
      <c r="AK78" s="1"/>
      <c r="AL78" s="1"/>
      <c r="AM78" s="1"/>
      <c r="AN78" s="1"/>
      <c r="AO78" s="1"/>
      <c r="AP78" s="1" t="s">
        <v>3</v>
      </c>
      <c r="AQ78" s="1" t="s">
        <v>3</v>
      </c>
      <c r="AR78" s="1" t="s">
        <v>3</v>
      </c>
      <c r="AS78" s="1"/>
      <c r="AT78" s="1"/>
      <c r="AU78" s="1"/>
      <c r="AV78" s="1"/>
      <c r="AW78" s="1"/>
      <c r="AX78" s="1"/>
      <c r="AY78" s="1"/>
      <c r="AZ78" s="1" t="s">
        <v>3</v>
      </c>
      <c r="BA78" s="1"/>
      <c r="BB78" s="1" t="s">
        <v>3</v>
      </c>
      <c r="BC78" s="1" t="s">
        <v>3</v>
      </c>
      <c r="BD78" s="1" t="s">
        <v>3</v>
      </c>
      <c r="BE78" s="1" t="s">
        <v>3</v>
      </c>
      <c r="BF78" s="1" t="s">
        <v>3</v>
      </c>
      <c r="BG78" s="1" t="s">
        <v>3</v>
      </c>
      <c r="BH78" s="1" t="s">
        <v>3</v>
      </c>
      <c r="BI78" s="1" t="s">
        <v>3</v>
      </c>
      <c r="BJ78" s="1" t="s">
        <v>3</v>
      </c>
      <c r="BK78" s="1" t="s">
        <v>3</v>
      </c>
      <c r="BL78" s="1" t="s">
        <v>3</v>
      </c>
      <c r="BM78" s="1" t="s">
        <v>3</v>
      </c>
      <c r="BN78" s="1" t="s">
        <v>3</v>
      </c>
      <c r="BO78" s="1" t="s">
        <v>3</v>
      </c>
      <c r="BP78" s="1" t="s">
        <v>3</v>
      </c>
      <c r="BQ78" s="1"/>
      <c r="BR78" s="1"/>
      <c r="BS78" s="1"/>
      <c r="BT78" s="1"/>
      <c r="BU78" s="1"/>
      <c r="BV78" s="1"/>
      <c r="BW78" s="1"/>
      <c r="BX78" s="1">
        <v>0</v>
      </c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>
        <v>0</v>
      </c>
    </row>
    <row r="80" spans="1:206" x14ac:dyDescent="0.2">
      <c r="A80" s="2">
        <v>52</v>
      </c>
      <c r="B80" s="2">
        <f t="shared" ref="B80:G80" si="70">B85</f>
        <v>1</v>
      </c>
      <c r="C80" s="2">
        <f t="shared" si="70"/>
        <v>5</v>
      </c>
      <c r="D80" s="2">
        <f t="shared" si="70"/>
        <v>78</v>
      </c>
      <c r="E80" s="2">
        <f t="shared" si="70"/>
        <v>0</v>
      </c>
      <c r="F80" s="2" t="str">
        <f t="shared" si="70"/>
        <v>Новый подраздел</v>
      </c>
      <c r="G80" s="2" t="str">
        <f t="shared" si="70"/>
        <v>Стены</v>
      </c>
      <c r="H80" s="2"/>
      <c r="I80" s="2"/>
      <c r="J80" s="2"/>
      <c r="K80" s="2"/>
      <c r="L80" s="2"/>
      <c r="M80" s="2"/>
      <c r="N80" s="2"/>
      <c r="O80" s="2">
        <f t="shared" ref="O80:AT80" si="71">O85</f>
        <v>14675.51</v>
      </c>
      <c r="P80" s="2">
        <f t="shared" si="71"/>
        <v>5910.1</v>
      </c>
      <c r="Q80" s="2">
        <f t="shared" si="71"/>
        <v>0</v>
      </c>
      <c r="R80" s="2">
        <f t="shared" si="71"/>
        <v>0</v>
      </c>
      <c r="S80" s="2">
        <f t="shared" si="71"/>
        <v>8765.41</v>
      </c>
      <c r="T80" s="2">
        <f t="shared" si="71"/>
        <v>0</v>
      </c>
      <c r="U80" s="2">
        <f t="shared" si="71"/>
        <v>19.076560000000001</v>
      </c>
      <c r="V80" s="2">
        <f t="shared" si="71"/>
        <v>0</v>
      </c>
      <c r="W80" s="2">
        <f t="shared" si="71"/>
        <v>0</v>
      </c>
      <c r="X80" s="2">
        <f t="shared" si="71"/>
        <v>6135.79</v>
      </c>
      <c r="Y80" s="2">
        <f t="shared" si="71"/>
        <v>876.54</v>
      </c>
      <c r="Z80" s="2">
        <f t="shared" si="71"/>
        <v>0</v>
      </c>
      <c r="AA80" s="2">
        <f t="shared" si="71"/>
        <v>0</v>
      </c>
      <c r="AB80" s="2">
        <f t="shared" si="71"/>
        <v>14675.51</v>
      </c>
      <c r="AC80" s="2">
        <f t="shared" si="71"/>
        <v>5910.1</v>
      </c>
      <c r="AD80" s="2">
        <f t="shared" si="71"/>
        <v>0</v>
      </c>
      <c r="AE80" s="2">
        <f t="shared" si="71"/>
        <v>0</v>
      </c>
      <c r="AF80" s="2">
        <f t="shared" si="71"/>
        <v>8765.41</v>
      </c>
      <c r="AG80" s="2">
        <f t="shared" si="71"/>
        <v>0</v>
      </c>
      <c r="AH80" s="2">
        <f t="shared" si="71"/>
        <v>19.076560000000001</v>
      </c>
      <c r="AI80" s="2">
        <f t="shared" si="71"/>
        <v>0</v>
      </c>
      <c r="AJ80" s="2">
        <f t="shared" si="71"/>
        <v>0</v>
      </c>
      <c r="AK80" s="2">
        <f t="shared" si="71"/>
        <v>6135.79</v>
      </c>
      <c r="AL80" s="2">
        <f t="shared" si="71"/>
        <v>876.54</v>
      </c>
      <c r="AM80" s="2">
        <f t="shared" si="71"/>
        <v>0</v>
      </c>
      <c r="AN80" s="2">
        <f t="shared" si="71"/>
        <v>0</v>
      </c>
      <c r="AO80" s="2">
        <f t="shared" si="71"/>
        <v>0</v>
      </c>
      <c r="AP80" s="2">
        <f t="shared" si="71"/>
        <v>0</v>
      </c>
      <c r="AQ80" s="2">
        <f t="shared" si="71"/>
        <v>0</v>
      </c>
      <c r="AR80" s="2">
        <f t="shared" si="71"/>
        <v>21687.84</v>
      </c>
      <c r="AS80" s="2">
        <f t="shared" si="71"/>
        <v>0</v>
      </c>
      <c r="AT80" s="2">
        <f t="shared" si="71"/>
        <v>0</v>
      </c>
      <c r="AU80" s="2">
        <f t="shared" ref="AU80:BZ80" si="72">AU85</f>
        <v>21687.84</v>
      </c>
      <c r="AV80" s="2">
        <f t="shared" si="72"/>
        <v>5910.1</v>
      </c>
      <c r="AW80" s="2">
        <f t="shared" si="72"/>
        <v>5910.1</v>
      </c>
      <c r="AX80" s="2">
        <f t="shared" si="72"/>
        <v>0</v>
      </c>
      <c r="AY80" s="2">
        <f t="shared" si="72"/>
        <v>5910.1</v>
      </c>
      <c r="AZ80" s="2">
        <f t="shared" si="72"/>
        <v>0</v>
      </c>
      <c r="BA80" s="2">
        <f t="shared" si="72"/>
        <v>0</v>
      </c>
      <c r="BB80" s="2">
        <f t="shared" si="72"/>
        <v>0</v>
      </c>
      <c r="BC80" s="2">
        <f t="shared" si="72"/>
        <v>0</v>
      </c>
      <c r="BD80" s="2">
        <f t="shared" si="72"/>
        <v>0</v>
      </c>
      <c r="BE80" s="2">
        <f t="shared" si="72"/>
        <v>0</v>
      </c>
      <c r="BF80" s="2">
        <f t="shared" si="72"/>
        <v>0</v>
      </c>
      <c r="BG80" s="2">
        <f t="shared" si="72"/>
        <v>0</v>
      </c>
      <c r="BH80" s="2">
        <f t="shared" si="72"/>
        <v>0</v>
      </c>
      <c r="BI80" s="2">
        <f t="shared" si="72"/>
        <v>0</v>
      </c>
      <c r="BJ80" s="2">
        <f t="shared" si="72"/>
        <v>0</v>
      </c>
      <c r="BK80" s="2">
        <f t="shared" si="72"/>
        <v>0</v>
      </c>
      <c r="BL80" s="2">
        <f t="shared" si="72"/>
        <v>0</v>
      </c>
      <c r="BM80" s="2">
        <f t="shared" si="72"/>
        <v>0</v>
      </c>
      <c r="BN80" s="2">
        <f t="shared" si="72"/>
        <v>0</v>
      </c>
      <c r="BO80" s="2">
        <f t="shared" si="72"/>
        <v>0</v>
      </c>
      <c r="BP80" s="2">
        <f t="shared" si="72"/>
        <v>0</v>
      </c>
      <c r="BQ80" s="2">
        <f t="shared" si="72"/>
        <v>0</v>
      </c>
      <c r="BR80" s="2">
        <f t="shared" si="72"/>
        <v>0</v>
      </c>
      <c r="BS80" s="2">
        <f t="shared" si="72"/>
        <v>0</v>
      </c>
      <c r="BT80" s="2">
        <f t="shared" si="72"/>
        <v>0</v>
      </c>
      <c r="BU80" s="2">
        <f t="shared" si="72"/>
        <v>0</v>
      </c>
      <c r="BV80" s="2">
        <f t="shared" si="72"/>
        <v>0</v>
      </c>
      <c r="BW80" s="2">
        <f t="shared" si="72"/>
        <v>0</v>
      </c>
      <c r="BX80" s="2">
        <f t="shared" si="72"/>
        <v>0</v>
      </c>
      <c r="BY80" s="2">
        <f t="shared" si="72"/>
        <v>0</v>
      </c>
      <c r="BZ80" s="2">
        <f t="shared" si="72"/>
        <v>0</v>
      </c>
      <c r="CA80" s="2">
        <f t="shared" ref="CA80:DF80" si="73">CA85</f>
        <v>21687.84</v>
      </c>
      <c r="CB80" s="2">
        <f t="shared" si="73"/>
        <v>0</v>
      </c>
      <c r="CC80" s="2">
        <f t="shared" si="73"/>
        <v>0</v>
      </c>
      <c r="CD80" s="2">
        <f t="shared" si="73"/>
        <v>21687.84</v>
      </c>
      <c r="CE80" s="2">
        <f t="shared" si="73"/>
        <v>5910.1</v>
      </c>
      <c r="CF80" s="2">
        <f t="shared" si="73"/>
        <v>5910.1</v>
      </c>
      <c r="CG80" s="2">
        <f t="shared" si="73"/>
        <v>0</v>
      </c>
      <c r="CH80" s="2">
        <f t="shared" si="73"/>
        <v>5910.1</v>
      </c>
      <c r="CI80" s="2">
        <f t="shared" si="73"/>
        <v>0</v>
      </c>
      <c r="CJ80" s="2">
        <f t="shared" si="73"/>
        <v>0</v>
      </c>
      <c r="CK80" s="2">
        <f t="shared" si="73"/>
        <v>0</v>
      </c>
      <c r="CL80" s="2">
        <f t="shared" si="73"/>
        <v>0</v>
      </c>
      <c r="CM80" s="2">
        <f t="shared" si="73"/>
        <v>0</v>
      </c>
      <c r="CN80" s="2">
        <f t="shared" si="73"/>
        <v>0</v>
      </c>
      <c r="CO80" s="2">
        <f t="shared" si="73"/>
        <v>0</v>
      </c>
      <c r="CP80" s="2">
        <f t="shared" si="73"/>
        <v>0</v>
      </c>
      <c r="CQ80" s="2">
        <f t="shared" si="73"/>
        <v>0</v>
      </c>
      <c r="CR80" s="2">
        <f t="shared" si="73"/>
        <v>0</v>
      </c>
      <c r="CS80" s="2">
        <f t="shared" si="73"/>
        <v>0</v>
      </c>
      <c r="CT80" s="2">
        <f t="shared" si="73"/>
        <v>0</v>
      </c>
      <c r="CU80" s="2">
        <f t="shared" si="73"/>
        <v>0</v>
      </c>
      <c r="CV80" s="2">
        <f t="shared" si="73"/>
        <v>0</v>
      </c>
      <c r="CW80" s="2">
        <f t="shared" si="73"/>
        <v>0</v>
      </c>
      <c r="CX80" s="2">
        <f t="shared" si="73"/>
        <v>0</v>
      </c>
      <c r="CY80" s="2">
        <f t="shared" si="73"/>
        <v>0</v>
      </c>
      <c r="CZ80" s="2">
        <f t="shared" si="73"/>
        <v>0</v>
      </c>
      <c r="DA80" s="2">
        <f t="shared" si="73"/>
        <v>0</v>
      </c>
      <c r="DB80" s="2">
        <f t="shared" si="73"/>
        <v>0</v>
      </c>
      <c r="DC80" s="2">
        <f t="shared" si="73"/>
        <v>0</v>
      </c>
      <c r="DD80" s="2">
        <f t="shared" si="73"/>
        <v>0</v>
      </c>
      <c r="DE80" s="2">
        <f t="shared" si="73"/>
        <v>0</v>
      </c>
      <c r="DF80" s="2">
        <f t="shared" si="73"/>
        <v>0</v>
      </c>
      <c r="DG80" s="3">
        <f t="shared" ref="DG80:EL80" si="74">DG85</f>
        <v>0</v>
      </c>
      <c r="DH80" s="3">
        <f t="shared" si="74"/>
        <v>0</v>
      </c>
      <c r="DI80" s="3">
        <f t="shared" si="74"/>
        <v>0</v>
      </c>
      <c r="DJ80" s="3">
        <f t="shared" si="74"/>
        <v>0</v>
      </c>
      <c r="DK80" s="3">
        <f t="shared" si="74"/>
        <v>0</v>
      </c>
      <c r="DL80" s="3">
        <f t="shared" si="74"/>
        <v>0</v>
      </c>
      <c r="DM80" s="3">
        <f t="shared" si="74"/>
        <v>0</v>
      </c>
      <c r="DN80" s="3">
        <f t="shared" si="74"/>
        <v>0</v>
      </c>
      <c r="DO80" s="3">
        <f t="shared" si="74"/>
        <v>0</v>
      </c>
      <c r="DP80" s="3">
        <f t="shared" si="74"/>
        <v>0</v>
      </c>
      <c r="DQ80" s="3">
        <f t="shared" si="74"/>
        <v>0</v>
      </c>
      <c r="DR80" s="3">
        <f t="shared" si="74"/>
        <v>0</v>
      </c>
      <c r="DS80" s="3">
        <f t="shared" si="74"/>
        <v>0</v>
      </c>
      <c r="DT80" s="3">
        <f t="shared" si="74"/>
        <v>0</v>
      </c>
      <c r="DU80" s="3">
        <f t="shared" si="74"/>
        <v>0</v>
      </c>
      <c r="DV80" s="3">
        <f t="shared" si="74"/>
        <v>0</v>
      </c>
      <c r="DW80" s="3">
        <f t="shared" si="74"/>
        <v>0</v>
      </c>
      <c r="DX80" s="3">
        <f t="shared" si="74"/>
        <v>0</v>
      </c>
      <c r="DY80" s="3">
        <f t="shared" si="74"/>
        <v>0</v>
      </c>
      <c r="DZ80" s="3">
        <f t="shared" si="74"/>
        <v>0</v>
      </c>
      <c r="EA80" s="3">
        <f t="shared" si="74"/>
        <v>0</v>
      </c>
      <c r="EB80" s="3">
        <f t="shared" si="74"/>
        <v>0</v>
      </c>
      <c r="EC80" s="3">
        <f t="shared" si="74"/>
        <v>0</v>
      </c>
      <c r="ED80" s="3">
        <f t="shared" si="74"/>
        <v>0</v>
      </c>
      <c r="EE80" s="3">
        <f t="shared" si="74"/>
        <v>0</v>
      </c>
      <c r="EF80" s="3">
        <f t="shared" si="74"/>
        <v>0</v>
      </c>
      <c r="EG80" s="3">
        <f t="shared" si="74"/>
        <v>0</v>
      </c>
      <c r="EH80" s="3">
        <f t="shared" si="74"/>
        <v>0</v>
      </c>
      <c r="EI80" s="3">
        <f t="shared" si="74"/>
        <v>0</v>
      </c>
      <c r="EJ80" s="3">
        <f t="shared" si="74"/>
        <v>0</v>
      </c>
      <c r="EK80" s="3">
        <f t="shared" si="74"/>
        <v>0</v>
      </c>
      <c r="EL80" s="3">
        <f t="shared" si="74"/>
        <v>0</v>
      </c>
      <c r="EM80" s="3">
        <f t="shared" ref="EM80:FR80" si="75">EM85</f>
        <v>0</v>
      </c>
      <c r="EN80" s="3">
        <f t="shared" si="75"/>
        <v>0</v>
      </c>
      <c r="EO80" s="3">
        <f t="shared" si="75"/>
        <v>0</v>
      </c>
      <c r="EP80" s="3">
        <f t="shared" si="75"/>
        <v>0</v>
      </c>
      <c r="EQ80" s="3">
        <f t="shared" si="75"/>
        <v>0</v>
      </c>
      <c r="ER80" s="3">
        <f t="shared" si="75"/>
        <v>0</v>
      </c>
      <c r="ES80" s="3">
        <f t="shared" si="75"/>
        <v>0</v>
      </c>
      <c r="ET80" s="3">
        <f t="shared" si="75"/>
        <v>0</v>
      </c>
      <c r="EU80" s="3">
        <f t="shared" si="75"/>
        <v>0</v>
      </c>
      <c r="EV80" s="3">
        <f t="shared" si="75"/>
        <v>0</v>
      </c>
      <c r="EW80" s="3">
        <f t="shared" si="75"/>
        <v>0</v>
      </c>
      <c r="EX80" s="3">
        <f t="shared" si="75"/>
        <v>0</v>
      </c>
      <c r="EY80" s="3">
        <f t="shared" si="75"/>
        <v>0</v>
      </c>
      <c r="EZ80" s="3">
        <f t="shared" si="75"/>
        <v>0</v>
      </c>
      <c r="FA80" s="3">
        <f t="shared" si="75"/>
        <v>0</v>
      </c>
      <c r="FB80" s="3">
        <f t="shared" si="75"/>
        <v>0</v>
      </c>
      <c r="FC80" s="3">
        <f t="shared" si="75"/>
        <v>0</v>
      </c>
      <c r="FD80" s="3">
        <f t="shared" si="75"/>
        <v>0</v>
      </c>
      <c r="FE80" s="3">
        <f t="shared" si="75"/>
        <v>0</v>
      </c>
      <c r="FF80" s="3">
        <f t="shared" si="75"/>
        <v>0</v>
      </c>
      <c r="FG80" s="3">
        <f t="shared" si="75"/>
        <v>0</v>
      </c>
      <c r="FH80" s="3">
        <f t="shared" si="75"/>
        <v>0</v>
      </c>
      <c r="FI80" s="3">
        <f t="shared" si="75"/>
        <v>0</v>
      </c>
      <c r="FJ80" s="3">
        <f t="shared" si="75"/>
        <v>0</v>
      </c>
      <c r="FK80" s="3">
        <f t="shared" si="75"/>
        <v>0</v>
      </c>
      <c r="FL80" s="3">
        <f t="shared" si="75"/>
        <v>0</v>
      </c>
      <c r="FM80" s="3">
        <f t="shared" si="75"/>
        <v>0</v>
      </c>
      <c r="FN80" s="3">
        <f t="shared" si="75"/>
        <v>0</v>
      </c>
      <c r="FO80" s="3">
        <f t="shared" si="75"/>
        <v>0</v>
      </c>
      <c r="FP80" s="3">
        <f t="shared" si="75"/>
        <v>0</v>
      </c>
      <c r="FQ80" s="3">
        <f t="shared" si="75"/>
        <v>0</v>
      </c>
      <c r="FR80" s="3">
        <f t="shared" si="75"/>
        <v>0</v>
      </c>
      <c r="FS80" s="3">
        <f t="shared" ref="FS80:GX80" si="76">FS85</f>
        <v>0</v>
      </c>
      <c r="FT80" s="3">
        <f t="shared" si="76"/>
        <v>0</v>
      </c>
      <c r="FU80" s="3">
        <f t="shared" si="76"/>
        <v>0</v>
      </c>
      <c r="FV80" s="3">
        <f t="shared" si="76"/>
        <v>0</v>
      </c>
      <c r="FW80" s="3">
        <f t="shared" si="76"/>
        <v>0</v>
      </c>
      <c r="FX80" s="3">
        <f t="shared" si="76"/>
        <v>0</v>
      </c>
      <c r="FY80" s="3">
        <f t="shared" si="76"/>
        <v>0</v>
      </c>
      <c r="FZ80" s="3">
        <f t="shared" si="76"/>
        <v>0</v>
      </c>
      <c r="GA80" s="3">
        <f t="shared" si="76"/>
        <v>0</v>
      </c>
      <c r="GB80" s="3">
        <f t="shared" si="76"/>
        <v>0</v>
      </c>
      <c r="GC80" s="3">
        <f t="shared" si="76"/>
        <v>0</v>
      </c>
      <c r="GD80" s="3">
        <f t="shared" si="76"/>
        <v>0</v>
      </c>
      <c r="GE80" s="3">
        <f t="shared" si="76"/>
        <v>0</v>
      </c>
      <c r="GF80" s="3">
        <f t="shared" si="76"/>
        <v>0</v>
      </c>
      <c r="GG80" s="3">
        <f t="shared" si="76"/>
        <v>0</v>
      </c>
      <c r="GH80" s="3">
        <f t="shared" si="76"/>
        <v>0</v>
      </c>
      <c r="GI80" s="3">
        <f t="shared" si="76"/>
        <v>0</v>
      </c>
      <c r="GJ80" s="3">
        <f t="shared" si="76"/>
        <v>0</v>
      </c>
      <c r="GK80" s="3">
        <f t="shared" si="76"/>
        <v>0</v>
      </c>
      <c r="GL80" s="3">
        <f t="shared" si="76"/>
        <v>0</v>
      </c>
      <c r="GM80" s="3">
        <f t="shared" si="76"/>
        <v>0</v>
      </c>
      <c r="GN80" s="3">
        <f t="shared" si="76"/>
        <v>0</v>
      </c>
      <c r="GO80" s="3">
        <f t="shared" si="76"/>
        <v>0</v>
      </c>
      <c r="GP80" s="3">
        <f t="shared" si="76"/>
        <v>0</v>
      </c>
      <c r="GQ80" s="3">
        <f t="shared" si="76"/>
        <v>0</v>
      </c>
      <c r="GR80" s="3">
        <f t="shared" si="76"/>
        <v>0</v>
      </c>
      <c r="GS80" s="3">
        <f t="shared" si="76"/>
        <v>0</v>
      </c>
      <c r="GT80" s="3">
        <f t="shared" si="76"/>
        <v>0</v>
      </c>
      <c r="GU80" s="3">
        <f t="shared" si="76"/>
        <v>0</v>
      </c>
      <c r="GV80" s="3">
        <f t="shared" si="76"/>
        <v>0</v>
      </c>
      <c r="GW80" s="3">
        <f t="shared" si="76"/>
        <v>0</v>
      </c>
      <c r="GX80" s="3">
        <f t="shared" si="76"/>
        <v>0</v>
      </c>
    </row>
    <row r="82" spans="1:245" x14ac:dyDescent="0.2">
      <c r="A82">
        <v>17</v>
      </c>
      <c r="B82">
        <v>1</v>
      </c>
      <c r="C82">
        <f>ROW(SmtRes!A49)</f>
        <v>49</v>
      </c>
      <c r="D82">
        <f>ROW(EtalonRes!A45)</f>
        <v>45</v>
      </c>
      <c r="E82" t="s">
        <v>141</v>
      </c>
      <c r="F82" t="s">
        <v>142</v>
      </c>
      <c r="G82" t="s">
        <v>143</v>
      </c>
      <c r="H82" t="s">
        <v>46</v>
      </c>
      <c r="I82">
        <f>ROUND(77.8/100,9)</f>
        <v>0.77800000000000002</v>
      </c>
      <c r="J82">
        <v>0</v>
      </c>
      <c r="K82">
        <f>ROUND(77.8/100,9)</f>
        <v>0.77800000000000002</v>
      </c>
      <c r="O82">
        <f>ROUND(CP82,2)</f>
        <v>14412.24</v>
      </c>
      <c r="P82">
        <f>ROUND(CQ82*I82,2)</f>
        <v>5646.83</v>
      </c>
      <c r="Q82">
        <f>ROUND(CR82*I82,2)</f>
        <v>0</v>
      </c>
      <c r="R82">
        <f>ROUND(CS82*I82,2)</f>
        <v>0</v>
      </c>
      <c r="S82">
        <f>ROUND(CT82*I82,2)</f>
        <v>8765.41</v>
      </c>
      <c r="T82">
        <f>ROUND(CU82*I82,2)</f>
        <v>0</v>
      </c>
      <c r="U82">
        <f>CV82*I82</f>
        <v>19.076560000000001</v>
      </c>
      <c r="V82">
        <f>CW82*I82</f>
        <v>0</v>
      </c>
      <c r="W82">
        <f>ROUND(CX82*I82,2)</f>
        <v>0</v>
      </c>
      <c r="X82">
        <f>ROUND(CY82,2)</f>
        <v>6135.79</v>
      </c>
      <c r="Y82">
        <f>ROUND(CZ82,2)</f>
        <v>876.54</v>
      </c>
      <c r="AA82">
        <v>75703208</v>
      </c>
      <c r="AB82">
        <f>ROUND((AC82+AD82+AF82),6)</f>
        <v>18524.72</v>
      </c>
      <c r="AC82">
        <f>ROUND((ES82),6)</f>
        <v>7258.13</v>
      </c>
      <c r="AD82">
        <f>ROUND((((ET82)-(EU82))+AE82),6)</f>
        <v>0</v>
      </c>
      <c r="AE82">
        <f>ROUND((EU82),6)</f>
        <v>0</v>
      </c>
      <c r="AF82">
        <f>ROUND((EV82),6)</f>
        <v>11266.59</v>
      </c>
      <c r="AG82">
        <f>ROUND((AP82),6)</f>
        <v>0</v>
      </c>
      <c r="AH82">
        <f>(EW82)</f>
        <v>24.52</v>
      </c>
      <c r="AI82">
        <f>(EX82)</f>
        <v>0</v>
      </c>
      <c r="AJ82">
        <f>(AS82)</f>
        <v>0</v>
      </c>
      <c r="AK82">
        <v>18524.72</v>
      </c>
      <c r="AL82">
        <v>7258.13</v>
      </c>
      <c r="AM82">
        <v>0</v>
      </c>
      <c r="AN82">
        <v>0</v>
      </c>
      <c r="AO82">
        <v>11266.59</v>
      </c>
      <c r="AP82">
        <v>0</v>
      </c>
      <c r="AQ82">
        <v>24.52</v>
      </c>
      <c r="AR82">
        <v>0</v>
      </c>
      <c r="AS82">
        <v>0</v>
      </c>
      <c r="AT82">
        <v>70</v>
      </c>
      <c r="AU82">
        <v>10</v>
      </c>
      <c r="AV82">
        <v>1</v>
      </c>
      <c r="AW82">
        <v>1</v>
      </c>
      <c r="AZ82">
        <v>1</v>
      </c>
      <c r="BA82">
        <v>1</v>
      </c>
      <c r="BB82">
        <v>1</v>
      </c>
      <c r="BC82">
        <v>1</v>
      </c>
      <c r="BD82" t="s">
        <v>3</v>
      </c>
      <c r="BE82" t="s">
        <v>3</v>
      </c>
      <c r="BF82" t="s">
        <v>3</v>
      </c>
      <c r="BG82" t="s">
        <v>3</v>
      </c>
      <c r="BH82">
        <v>0</v>
      </c>
      <c r="BI82">
        <v>4</v>
      </c>
      <c r="BJ82" t="s">
        <v>144</v>
      </c>
      <c r="BM82">
        <v>0</v>
      </c>
      <c r="BN82">
        <v>75371441</v>
      </c>
      <c r="BO82" t="s">
        <v>3</v>
      </c>
      <c r="BP82">
        <v>0</v>
      </c>
      <c r="BQ82">
        <v>1</v>
      </c>
      <c r="BR82">
        <v>0</v>
      </c>
      <c r="BS82">
        <v>1</v>
      </c>
      <c r="BT82">
        <v>1</v>
      </c>
      <c r="BU82">
        <v>1</v>
      </c>
      <c r="BV82">
        <v>1</v>
      </c>
      <c r="BW82">
        <v>1</v>
      </c>
      <c r="BX82">
        <v>1</v>
      </c>
      <c r="BY82" t="s">
        <v>3</v>
      </c>
      <c r="BZ82">
        <v>70</v>
      </c>
      <c r="CA82">
        <v>10</v>
      </c>
      <c r="CB82" t="s">
        <v>3</v>
      </c>
      <c r="CE82">
        <v>0</v>
      </c>
      <c r="CF82">
        <v>0</v>
      </c>
      <c r="CG82">
        <v>0</v>
      </c>
      <c r="CM82">
        <v>0</v>
      </c>
      <c r="CN82" t="s">
        <v>3</v>
      </c>
      <c r="CO82">
        <v>0</v>
      </c>
      <c r="CP82">
        <f>(P82+Q82+S82)</f>
        <v>14412.24</v>
      </c>
      <c r="CQ82">
        <f>(AC82*BC82*AW82)</f>
        <v>7258.13</v>
      </c>
      <c r="CR82">
        <f>((((ET82)*BB82-(EU82)*BS82)+AE82*BS82)*AV82)</f>
        <v>0</v>
      </c>
      <c r="CS82">
        <f>(AE82*BS82*AV82)</f>
        <v>0</v>
      </c>
      <c r="CT82">
        <f>(AF82*BA82*AV82)</f>
        <v>11266.59</v>
      </c>
      <c r="CU82">
        <f>AG82</f>
        <v>0</v>
      </c>
      <c r="CV82">
        <f>(AH82*AV82)</f>
        <v>24.52</v>
      </c>
      <c r="CW82">
        <f>AI82</f>
        <v>0</v>
      </c>
      <c r="CX82">
        <f>AJ82</f>
        <v>0</v>
      </c>
      <c r="CY82">
        <f>((S82*BZ82)/100)</f>
        <v>6135.7869999999994</v>
      </c>
      <c r="CZ82">
        <f>((S82*CA82)/100)</f>
        <v>876.54100000000005</v>
      </c>
      <c r="DC82" t="s">
        <v>3</v>
      </c>
      <c r="DD82" t="s">
        <v>3</v>
      </c>
      <c r="DE82" t="s">
        <v>3</v>
      </c>
      <c r="DF82" t="s">
        <v>3</v>
      </c>
      <c r="DG82" t="s">
        <v>3</v>
      </c>
      <c r="DH82" t="s">
        <v>3</v>
      </c>
      <c r="DI82" t="s">
        <v>3</v>
      </c>
      <c r="DJ82" t="s">
        <v>3</v>
      </c>
      <c r="DK82" t="s">
        <v>3</v>
      </c>
      <c r="DL82" t="s">
        <v>3</v>
      </c>
      <c r="DM82" t="s">
        <v>3</v>
      </c>
      <c r="DN82">
        <v>0</v>
      </c>
      <c r="DO82">
        <v>0</v>
      </c>
      <c r="DP82">
        <v>1</v>
      </c>
      <c r="DQ82">
        <v>1</v>
      </c>
      <c r="DU82">
        <v>1005</v>
      </c>
      <c r="DV82" t="s">
        <v>46</v>
      </c>
      <c r="DW82" t="s">
        <v>46</v>
      </c>
      <c r="DX82">
        <v>100</v>
      </c>
      <c r="DZ82" t="s">
        <v>3</v>
      </c>
      <c r="EA82" t="s">
        <v>3</v>
      </c>
      <c r="EB82" t="s">
        <v>3</v>
      </c>
      <c r="EC82" t="s">
        <v>3</v>
      </c>
      <c r="EE82">
        <v>75371444</v>
      </c>
      <c r="EF82">
        <v>1</v>
      </c>
      <c r="EG82" t="s">
        <v>22</v>
      </c>
      <c r="EH82">
        <v>0</v>
      </c>
      <c r="EI82" t="s">
        <v>3</v>
      </c>
      <c r="EJ82">
        <v>4</v>
      </c>
      <c r="EK82">
        <v>0</v>
      </c>
      <c r="EL82" t="s">
        <v>23</v>
      </c>
      <c r="EM82" t="s">
        <v>24</v>
      </c>
      <c r="EO82" t="s">
        <v>3</v>
      </c>
      <c r="EQ82">
        <v>0</v>
      </c>
      <c r="ER82">
        <v>18524.72</v>
      </c>
      <c r="ES82">
        <v>7258.13</v>
      </c>
      <c r="ET82">
        <v>0</v>
      </c>
      <c r="EU82">
        <v>0</v>
      </c>
      <c r="EV82">
        <v>11266.59</v>
      </c>
      <c r="EW82">
        <v>24.52</v>
      </c>
      <c r="EX82">
        <v>0</v>
      </c>
      <c r="EY82">
        <v>0</v>
      </c>
      <c r="FQ82">
        <v>0</v>
      </c>
      <c r="FR82">
        <f>ROUND(IF(BI82=3,GM82,0),2)</f>
        <v>0</v>
      </c>
      <c r="FS82">
        <v>0</v>
      </c>
      <c r="FX82">
        <v>70</v>
      </c>
      <c r="FY82">
        <v>10</v>
      </c>
      <c r="GA82" t="s">
        <v>3</v>
      </c>
      <c r="GD82">
        <v>0</v>
      </c>
      <c r="GF82">
        <v>-2010515144</v>
      </c>
      <c r="GG82">
        <v>2</v>
      </c>
      <c r="GH82">
        <v>1</v>
      </c>
      <c r="GI82">
        <v>-2</v>
      </c>
      <c r="GJ82">
        <v>0</v>
      </c>
      <c r="GK82">
        <f>ROUND(R82*(R12)/100,2)</f>
        <v>0</v>
      </c>
      <c r="GL82">
        <f>ROUND(IF(AND(BH82=3,BI82=3,FS82&lt;&gt;0),P82,0),2)</f>
        <v>0</v>
      </c>
      <c r="GM82">
        <f>ROUND(O82+X82+Y82+GK82,2)+GX82</f>
        <v>21424.57</v>
      </c>
      <c r="GN82">
        <f>IF(OR(BI82=0,BI82=1),GM82-GX82,0)</f>
        <v>0</v>
      </c>
      <c r="GO82">
        <f>IF(BI82=2,GM82-GX82,0)</f>
        <v>0</v>
      </c>
      <c r="GP82">
        <f>IF(BI82=4,GM82-GX82,0)</f>
        <v>21424.57</v>
      </c>
      <c r="GR82">
        <v>0</v>
      </c>
      <c r="GS82">
        <v>3</v>
      </c>
      <c r="GT82">
        <v>0</v>
      </c>
      <c r="GU82" t="s">
        <v>3</v>
      </c>
      <c r="GV82">
        <f>ROUND((GT82),6)</f>
        <v>0</v>
      </c>
      <c r="GW82">
        <v>1</v>
      </c>
      <c r="GX82">
        <f>ROUND(HC82*I82,2)</f>
        <v>0</v>
      </c>
      <c r="HA82">
        <v>0</v>
      </c>
      <c r="HB82">
        <v>0</v>
      </c>
      <c r="HC82">
        <f>GV82*GW82</f>
        <v>0</v>
      </c>
      <c r="HE82" t="s">
        <v>3</v>
      </c>
      <c r="HF82" t="s">
        <v>3</v>
      </c>
      <c r="HM82" t="s">
        <v>3</v>
      </c>
      <c r="HN82" t="s">
        <v>3</v>
      </c>
      <c r="HO82" t="s">
        <v>3</v>
      </c>
      <c r="HP82" t="s">
        <v>3</v>
      </c>
      <c r="HQ82" t="s">
        <v>3</v>
      </c>
      <c r="IK82">
        <v>0</v>
      </c>
    </row>
    <row r="83" spans="1:245" x14ac:dyDescent="0.2">
      <c r="A83">
        <v>18</v>
      </c>
      <c r="B83">
        <v>1</v>
      </c>
      <c r="C83">
        <v>47</v>
      </c>
      <c r="E83" t="s">
        <v>145</v>
      </c>
      <c r="F83" t="s">
        <v>146</v>
      </c>
      <c r="G83" t="s">
        <v>147</v>
      </c>
      <c r="H83" t="s">
        <v>56</v>
      </c>
      <c r="I83">
        <f>I82*J83</f>
        <v>1.323E-3</v>
      </c>
      <c r="J83">
        <v>1.7005141388174807E-3</v>
      </c>
      <c r="K83">
        <v>1.6999999999999999E-3</v>
      </c>
      <c r="O83">
        <f>ROUND(CP83,2)</f>
        <v>263.27</v>
      </c>
      <c r="P83">
        <f>ROUND(CQ83*I83,2)</f>
        <v>263.27</v>
      </c>
      <c r="Q83">
        <f>ROUND(CR83*I83,2)</f>
        <v>0</v>
      </c>
      <c r="R83">
        <f>ROUND(CS83*I83,2)</f>
        <v>0</v>
      </c>
      <c r="S83">
        <f>ROUND(CT83*I83,2)</f>
        <v>0</v>
      </c>
      <c r="T83">
        <f>ROUND(CU83*I83,2)</f>
        <v>0</v>
      </c>
      <c r="U83">
        <f>CV83*I83</f>
        <v>0</v>
      </c>
      <c r="V83">
        <f>CW83*I83</f>
        <v>0</v>
      </c>
      <c r="W83">
        <f>ROUND(CX83*I83,2)</f>
        <v>0</v>
      </c>
      <c r="X83">
        <f>ROUND(CY83,2)</f>
        <v>0</v>
      </c>
      <c r="Y83">
        <f>ROUND(CZ83,2)</f>
        <v>0</v>
      </c>
      <c r="AA83">
        <v>75703208</v>
      </c>
      <c r="AB83">
        <f>ROUND((AC83+AD83+AF83),6)</f>
        <v>198992.34</v>
      </c>
      <c r="AC83">
        <f>ROUND((ES83),6)</f>
        <v>198992.34</v>
      </c>
      <c r="AD83">
        <f>ROUND((((ET83)-(EU83))+AE83),6)</f>
        <v>0</v>
      </c>
      <c r="AE83">
        <f>ROUND((EU83),6)</f>
        <v>0</v>
      </c>
      <c r="AF83">
        <f>ROUND((EV83),6)</f>
        <v>0</v>
      </c>
      <c r="AG83">
        <f>ROUND((AP83),6)</f>
        <v>0</v>
      </c>
      <c r="AH83">
        <f>(EW83)</f>
        <v>0</v>
      </c>
      <c r="AI83">
        <f>(EX83)</f>
        <v>0</v>
      </c>
      <c r="AJ83">
        <f>(AS83)</f>
        <v>0</v>
      </c>
      <c r="AK83">
        <v>198992.34</v>
      </c>
      <c r="AL83">
        <v>198992.34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70</v>
      </c>
      <c r="AU83">
        <v>10</v>
      </c>
      <c r="AV83">
        <v>1</v>
      </c>
      <c r="AW83">
        <v>1</v>
      </c>
      <c r="AZ83">
        <v>1</v>
      </c>
      <c r="BA83">
        <v>1</v>
      </c>
      <c r="BB83">
        <v>1</v>
      </c>
      <c r="BC83">
        <v>1</v>
      </c>
      <c r="BD83" t="s">
        <v>3</v>
      </c>
      <c r="BE83" t="s">
        <v>3</v>
      </c>
      <c r="BF83" t="s">
        <v>3</v>
      </c>
      <c r="BG83" t="s">
        <v>3</v>
      </c>
      <c r="BH83">
        <v>3</v>
      </c>
      <c r="BI83">
        <v>4</v>
      </c>
      <c r="BJ83" t="s">
        <v>148</v>
      </c>
      <c r="BM83">
        <v>0</v>
      </c>
      <c r="BN83">
        <v>75371441</v>
      </c>
      <c r="BO83" t="s">
        <v>3</v>
      </c>
      <c r="BP83">
        <v>0</v>
      </c>
      <c r="BQ83">
        <v>1</v>
      </c>
      <c r="BR83">
        <v>0</v>
      </c>
      <c r="BS83">
        <v>1</v>
      </c>
      <c r="BT83">
        <v>1</v>
      </c>
      <c r="BU83">
        <v>1</v>
      </c>
      <c r="BV83">
        <v>1</v>
      </c>
      <c r="BW83">
        <v>1</v>
      </c>
      <c r="BX83">
        <v>1</v>
      </c>
      <c r="BY83" t="s">
        <v>3</v>
      </c>
      <c r="BZ83">
        <v>70</v>
      </c>
      <c r="CA83">
        <v>10</v>
      </c>
      <c r="CB83" t="s">
        <v>3</v>
      </c>
      <c r="CE83">
        <v>0</v>
      </c>
      <c r="CF83">
        <v>0</v>
      </c>
      <c r="CG83">
        <v>0</v>
      </c>
      <c r="CM83">
        <v>0</v>
      </c>
      <c r="CN83" t="s">
        <v>3</v>
      </c>
      <c r="CO83">
        <v>0</v>
      </c>
      <c r="CP83">
        <f>(P83+Q83+S83)</f>
        <v>263.27</v>
      </c>
      <c r="CQ83">
        <f>(AC83*BC83*AW83)</f>
        <v>198992.34</v>
      </c>
      <c r="CR83">
        <f>((((ET83)*BB83-(EU83)*BS83)+AE83*BS83)*AV83)</f>
        <v>0</v>
      </c>
      <c r="CS83">
        <f>(AE83*BS83*AV83)</f>
        <v>0</v>
      </c>
      <c r="CT83">
        <f>(AF83*BA83*AV83)</f>
        <v>0</v>
      </c>
      <c r="CU83">
        <f>AG83</f>
        <v>0</v>
      </c>
      <c r="CV83">
        <f>(AH83*AV83)</f>
        <v>0</v>
      </c>
      <c r="CW83">
        <f>AI83</f>
        <v>0</v>
      </c>
      <c r="CX83">
        <f>AJ83</f>
        <v>0</v>
      </c>
      <c r="CY83">
        <f>((S83*BZ83)/100)</f>
        <v>0</v>
      </c>
      <c r="CZ83">
        <f>((S83*CA83)/100)</f>
        <v>0</v>
      </c>
      <c r="DC83" t="s">
        <v>3</v>
      </c>
      <c r="DD83" t="s">
        <v>3</v>
      </c>
      <c r="DE83" t="s">
        <v>3</v>
      </c>
      <c r="DF83" t="s">
        <v>3</v>
      </c>
      <c r="DG83" t="s">
        <v>3</v>
      </c>
      <c r="DH83" t="s">
        <v>3</v>
      </c>
      <c r="DI83" t="s">
        <v>3</v>
      </c>
      <c r="DJ83" t="s">
        <v>3</v>
      </c>
      <c r="DK83" t="s">
        <v>3</v>
      </c>
      <c r="DL83" t="s">
        <v>3</v>
      </c>
      <c r="DM83" t="s">
        <v>3</v>
      </c>
      <c r="DN83">
        <v>0</v>
      </c>
      <c r="DO83">
        <v>0</v>
      </c>
      <c r="DP83">
        <v>1</v>
      </c>
      <c r="DQ83">
        <v>1</v>
      </c>
      <c r="DU83">
        <v>1009</v>
      </c>
      <c r="DV83" t="s">
        <v>56</v>
      </c>
      <c r="DW83" t="s">
        <v>56</v>
      </c>
      <c r="DX83">
        <v>1000</v>
      </c>
      <c r="DZ83" t="s">
        <v>3</v>
      </c>
      <c r="EA83" t="s">
        <v>3</v>
      </c>
      <c r="EB83" t="s">
        <v>3</v>
      </c>
      <c r="EC83" t="s">
        <v>3</v>
      </c>
      <c r="EE83">
        <v>75371444</v>
      </c>
      <c r="EF83">
        <v>1</v>
      </c>
      <c r="EG83" t="s">
        <v>22</v>
      </c>
      <c r="EH83">
        <v>0</v>
      </c>
      <c r="EI83" t="s">
        <v>3</v>
      </c>
      <c r="EJ83">
        <v>4</v>
      </c>
      <c r="EK83">
        <v>0</v>
      </c>
      <c r="EL83" t="s">
        <v>23</v>
      </c>
      <c r="EM83" t="s">
        <v>24</v>
      </c>
      <c r="EO83" t="s">
        <v>3</v>
      </c>
      <c r="EQ83">
        <v>0</v>
      </c>
      <c r="ER83">
        <v>198992.34</v>
      </c>
      <c r="ES83">
        <v>198992.34</v>
      </c>
      <c r="ET83">
        <v>0</v>
      </c>
      <c r="EU83">
        <v>0</v>
      </c>
      <c r="EV83">
        <v>0</v>
      </c>
      <c r="EW83">
        <v>0</v>
      </c>
      <c r="EX83">
        <v>0</v>
      </c>
      <c r="FQ83">
        <v>0</v>
      </c>
      <c r="FR83">
        <f>ROUND(IF(BI83=3,GM83,0),2)</f>
        <v>0</v>
      </c>
      <c r="FS83">
        <v>0</v>
      </c>
      <c r="FX83">
        <v>70</v>
      </c>
      <c r="FY83">
        <v>10</v>
      </c>
      <c r="GA83" t="s">
        <v>3</v>
      </c>
      <c r="GD83">
        <v>0</v>
      </c>
      <c r="GF83">
        <v>812432982</v>
      </c>
      <c r="GG83">
        <v>2</v>
      </c>
      <c r="GH83">
        <v>1</v>
      </c>
      <c r="GI83">
        <v>-2</v>
      </c>
      <c r="GJ83">
        <v>0</v>
      </c>
      <c r="GK83">
        <f>ROUND(R83*(R12)/100,2)</f>
        <v>0</v>
      </c>
      <c r="GL83">
        <f>ROUND(IF(AND(BH83=3,BI83=3,FS83&lt;&gt;0),P83,0),2)</f>
        <v>0</v>
      </c>
      <c r="GM83">
        <f>ROUND(O83+X83+Y83+GK83,2)+GX83</f>
        <v>263.27</v>
      </c>
      <c r="GN83">
        <f>IF(OR(BI83=0,BI83=1),GM83-GX83,0)</f>
        <v>0</v>
      </c>
      <c r="GO83">
        <f>IF(BI83=2,GM83-GX83,0)</f>
        <v>0</v>
      </c>
      <c r="GP83">
        <f>IF(BI83=4,GM83-GX83,0)</f>
        <v>263.27</v>
      </c>
      <c r="GR83">
        <v>0</v>
      </c>
      <c r="GS83">
        <v>3</v>
      </c>
      <c r="GT83">
        <v>0</v>
      </c>
      <c r="GU83" t="s">
        <v>3</v>
      </c>
      <c r="GV83">
        <f>ROUND((GT83),6)</f>
        <v>0</v>
      </c>
      <c r="GW83">
        <v>1</v>
      </c>
      <c r="GX83">
        <f>ROUND(HC83*I83,2)</f>
        <v>0</v>
      </c>
      <c r="HA83">
        <v>0</v>
      </c>
      <c r="HB83">
        <v>0</v>
      </c>
      <c r="HC83">
        <f>GV83*GW83</f>
        <v>0</v>
      </c>
      <c r="HE83" t="s">
        <v>3</v>
      </c>
      <c r="HF83" t="s">
        <v>3</v>
      </c>
      <c r="HM83" t="s">
        <v>3</v>
      </c>
      <c r="HN83" t="s">
        <v>3</v>
      </c>
      <c r="HO83" t="s">
        <v>3</v>
      </c>
      <c r="HP83" t="s">
        <v>3</v>
      </c>
      <c r="HQ83" t="s">
        <v>3</v>
      </c>
      <c r="IK83">
        <v>0</v>
      </c>
    </row>
    <row r="85" spans="1:245" x14ac:dyDescent="0.2">
      <c r="A85" s="2">
        <v>51</v>
      </c>
      <c r="B85" s="2">
        <f>B78</f>
        <v>1</v>
      </c>
      <c r="C85" s="2">
        <f>A78</f>
        <v>5</v>
      </c>
      <c r="D85" s="2">
        <f>ROW(A78)</f>
        <v>78</v>
      </c>
      <c r="E85" s="2"/>
      <c r="F85" s="2" t="str">
        <f>IF(F78&lt;&gt;"",F78,"")</f>
        <v>Новый подраздел</v>
      </c>
      <c r="G85" s="2" t="str">
        <f>IF(G78&lt;&gt;"",G78,"")</f>
        <v>Стены</v>
      </c>
      <c r="H85" s="2">
        <v>0</v>
      </c>
      <c r="I85" s="2"/>
      <c r="J85" s="2"/>
      <c r="K85" s="2"/>
      <c r="L85" s="2"/>
      <c r="M85" s="2"/>
      <c r="N85" s="2"/>
      <c r="O85" s="2">
        <f t="shared" ref="O85:T85" si="77">ROUND(AB85,2)</f>
        <v>14675.51</v>
      </c>
      <c r="P85" s="2">
        <f t="shared" si="77"/>
        <v>5910.1</v>
      </c>
      <c r="Q85" s="2">
        <f t="shared" si="77"/>
        <v>0</v>
      </c>
      <c r="R85" s="2">
        <f t="shared" si="77"/>
        <v>0</v>
      </c>
      <c r="S85" s="2">
        <f t="shared" si="77"/>
        <v>8765.41</v>
      </c>
      <c r="T85" s="2">
        <f t="shared" si="77"/>
        <v>0</v>
      </c>
      <c r="U85" s="2">
        <f>AH85</f>
        <v>19.076560000000001</v>
      </c>
      <c r="V85" s="2">
        <f>AI85</f>
        <v>0</v>
      </c>
      <c r="W85" s="2">
        <f>ROUND(AJ85,2)</f>
        <v>0</v>
      </c>
      <c r="X85" s="2">
        <f>ROUND(AK85,2)</f>
        <v>6135.79</v>
      </c>
      <c r="Y85" s="2">
        <f>ROUND(AL85,2)</f>
        <v>876.54</v>
      </c>
      <c r="Z85" s="2"/>
      <c r="AA85" s="2"/>
      <c r="AB85" s="2">
        <f>ROUND(SUMIF(AA82:AA83,"=75703208",O82:O83),2)</f>
        <v>14675.51</v>
      </c>
      <c r="AC85" s="2">
        <f>ROUND(SUMIF(AA82:AA83,"=75703208",P82:P83),2)</f>
        <v>5910.1</v>
      </c>
      <c r="AD85" s="2">
        <f>ROUND(SUMIF(AA82:AA83,"=75703208",Q82:Q83),2)</f>
        <v>0</v>
      </c>
      <c r="AE85" s="2">
        <f>ROUND(SUMIF(AA82:AA83,"=75703208",R82:R83),2)</f>
        <v>0</v>
      </c>
      <c r="AF85" s="2">
        <f>ROUND(SUMIF(AA82:AA83,"=75703208",S82:S83),2)</f>
        <v>8765.41</v>
      </c>
      <c r="AG85" s="2">
        <f>ROUND(SUMIF(AA82:AA83,"=75703208",T82:T83),2)</f>
        <v>0</v>
      </c>
      <c r="AH85" s="2">
        <f>SUMIF(AA82:AA83,"=75703208",U82:U83)</f>
        <v>19.076560000000001</v>
      </c>
      <c r="AI85" s="2">
        <f>SUMIF(AA82:AA83,"=75703208",V82:V83)</f>
        <v>0</v>
      </c>
      <c r="AJ85" s="2">
        <f>ROUND(SUMIF(AA82:AA83,"=75703208",W82:W83),2)</f>
        <v>0</v>
      </c>
      <c r="AK85" s="2">
        <f>ROUND(SUMIF(AA82:AA83,"=75703208",X82:X83),2)</f>
        <v>6135.79</v>
      </c>
      <c r="AL85" s="2">
        <f>ROUND(SUMIF(AA82:AA83,"=75703208",Y82:Y83),2)</f>
        <v>876.54</v>
      </c>
      <c r="AM85" s="2"/>
      <c r="AN85" s="2"/>
      <c r="AO85" s="2">
        <f t="shared" ref="AO85:BD85" si="78">ROUND(BX85,2)</f>
        <v>0</v>
      </c>
      <c r="AP85" s="2">
        <f t="shared" si="78"/>
        <v>0</v>
      </c>
      <c r="AQ85" s="2">
        <f t="shared" si="78"/>
        <v>0</v>
      </c>
      <c r="AR85" s="2">
        <f t="shared" si="78"/>
        <v>21687.84</v>
      </c>
      <c r="AS85" s="2">
        <f t="shared" si="78"/>
        <v>0</v>
      </c>
      <c r="AT85" s="2">
        <f t="shared" si="78"/>
        <v>0</v>
      </c>
      <c r="AU85" s="2">
        <f t="shared" si="78"/>
        <v>21687.84</v>
      </c>
      <c r="AV85" s="2">
        <f t="shared" si="78"/>
        <v>5910.1</v>
      </c>
      <c r="AW85" s="2">
        <f t="shared" si="78"/>
        <v>5910.1</v>
      </c>
      <c r="AX85" s="2">
        <f t="shared" si="78"/>
        <v>0</v>
      </c>
      <c r="AY85" s="2">
        <f t="shared" si="78"/>
        <v>5910.1</v>
      </c>
      <c r="AZ85" s="2">
        <f t="shared" si="78"/>
        <v>0</v>
      </c>
      <c r="BA85" s="2">
        <f t="shared" si="78"/>
        <v>0</v>
      </c>
      <c r="BB85" s="2">
        <f t="shared" si="78"/>
        <v>0</v>
      </c>
      <c r="BC85" s="2">
        <f t="shared" si="78"/>
        <v>0</v>
      </c>
      <c r="BD85" s="2">
        <f t="shared" si="78"/>
        <v>0</v>
      </c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>
        <f>ROUND(SUMIF(AA82:AA83,"=75703208",FQ82:FQ83),2)</f>
        <v>0</v>
      </c>
      <c r="BY85" s="2">
        <f>ROUND(SUMIF(AA82:AA83,"=75703208",FR82:FR83),2)</f>
        <v>0</v>
      </c>
      <c r="BZ85" s="2">
        <f>ROUND(SUMIF(AA82:AA83,"=75703208",GL82:GL83),2)</f>
        <v>0</v>
      </c>
      <c r="CA85" s="2">
        <f>ROUND(SUMIF(AA82:AA83,"=75703208",GM82:GM83),2)</f>
        <v>21687.84</v>
      </c>
      <c r="CB85" s="2">
        <f>ROUND(SUMIF(AA82:AA83,"=75703208",GN82:GN83),2)</f>
        <v>0</v>
      </c>
      <c r="CC85" s="2">
        <f>ROUND(SUMIF(AA82:AA83,"=75703208",GO82:GO83),2)</f>
        <v>0</v>
      </c>
      <c r="CD85" s="2">
        <f>ROUND(SUMIF(AA82:AA83,"=75703208",GP82:GP83),2)</f>
        <v>21687.84</v>
      </c>
      <c r="CE85" s="2">
        <f>AC85-BX85</f>
        <v>5910.1</v>
      </c>
      <c r="CF85" s="2">
        <f>AC85-BY85</f>
        <v>5910.1</v>
      </c>
      <c r="CG85" s="2">
        <f>BX85-BZ85</f>
        <v>0</v>
      </c>
      <c r="CH85" s="2">
        <f>AC85-BX85-BY85+BZ85</f>
        <v>5910.1</v>
      </c>
      <c r="CI85" s="2">
        <f>BY85-BZ85</f>
        <v>0</v>
      </c>
      <c r="CJ85" s="2">
        <f>ROUND(SUMIF(AA82:AA83,"=75703208",GX82:GX83),2)</f>
        <v>0</v>
      </c>
      <c r="CK85" s="2">
        <f>ROUND(SUMIF(AA82:AA83,"=75703208",GY82:GY83),2)</f>
        <v>0</v>
      </c>
      <c r="CL85" s="2">
        <f>ROUND(SUMIF(AA82:AA83,"=75703208",GZ82:GZ83),2)</f>
        <v>0</v>
      </c>
      <c r="CM85" s="2">
        <f>ROUND(SUMIF(AA82:AA83,"=75703208",HD82:HD83),2)</f>
        <v>0</v>
      </c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  <c r="DG85" s="3"/>
      <c r="DH85" s="3"/>
      <c r="DI85" s="3"/>
      <c r="DJ85" s="3"/>
      <c r="DK85" s="3"/>
      <c r="DL85" s="3"/>
      <c r="DM85" s="3"/>
      <c r="DN85" s="3"/>
      <c r="DO85" s="3"/>
      <c r="DP85" s="3"/>
      <c r="DQ85" s="3"/>
      <c r="DR85" s="3"/>
      <c r="DS85" s="3"/>
      <c r="DT85" s="3"/>
      <c r="DU85" s="3"/>
      <c r="DV85" s="3"/>
      <c r="DW85" s="3"/>
      <c r="DX85" s="3"/>
      <c r="DY85" s="3"/>
      <c r="DZ85" s="3"/>
      <c r="EA85" s="3"/>
      <c r="EB85" s="3"/>
      <c r="EC85" s="3"/>
      <c r="ED85" s="3"/>
      <c r="EE85" s="3"/>
      <c r="EF85" s="3"/>
      <c r="EG85" s="3"/>
      <c r="EH85" s="3"/>
      <c r="EI85" s="3"/>
      <c r="EJ85" s="3"/>
      <c r="EK85" s="3"/>
      <c r="EL85" s="3"/>
      <c r="EM85" s="3"/>
      <c r="EN85" s="3"/>
      <c r="EO85" s="3"/>
      <c r="EP85" s="3"/>
      <c r="EQ85" s="3"/>
      <c r="ER85" s="3"/>
      <c r="ES85" s="3"/>
      <c r="ET85" s="3"/>
      <c r="EU85" s="3"/>
      <c r="EV85" s="3"/>
      <c r="EW85" s="3"/>
      <c r="EX85" s="3"/>
      <c r="EY85" s="3"/>
      <c r="EZ85" s="3"/>
      <c r="FA85" s="3"/>
      <c r="FB85" s="3"/>
      <c r="FC85" s="3"/>
      <c r="FD85" s="3"/>
      <c r="FE85" s="3"/>
      <c r="FF85" s="3"/>
      <c r="FG85" s="3"/>
      <c r="FH85" s="3"/>
      <c r="FI85" s="3"/>
      <c r="FJ85" s="3"/>
      <c r="FK85" s="3"/>
      <c r="FL85" s="3"/>
      <c r="FM85" s="3"/>
      <c r="FN85" s="3"/>
      <c r="FO85" s="3"/>
      <c r="FP85" s="3"/>
      <c r="FQ85" s="3"/>
      <c r="FR85" s="3"/>
      <c r="FS85" s="3"/>
      <c r="FT85" s="3"/>
      <c r="FU85" s="3"/>
      <c r="FV85" s="3"/>
      <c r="FW85" s="3"/>
      <c r="FX85" s="3"/>
      <c r="FY85" s="3"/>
      <c r="FZ85" s="3"/>
      <c r="GA85" s="3"/>
      <c r="GB85" s="3"/>
      <c r="GC85" s="3"/>
      <c r="GD85" s="3"/>
      <c r="GE85" s="3"/>
      <c r="GF85" s="3"/>
      <c r="GG85" s="3"/>
      <c r="GH85" s="3"/>
      <c r="GI85" s="3"/>
      <c r="GJ85" s="3"/>
      <c r="GK85" s="3"/>
      <c r="GL85" s="3"/>
      <c r="GM85" s="3"/>
      <c r="GN85" s="3"/>
      <c r="GO85" s="3"/>
      <c r="GP85" s="3"/>
      <c r="GQ85" s="3"/>
      <c r="GR85" s="3"/>
      <c r="GS85" s="3"/>
      <c r="GT85" s="3"/>
      <c r="GU85" s="3"/>
      <c r="GV85" s="3"/>
      <c r="GW85" s="3"/>
      <c r="GX85" s="3">
        <v>0</v>
      </c>
    </row>
    <row r="87" spans="1:245" x14ac:dyDescent="0.2">
      <c r="A87" s="4">
        <v>50</v>
      </c>
      <c r="B87" s="4">
        <v>0</v>
      </c>
      <c r="C87" s="4">
        <v>0</v>
      </c>
      <c r="D87" s="4">
        <v>1</v>
      </c>
      <c r="E87" s="4">
        <v>201</v>
      </c>
      <c r="F87" s="4">
        <f>ROUND(Source!O85,O87)</f>
        <v>14675.51</v>
      </c>
      <c r="G87" s="4" t="s">
        <v>86</v>
      </c>
      <c r="H87" s="4" t="s">
        <v>87</v>
      </c>
      <c r="I87" s="4"/>
      <c r="J87" s="4"/>
      <c r="K87" s="4">
        <v>201</v>
      </c>
      <c r="L87" s="4">
        <v>1</v>
      </c>
      <c r="M87" s="4">
        <v>3</v>
      </c>
      <c r="N87" s="4" t="s">
        <v>3</v>
      </c>
      <c r="O87" s="4">
        <v>2</v>
      </c>
      <c r="P87" s="4"/>
      <c r="Q87" s="4"/>
      <c r="R87" s="4"/>
      <c r="S87" s="4"/>
      <c r="T87" s="4"/>
      <c r="U87" s="4"/>
      <c r="V87" s="4"/>
      <c r="W87" s="4">
        <v>14675.51</v>
      </c>
      <c r="X87" s="4">
        <v>1</v>
      </c>
      <c r="Y87" s="4">
        <v>14675.51</v>
      </c>
      <c r="Z87" s="4"/>
      <c r="AA87" s="4"/>
      <c r="AB87" s="4"/>
    </row>
    <row r="88" spans="1:245" x14ac:dyDescent="0.2">
      <c r="A88" s="4">
        <v>50</v>
      </c>
      <c r="B88" s="4">
        <v>0</v>
      </c>
      <c r="C88" s="4">
        <v>0</v>
      </c>
      <c r="D88" s="4">
        <v>1</v>
      </c>
      <c r="E88" s="4">
        <v>202</v>
      </c>
      <c r="F88" s="4">
        <f>ROUND(Source!P85,O88)</f>
        <v>5910.1</v>
      </c>
      <c r="G88" s="4" t="s">
        <v>88</v>
      </c>
      <c r="H88" s="4" t="s">
        <v>89</v>
      </c>
      <c r="I88" s="4"/>
      <c r="J88" s="4"/>
      <c r="K88" s="4">
        <v>202</v>
      </c>
      <c r="L88" s="4">
        <v>2</v>
      </c>
      <c r="M88" s="4">
        <v>3</v>
      </c>
      <c r="N88" s="4" t="s">
        <v>3</v>
      </c>
      <c r="O88" s="4">
        <v>2</v>
      </c>
      <c r="P88" s="4"/>
      <c r="Q88" s="4"/>
      <c r="R88" s="4"/>
      <c r="S88" s="4"/>
      <c r="T88" s="4"/>
      <c r="U88" s="4"/>
      <c r="V88" s="4"/>
      <c r="W88" s="4">
        <v>5910.1</v>
      </c>
      <c r="X88" s="4">
        <v>1</v>
      </c>
      <c r="Y88" s="4">
        <v>5910.1</v>
      </c>
      <c r="Z88" s="4"/>
      <c r="AA88" s="4"/>
      <c r="AB88" s="4"/>
    </row>
    <row r="89" spans="1:245" x14ac:dyDescent="0.2">
      <c r="A89" s="4">
        <v>50</v>
      </c>
      <c r="B89" s="4">
        <v>0</v>
      </c>
      <c r="C89" s="4">
        <v>0</v>
      </c>
      <c r="D89" s="4">
        <v>1</v>
      </c>
      <c r="E89" s="4">
        <v>222</v>
      </c>
      <c r="F89" s="4">
        <f>ROUND(Source!AO85,O89)</f>
        <v>0</v>
      </c>
      <c r="G89" s="4" t="s">
        <v>90</v>
      </c>
      <c r="H89" s="4" t="s">
        <v>91</v>
      </c>
      <c r="I89" s="4"/>
      <c r="J89" s="4"/>
      <c r="K89" s="4">
        <v>222</v>
      </c>
      <c r="L89" s="4">
        <v>3</v>
      </c>
      <c r="M89" s="4">
        <v>3</v>
      </c>
      <c r="N89" s="4" t="s">
        <v>3</v>
      </c>
      <c r="O89" s="4">
        <v>2</v>
      </c>
      <c r="P89" s="4"/>
      <c r="Q89" s="4"/>
      <c r="R89" s="4"/>
      <c r="S89" s="4"/>
      <c r="T89" s="4"/>
      <c r="U89" s="4"/>
      <c r="V89" s="4"/>
      <c r="W89" s="4">
        <v>0</v>
      </c>
      <c r="X89" s="4">
        <v>1</v>
      </c>
      <c r="Y89" s="4">
        <v>0</v>
      </c>
      <c r="Z89" s="4"/>
      <c r="AA89" s="4"/>
      <c r="AB89" s="4"/>
    </row>
    <row r="90" spans="1:245" x14ac:dyDescent="0.2">
      <c r="A90" s="4">
        <v>50</v>
      </c>
      <c r="B90" s="4">
        <v>0</v>
      </c>
      <c r="C90" s="4">
        <v>0</v>
      </c>
      <c r="D90" s="4">
        <v>1</v>
      </c>
      <c r="E90" s="4">
        <v>225</v>
      </c>
      <c r="F90" s="4">
        <f>ROUND(Source!AV85,O90)</f>
        <v>5910.1</v>
      </c>
      <c r="G90" s="4" t="s">
        <v>92</v>
      </c>
      <c r="H90" s="4" t="s">
        <v>93</v>
      </c>
      <c r="I90" s="4"/>
      <c r="J90" s="4"/>
      <c r="K90" s="4">
        <v>225</v>
      </c>
      <c r="L90" s="4">
        <v>4</v>
      </c>
      <c r="M90" s="4">
        <v>3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>
        <v>5910.1</v>
      </c>
      <c r="X90" s="4">
        <v>1</v>
      </c>
      <c r="Y90" s="4">
        <v>5910.1</v>
      </c>
      <c r="Z90" s="4"/>
      <c r="AA90" s="4"/>
      <c r="AB90" s="4"/>
    </row>
    <row r="91" spans="1:245" x14ac:dyDescent="0.2">
      <c r="A91" s="4">
        <v>50</v>
      </c>
      <c r="B91" s="4">
        <v>0</v>
      </c>
      <c r="C91" s="4">
        <v>0</v>
      </c>
      <c r="D91" s="4">
        <v>1</v>
      </c>
      <c r="E91" s="4">
        <v>226</v>
      </c>
      <c r="F91" s="4">
        <f>ROUND(Source!AW85,O91)</f>
        <v>5910.1</v>
      </c>
      <c r="G91" s="4" t="s">
        <v>94</v>
      </c>
      <c r="H91" s="4" t="s">
        <v>95</v>
      </c>
      <c r="I91" s="4"/>
      <c r="J91" s="4"/>
      <c r="K91" s="4">
        <v>226</v>
      </c>
      <c r="L91" s="4">
        <v>5</v>
      </c>
      <c r="M91" s="4">
        <v>3</v>
      </c>
      <c r="N91" s="4" t="s">
        <v>3</v>
      </c>
      <c r="O91" s="4">
        <v>2</v>
      </c>
      <c r="P91" s="4"/>
      <c r="Q91" s="4"/>
      <c r="R91" s="4"/>
      <c r="S91" s="4"/>
      <c r="T91" s="4"/>
      <c r="U91" s="4"/>
      <c r="V91" s="4"/>
      <c r="W91" s="4">
        <v>5910.1</v>
      </c>
      <c r="X91" s="4">
        <v>1</v>
      </c>
      <c r="Y91" s="4">
        <v>5910.1</v>
      </c>
      <c r="Z91" s="4"/>
      <c r="AA91" s="4"/>
      <c r="AB91" s="4"/>
    </row>
    <row r="92" spans="1:245" x14ac:dyDescent="0.2">
      <c r="A92" s="4">
        <v>50</v>
      </c>
      <c r="B92" s="4">
        <v>0</v>
      </c>
      <c r="C92" s="4">
        <v>0</v>
      </c>
      <c r="D92" s="4">
        <v>1</v>
      </c>
      <c r="E92" s="4">
        <v>227</v>
      </c>
      <c r="F92" s="4">
        <f>ROUND(Source!AX85,O92)</f>
        <v>0</v>
      </c>
      <c r="G92" s="4" t="s">
        <v>96</v>
      </c>
      <c r="H92" s="4" t="s">
        <v>97</v>
      </c>
      <c r="I92" s="4"/>
      <c r="J92" s="4"/>
      <c r="K92" s="4">
        <v>227</v>
      </c>
      <c r="L92" s="4">
        <v>6</v>
      </c>
      <c r="M92" s="4">
        <v>3</v>
      </c>
      <c r="N92" s="4" t="s">
        <v>3</v>
      </c>
      <c r="O92" s="4">
        <v>2</v>
      </c>
      <c r="P92" s="4"/>
      <c r="Q92" s="4"/>
      <c r="R92" s="4"/>
      <c r="S92" s="4"/>
      <c r="T92" s="4"/>
      <c r="U92" s="4"/>
      <c r="V92" s="4"/>
      <c r="W92" s="4">
        <v>0</v>
      </c>
      <c r="X92" s="4">
        <v>1</v>
      </c>
      <c r="Y92" s="4">
        <v>0</v>
      </c>
      <c r="Z92" s="4"/>
      <c r="AA92" s="4"/>
      <c r="AB92" s="4"/>
    </row>
    <row r="93" spans="1:245" x14ac:dyDescent="0.2">
      <c r="A93" s="4">
        <v>50</v>
      </c>
      <c r="B93" s="4">
        <v>0</v>
      </c>
      <c r="C93" s="4">
        <v>0</v>
      </c>
      <c r="D93" s="4">
        <v>1</v>
      </c>
      <c r="E93" s="4">
        <v>228</v>
      </c>
      <c r="F93" s="4">
        <f>ROUND(Source!AY85,O93)</f>
        <v>5910.1</v>
      </c>
      <c r="G93" s="4" t="s">
        <v>98</v>
      </c>
      <c r="H93" s="4" t="s">
        <v>99</v>
      </c>
      <c r="I93" s="4"/>
      <c r="J93" s="4"/>
      <c r="K93" s="4">
        <v>228</v>
      </c>
      <c r="L93" s="4">
        <v>7</v>
      </c>
      <c r="M93" s="4">
        <v>3</v>
      </c>
      <c r="N93" s="4" t="s">
        <v>3</v>
      </c>
      <c r="O93" s="4">
        <v>2</v>
      </c>
      <c r="P93" s="4"/>
      <c r="Q93" s="4"/>
      <c r="R93" s="4"/>
      <c r="S93" s="4"/>
      <c r="T93" s="4"/>
      <c r="U93" s="4"/>
      <c r="V93" s="4"/>
      <c r="W93" s="4">
        <v>5910.1</v>
      </c>
      <c r="X93" s="4">
        <v>1</v>
      </c>
      <c r="Y93" s="4">
        <v>5910.1</v>
      </c>
      <c r="Z93" s="4"/>
      <c r="AA93" s="4"/>
      <c r="AB93" s="4"/>
    </row>
    <row r="94" spans="1:245" x14ac:dyDescent="0.2">
      <c r="A94" s="4">
        <v>50</v>
      </c>
      <c r="B94" s="4">
        <v>0</v>
      </c>
      <c r="C94" s="4">
        <v>0</v>
      </c>
      <c r="D94" s="4">
        <v>1</v>
      </c>
      <c r="E94" s="4">
        <v>216</v>
      </c>
      <c r="F94" s="4">
        <f>ROUND(Source!AP85,O94)</f>
        <v>0</v>
      </c>
      <c r="G94" s="4" t="s">
        <v>100</v>
      </c>
      <c r="H94" s="4" t="s">
        <v>101</v>
      </c>
      <c r="I94" s="4"/>
      <c r="J94" s="4"/>
      <c r="K94" s="4">
        <v>216</v>
      </c>
      <c r="L94" s="4">
        <v>8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>
        <v>0</v>
      </c>
      <c r="X94" s="4">
        <v>1</v>
      </c>
      <c r="Y94" s="4">
        <v>0</v>
      </c>
      <c r="Z94" s="4"/>
      <c r="AA94" s="4"/>
      <c r="AB94" s="4"/>
    </row>
    <row r="95" spans="1:245" x14ac:dyDescent="0.2">
      <c r="A95" s="4">
        <v>50</v>
      </c>
      <c r="B95" s="4">
        <v>0</v>
      </c>
      <c r="C95" s="4">
        <v>0</v>
      </c>
      <c r="D95" s="4">
        <v>1</v>
      </c>
      <c r="E95" s="4">
        <v>223</v>
      </c>
      <c r="F95" s="4">
        <f>ROUND(Source!AQ85,O95)</f>
        <v>0</v>
      </c>
      <c r="G95" s="4" t="s">
        <v>102</v>
      </c>
      <c r="H95" s="4" t="s">
        <v>103</v>
      </c>
      <c r="I95" s="4"/>
      <c r="J95" s="4"/>
      <c r="K95" s="4">
        <v>223</v>
      </c>
      <c r="L95" s="4">
        <v>9</v>
      </c>
      <c r="M95" s="4">
        <v>3</v>
      </c>
      <c r="N95" s="4" t="s">
        <v>3</v>
      </c>
      <c r="O95" s="4">
        <v>2</v>
      </c>
      <c r="P95" s="4"/>
      <c r="Q95" s="4"/>
      <c r="R95" s="4"/>
      <c r="S95" s="4"/>
      <c r="T95" s="4"/>
      <c r="U95" s="4"/>
      <c r="V95" s="4"/>
      <c r="W95" s="4">
        <v>0</v>
      </c>
      <c r="X95" s="4">
        <v>1</v>
      </c>
      <c r="Y95" s="4">
        <v>0</v>
      </c>
      <c r="Z95" s="4"/>
      <c r="AA95" s="4"/>
      <c r="AB95" s="4"/>
    </row>
    <row r="96" spans="1:245" x14ac:dyDescent="0.2">
      <c r="A96" s="4">
        <v>50</v>
      </c>
      <c r="B96" s="4">
        <v>0</v>
      </c>
      <c r="C96" s="4">
        <v>0</v>
      </c>
      <c r="D96" s="4">
        <v>1</v>
      </c>
      <c r="E96" s="4">
        <v>229</v>
      </c>
      <c r="F96" s="4">
        <f>ROUND(Source!AZ85,O96)</f>
        <v>0</v>
      </c>
      <c r="G96" s="4" t="s">
        <v>104</v>
      </c>
      <c r="H96" s="4" t="s">
        <v>105</v>
      </c>
      <c r="I96" s="4"/>
      <c r="J96" s="4"/>
      <c r="K96" s="4">
        <v>229</v>
      </c>
      <c r="L96" s="4">
        <v>10</v>
      </c>
      <c r="M96" s="4">
        <v>3</v>
      </c>
      <c r="N96" s="4" t="s">
        <v>3</v>
      </c>
      <c r="O96" s="4">
        <v>2</v>
      </c>
      <c r="P96" s="4"/>
      <c r="Q96" s="4"/>
      <c r="R96" s="4"/>
      <c r="S96" s="4"/>
      <c r="T96" s="4"/>
      <c r="U96" s="4"/>
      <c r="V96" s="4"/>
      <c r="W96" s="4">
        <v>0</v>
      </c>
      <c r="X96" s="4">
        <v>1</v>
      </c>
      <c r="Y96" s="4">
        <v>0</v>
      </c>
      <c r="Z96" s="4"/>
      <c r="AA96" s="4"/>
      <c r="AB96" s="4"/>
    </row>
    <row r="97" spans="1:28" x14ac:dyDescent="0.2">
      <c r="A97" s="4">
        <v>50</v>
      </c>
      <c r="B97" s="4">
        <v>0</v>
      </c>
      <c r="C97" s="4">
        <v>0</v>
      </c>
      <c r="D97" s="4">
        <v>1</v>
      </c>
      <c r="E97" s="4">
        <v>203</v>
      </c>
      <c r="F97" s="4">
        <f>ROUND(Source!Q85,O97)</f>
        <v>0</v>
      </c>
      <c r="G97" s="4" t="s">
        <v>106</v>
      </c>
      <c r="H97" s="4" t="s">
        <v>107</v>
      </c>
      <c r="I97" s="4"/>
      <c r="J97" s="4"/>
      <c r="K97" s="4">
        <v>203</v>
      </c>
      <c r="L97" s="4">
        <v>11</v>
      </c>
      <c r="M97" s="4">
        <v>3</v>
      </c>
      <c r="N97" s="4" t="s">
        <v>3</v>
      </c>
      <c r="O97" s="4">
        <v>2</v>
      </c>
      <c r="P97" s="4"/>
      <c r="Q97" s="4"/>
      <c r="R97" s="4"/>
      <c r="S97" s="4"/>
      <c r="T97" s="4"/>
      <c r="U97" s="4"/>
      <c r="V97" s="4"/>
      <c r="W97" s="4">
        <v>0</v>
      </c>
      <c r="X97" s="4">
        <v>1</v>
      </c>
      <c r="Y97" s="4">
        <v>0</v>
      </c>
      <c r="Z97" s="4"/>
      <c r="AA97" s="4"/>
      <c r="AB97" s="4"/>
    </row>
    <row r="98" spans="1:28" x14ac:dyDescent="0.2">
      <c r="A98" s="4">
        <v>50</v>
      </c>
      <c r="B98" s="4">
        <v>0</v>
      </c>
      <c r="C98" s="4">
        <v>0</v>
      </c>
      <c r="D98" s="4">
        <v>1</v>
      </c>
      <c r="E98" s="4">
        <v>231</v>
      </c>
      <c r="F98" s="4">
        <f>ROUND(Source!BB85,O98)</f>
        <v>0</v>
      </c>
      <c r="G98" s="4" t="s">
        <v>108</v>
      </c>
      <c r="H98" s="4" t="s">
        <v>109</v>
      </c>
      <c r="I98" s="4"/>
      <c r="J98" s="4"/>
      <c r="K98" s="4">
        <v>231</v>
      </c>
      <c r="L98" s="4">
        <v>12</v>
      </c>
      <c r="M98" s="4">
        <v>3</v>
      </c>
      <c r="N98" s="4" t="s">
        <v>3</v>
      </c>
      <c r="O98" s="4">
        <v>2</v>
      </c>
      <c r="P98" s="4"/>
      <c r="Q98" s="4"/>
      <c r="R98" s="4"/>
      <c r="S98" s="4"/>
      <c r="T98" s="4"/>
      <c r="U98" s="4"/>
      <c r="V98" s="4"/>
      <c r="W98" s="4">
        <v>0</v>
      </c>
      <c r="X98" s="4">
        <v>1</v>
      </c>
      <c r="Y98" s="4">
        <v>0</v>
      </c>
      <c r="Z98" s="4"/>
      <c r="AA98" s="4"/>
      <c r="AB98" s="4"/>
    </row>
    <row r="99" spans="1:28" x14ac:dyDescent="0.2">
      <c r="A99" s="4">
        <v>50</v>
      </c>
      <c r="B99" s="4">
        <v>0</v>
      </c>
      <c r="C99" s="4">
        <v>0</v>
      </c>
      <c r="D99" s="4">
        <v>1</v>
      </c>
      <c r="E99" s="4">
        <v>204</v>
      </c>
      <c r="F99" s="4">
        <f>ROUND(Source!R85,O99)</f>
        <v>0</v>
      </c>
      <c r="G99" s="4" t="s">
        <v>110</v>
      </c>
      <c r="H99" s="4" t="s">
        <v>111</v>
      </c>
      <c r="I99" s="4"/>
      <c r="J99" s="4"/>
      <c r="K99" s="4">
        <v>204</v>
      </c>
      <c r="L99" s="4">
        <v>13</v>
      </c>
      <c r="M99" s="4">
        <v>3</v>
      </c>
      <c r="N99" s="4" t="s">
        <v>3</v>
      </c>
      <c r="O99" s="4">
        <v>2</v>
      </c>
      <c r="P99" s="4"/>
      <c r="Q99" s="4"/>
      <c r="R99" s="4"/>
      <c r="S99" s="4"/>
      <c r="T99" s="4"/>
      <c r="U99" s="4"/>
      <c r="V99" s="4"/>
      <c r="W99" s="4">
        <v>0</v>
      </c>
      <c r="X99" s="4">
        <v>1</v>
      </c>
      <c r="Y99" s="4">
        <v>0</v>
      </c>
      <c r="Z99" s="4"/>
      <c r="AA99" s="4"/>
      <c r="AB99" s="4"/>
    </row>
    <row r="100" spans="1:28" x14ac:dyDescent="0.2">
      <c r="A100" s="4">
        <v>50</v>
      </c>
      <c r="B100" s="4">
        <v>0</v>
      </c>
      <c r="C100" s="4">
        <v>0</v>
      </c>
      <c r="D100" s="4">
        <v>1</v>
      </c>
      <c r="E100" s="4">
        <v>205</v>
      </c>
      <c r="F100" s="4">
        <f>ROUND(Source!S85,O100)</f>
        <v>8765.41</v>
      </c>
      <c r="G100" s="4" t="s">
        <v>112</v>
      </c>
      <c r="H100" s="4" t="s">
        <v>113</v>
      </c>
      <c r="I100" s="4"/>
      <c r="J100" s="4"/>
      <c r="K100" s="4">
        <v>205</v>
      </c>
      <c r="L100" s="4">
        <v>14</v>
      </c>
      <c r="M100" s="4">
        <v>3</v>
      </c>
      <c r="N100" s="4" t="s">
        <v>3</v>
      </c>
      <c r="O100" s="4">
        <v>2</v>
      </c>
      <c r="P100" s="4"/>
      <c r="Q100" s="4"/>
      <c r="R100" s="4"/>
      <c r="S100" s="4"/>
      <c r="T100" s="4"/>
      <c r="U100" s="4"/>
      <c r="V100" s="4"/>
      <c r="W100" s="4">
        <v>8765.41</v>
      </c>
      <c r="X100" s="4">
        <v>1</v>
      </c>
      <c r="Y100" s="4">
        <v>8765.41</v>
      </c>
      <c r="Z100" s="4"/>
      <c r="AA100" s="4"/>
      <c r="AB100" s="4"/>
    </row>
    <row r="101" spans="1:28" x14ac:dyDescent="0.2">
      <c r="A101" s="4">
        <v>50</v>
      </c>
      <c r="B101" s="4">
        <v>0</v>
      </c>
      <c r="C101" s="4">
        <v>0</v>
      </c>
      <c r="D101" s="4">
        <v>1</v>
      </c>
      <c r="E101" s="4">
        <v>232</v>
      </c>
      <c r="F101" s="4">
        <f>ROUND(Source!BC85,O101)</f>
        <v>0</v>
      </c>
      <c r="G101" s="4" t="s">
        <v>114</v>
      </c>
      <c r="H101" s="4" t="s">
        <v>115</v>
      </c>
      <c r="I101" s="4"/>
      <c r="J101" s="4"/>
      <c r="K101" s="4">
        <v>232</v>
      </c>
      <c r="L101" s="4">
        <v>15</v>
      </c>
      <c r="M101" s="4">
        <v>3</v>
      </c>
      <c r="N101" s="4" t="s">
        <v>3</v>
      </c>
      <c r="O101" s="4">
        <v>2</v>
      </c>
      <c r="P101" s="4"/>
      <c r="Q101" s="4"/>
      <c r="R101" s="4"/>
      <c r="S101" s="4"/>
      <c r="T101" s="4"/>
      <c r="U101" s="4"/>
      <c r="V101" s="4"/>
      <c r="W101" s="4">
        <v>0</v>
      </c>
      <c r="X101" s="4">
        <v>1</v>
      </c>
      <c r="Y101" s="4">
        <v>0</v>
      </c>
      <c r="Z101" s="4"/>
      <c r="AA101" s="4"/>
      <c r="AB101" s="4"/>
    </row>
    <row r="102" spans="1:28" x14ac:dyDescent="0.2">
      <c r="A102" s="4">
        <v>50</v>
      </c>
      <c r="B102" s="4">
        <v>0</v>
      </c>
      <c r="C102" s="4">
        <v>0</v>
      </c>
      <c r="D102" s="4">
        <v>1</v>
      </c>
      <c r="E102" s="4">
        <v>214</v>
      </c>
      <c r="F102" s="4">
        <f>ROUND(Source!AS85,O102)</f>
        <v>0</v>
      </c>
      <c r="G102" s="4" t="s">
        <v>116</v>
      </c>
      <c r="H102" s="4" t="s">
        <v>117</v>
      </c>
      <c r="I102" s="4"/>
      <c r="J102" s="4"/>
      <c r="K102" s="4">
        <v>214</v>
      </c>
      <c r="L102" s="4">
        <v>16</v>
      </c>
      <c r="M102" s="4">
        <v>3</v>
      </c>
      <c r="N102" s="4" t="s">
        <v>3</v>
      </c>
      <c r="O102" s="4">
        <v>2</v>
      </c>
      <c r="P102" s="4"/>
      <c r="Q102" s="4"/>
      <c r="R102" s="4"/>
      <c r="S102" s="4"/>
      <c r="T102" s="4"/>
      <c r="U102" s="4"/>
      <c r="V102" s="4"/>
      <c r="W102" s="4">
        <v>0</v>
      </c>
      <c r="X102" s="4">
        <v>1</v>
      </c>
      <c r="Y102" s="4">
        <v>0</v>
      </c>
      <c r="Z102" s="4"/>
      <c r="AA102" s="4"/>
      <c r="AB102" s="4"/>
    </row>
    <row r="103" spans="1:28" x14ac:dyDescent="0.2">
      <c r="A103" s="4">
        <v>50</v>
      </c>
      <c r="B103" s="4">
        <v>0</v>
      </c>
      <c r="C103" s="4">
        <v>0</v>
      </c>
      <c r="D103" s="4">
        <v>1</v>
      </c>
      <c r="E103" s="4">
        <v>215</v>
      </c>
      <c r="F103" s="4">
        <f>ROUND(Source!AT85,O103)</f>
        <v>0</v>
      </c>
      <c r="G103" s="4" t="s">
        <v>118</v>
      </c>
      <c r="H103" s="4" t="s">
        <v>119</v>
      </c>
      <c r="I103" s="4"/>
      <c r="J103" s="4"/>
      <c r="K103" s="4">
        <v>215</v>
      </c>
      <c r="L103" s="4">
        <v>17</v>
      </c>
      <c r="M103" s="4">
        <v>3</v>
      </c>
      <c r="N103" s="4" t="s">
        <v>3</v>
      </c>
      <c r="O103" s="4">
        <v>2</v>
      </c>
      <c r="P103" s="4"/>
      <c r="Q103" s="4"/>
      <c r="R103" s="4"/>
      <c r="S103" s="4"/>
      <c r="T103" s="4"/>
      <c r="U103" s="4"/>
      <c r="V103" s="4"/>
      <c r="W103" s="4">
        <v>0</v>
      </c>
      <c r="X103" s="4">
        <v>1</v>
      </c>
      <c r="Y103" s="4">
        <v>0</v>
      </c>
      <c r="Z103" s="4"/>
      <c r="AA103" s="4"/>
      <c r="AB103" s="4"/>
    </row>
    <row r="104" spans="1:28" x14ac:dyDescent="0.2">
      <c r="A104" s="4">
        <v>50</v>
      </c>
      <c r="B104" s="4">
        <v>0</v>
      </c>
      <c r="C104" s="4">
        <v>0</v>
      </c>
      <c r="D104" s="4">
        <v>1</v>
      </c>
      <c r="E104" s="4">
        <v>217</v>
      </c>
      <c r="F104" s="4">
        <f>ROUND(Source!AU85,O104)</f>
        <v>21687.84</v>
      </c>
      <c r="G104" s="4" t="s">
        <v>120</v>
      </c>
      <c r="H104" s="4" t="s">
        <v>121</v>
      </c>
      <c r="I104" s="4"/>
      <c r="J104" s="4"/>
      <c r="K104" s="4">
        <v>217</v>
      </c>
      <c r="L104" s="4">
        <v>18</v>
      </c>
      <c r="M104" s="4">
        <v>3</v>
      </c>
      <c r="N104" s="4" t="s">
        <v>3</v>
      </c>
      <c r="O104" s="4">
        <v>2</v>
      </c>
      <c r="P104" s="4"/>
      <c r="Q104" s="4"/>
      <c r="R104" s="4"/>
      <c r="S104" s="4"/>
      <c r="T104" s="4"/>
      <c r="U104" s="4"/>
      <c r="V104" s="4"/>
      <c r="W104" s="4">
        <v>21687.84</v>
      </c>
      <c r="X104" s="4">
        <v>1</v>
      </c>
      <c r="Y104" s="4">
        <v>21687.84</v>
      </c>
      <c r="Z104" s="4"/>
      <c r="AA104" s="4"/>
      <c r="AB104" s="4"/>
    </row>
    <row r="105" spans="1:28" x14ac:dyDescent="0.2">
      <c r="A105" s="4">
        <v>50</v>
      </c>
      <c r="B105" s="4">
        <v>0</v>
      </c>
      <c r="C105" s="4">
        <v>0</v>
      </c>
      <c r="D105" s="4">
        <v>1</v>
      </c>
      <c r="E105" s="4">
        <v>230</v>
      </c>
      <c r="F105" s="4">
        <f>ROUND(Source!BA85,O105)</f>
        <v>0</v>
      </c>
      <c r="G105" s="4" t="s">
        <v>122</v>
      </c>
      <c r="H105" s="4" t="s">
        <v>123</v>
      </c>
      <c r="I105" s="4"/>
      <c r="J105" s="4"/>
      <c r="K105" s="4">
        <v>230</v>
      </c>
      <c r="L105" s="4">
        <v>19</v>
      </c>
      <c r="M105" s="4">
        <v>3</v>
      </c>
      <c r="N105" s="4" t="s">
        <v>3</v>
      </c>
      <c r="O105" s="4">
        <v>2</v>
      </c>
      <c r="P105" s="4"/>
      <c r="Q105" s="4"/>
      <c r="R105" s="4"/>
      <c r="S105" s="4"/>
      <c r="T105" s="4"/>
      <c r="U105" s="4"/>
      <c r="V105" s="4"/>
      <c r="W105" s="4">
        <v>0</v>
      </c>
      <c r="X105" s="4">
        <v>1</v>
      </c>
      <c r="Y105" s="4">
        <v>0</v>
      </c>
      <c r="Z105" s="4"/>
      <c r="AA105" s="4"/>
      <c r="AB105" s="4"/>
    </row>
    <row r="106" spans="1:28" x14ac:dyDescent="0.2">
      <c r="A106" s="4">
        <v>50</v>
      </c>
      <c r="B106" s="4">
        <v>0</v>
      </c>
      <c r="C106" s="4">
        <v>0</v>
      </c>
      <c r="D106" s="4">
        <v>1</v>
      </c>
      <c r="E106" s="4">
        <v>206</v>
      </c>
      <c r="F106" s="4">
        <f>ROUND(Source!T85,O106)</f>
        <v>0</v>
      </c>
      <c r="G106" s="4" t="s">
        <v>124</v>
      </c>
      <c r="H106" s="4" t="s">
        <v>125</v>
      </c>
      <c r="I106" s="4"/>
      <c r="J106" s="4"/>
      <c r="K106" s="4">
        <v>206</v>
      </c>
      <c r="L106" s="4">
        <v>20</v>
      </c>
      <c r="M106" s="4">
        <v>3</v>
      </c>
      <c r="N106" s="4" t="s">
        <v>3</v>
      </c>
      <c r="O106" s="4">
        <v>2</v>
      </c>
      <c r="P106" s="4"/>
      <c r="Q106" s="4"/>
      <c r="R106" s="4"/>
      <c r="S106" s="4"/>
      <c r="T106" s="4"/>
      <c r="U106" s="4"/>
      <c r="V106" s="4"/>
      <c r="W106" s="4">
        <v>0</v>
      </c>
      <c r="X106" s="4">
        <v>1</v>
      </c>
      <c r="Y106" s="4">
        <v>0</v>
      </c>
      <c r="Z106" s="4"/>
      <c r="AA106" s="4"/>
      <c r="AB106" s="4"/>
    </row>
    <row r="107" spans="1:28" x14ac:dyDescent="0.2">
      <c r="A107" s="4">
        <v>50</v>
      </c>
      <c r="B107" s="4">
        <v>0</v>
      </c>
      <c r="C107" s="4">
        <v>0</v>
      </c>
      <c r="D107" s="4">
        <v>1</v>
      </c>
      <c r="E107" s="4">
        <v>207</v>
      </c>
      <c r="F107" s="4">
        <f>Source!U85</f>
        <v>19.076560000000001</v>
      </c>
      <c r="G107" s="4" t="s">
        <v>126</v>
      </c>
      <c r="H107" s="4" t="s">
        <v>127</v>
      </c>
      <c r="I107" s="4"/>
      <c r="J107" s="4"/>
      <c r="K107" s="4">
        <v>207</v>
      </c>
      <c r="L107" s="4">
        <v>21</v>
      </c>
      <c r="M107" s="4">
        <v>3</v>
      </c>
      <c r="N107" s="4" t="s">
        <v>3</v>
      </c>
      <c r="O107" s="4">
        <v>-1</v>
      </c>
      <c r="P107" s="4"/>
      <c r="Q107" s="4"/>
      <c r="R107" s="4"/>
      <c r="S107" s="4"/>
      <c r="T107" s="4"/>
      <c r="U107" s="4"/>
      <c r="V107" s="4"/>
      <c r="W107" s="4">
        <v>19.076560000000001</v>
      </c>
      <c r="X107" s="4">
        <v>1</v>
      </c>
      <c r="Y107" s="4">
        <v>19.076560000000001</v>
      </c>
      <c r="Z107" s="4"/>
      <c r="AA107" s="4"/>
      <c r="AB107" s="4"/>
    </row>
    <row r="108" spans="1:28" x14ac:dyDescent="0.2">
      <c r="A108" s="4">
        <v>50</v>
      </c>
      <c r="B108" s="4">
        <v>0</v>
      </c>
      <c r="C108" s="4">
        <v>0</v>
      </c>
      <c r="D108" s="4">
        <v>1</v>
      </c>
      <c r="E108" s="4">
        <v>208</v>
      </c>
      <c r="F108" s="4">
        <f>Source!V85</f>
        <v>0</v>
      </c>
      <c r="G108" s="4" t="s">
        <v>128</v>
      </c>
      <c r="H108" s="4" t="s">
        <v>129</v>
      </c>
      <c r="I108" s="4"/>
      <c r="J108" s="4"/>
      <c r="K108" s="4">
        <v>208</v>
      </c>
      <c r="L108" s="4">
        <v>22</v>
      </c>
      <c r="M108" s="4">
        <v>3</v>
      </c>
      <c r="N108" s="4" t="s">
        <v>3</v>
      </c>
      <c r="O108" s="4">
        <v>-1</v>
      </c>
      <c r="P108" s="4"/>
      <c r="Q108" s="4"/>
      <c r="R108" s="4"/>
      <c r="S108" s="4"/>
      <c r="T108" s="4"/>
      <c r="U108" s="4"/>
      <c r="V108" s="4"/>
      <c r="W108" s="4">
        <v>0</v>
      </c>
      <c r="X108" s="4">
        <v>1</v>
      </c>
      <c r="Y108" s="4">
        <v>0</v>
      </c>
      <c r="Z108" s="4"/>
      <c r="AA108" s="4"/>
      <c r="AB108" s="4"/>
    </row>
    <row r="109" spans="1:28" x14ac:dyDescent="0.2">
      <c r="A109" s="4">
        <v>50</v>
      </c>
      <c r="B109" s="4">
        <v>0</v>
      </c>
      <c r="C109" s="4">
        <v>0</v>
      </c>
      <c r="D109" s="4">
        <v>1</v>
      </c>
      <c r="E109" s="4">
        <v>209</v>
      </c>
      <c r="F109" s="4">
        <f>ROUND(Source!W85,O109)</f>
        <v>0</v>
      </c>
      <c r="G109" s="4" t="s">
        <v>130</v>
      </c>
      <c r="H109" s="4" t="s">
        <v>131</v>
      </c>
      <c r="I109" s="4"/>
      <c r="J109" s="4"/>
      <c r="K109" s="4">
        <v>209</v>
      </c>
      <c r="L109" s="4">
        <v>23</v>
      </c>
      <c r="M109" s="4">
        <v>3</v>
      </c>
      <c r="N109" s="4" t="s">
        <v>3</v>
      </c>
      <c r="O109" s="4">
        <v>2</v>
      </c>
      <c r="P109" s="4"/>
      <c r="Q109" s="4"/>
      <c r="R109" s="4"/>
      <c r="S109" s="4"/>
      <c r="T109" s="4"/>
      <c r="U109" s="4"/>
      <c r="V109" s="4"/>
      <c r="W109" s="4">
        <v>0</v>
      </c>
      <c r="X109" s="4">
        <v>1</v>
      </c>
      <c r="Y109" s="4">
        <v>0</v>
      </c>
      <c r="Z109" s="4"/>
      <c r="AA109" s="4"/>
      <c r="AB109" s="4"/>
    </row>
    <row r="110" spans="1:28" x14ac:dyDescent="0.2">
      <c r="A110" s="4">
        <v>50</v>
      </c>
      <c r="B110" s="4">
        <v>0</v>
      </c>
      <c r="C110" s="4">
        <v>0</v>
      </c>
      <c r="D110" s="4">
        <v>1</v>
      </c>
      <c r="E110" s="4">
        <v>233</v>
      </c>
      <c r="F110" s="4">
        <f>ROUND(Source!BD85,O110)</f>
        <v>0</v>
      </c>
      <c r="G110" s="4" t="s">
        <v>132</v>
      </c>
      <c r="H110" s="4" t="s">
        <v>133</v>
      </c>
      <c r="I110" s="4"/>
      <c r="J110" s="4"/>
      <c r="K110" s="4">
        <v>233</v>
      </c>
      <c r="L110" s="4">
        <v>24</v>
      </c>
      <c r="M110" s="4">
        <v>3</v>
      </c>
      <c r="N110" s="4" t="s">
        <v>3</v>
      </c>
      <c r="O110" s="4">
        <v>2</v>
      </c>
      <c r="P110" s="4"/>
      <c r="Q110" s="4"/>
      <c r="R110" s="4"/>
      <c r="S110" s="4"/>
      <c r="T110" s="4"/>
      <c r="U110" s="4"/>
      <c r="V110" s="4"/>
      <c r="W110" s="4">
        <v>0</v>
      </c>
      <c r="X110" s="4">
        <v>1</v>
      </c>
      <c r="Y110" s="4">
        <v>0</v>
      </c>
      <c r="Z110" s="4"/>
      <c r="AA110" s="4"/>
      <c r="AB110" s="4"/>
    </row>
    <row r="111" spans="1:28" x14ac:dyDescent="0.2">
      <c r="A111" s="4">
        <v>50</v>
      </c>
      <c r="B111" s="4">
        <v>0</v>
      </c>
      <c r="C111" s="4">
        <v>0</v>
      </c>
      <c r="D111" s="4">
        <v>1</v>
      </c>
      <c r="E111" s="4">
        <v>210</v>
      </c>
      <c r="F111" s="4">
        <f>ROUND(Source!X85,O111)</f>
        <v>6135.79</v>
      </c>
      <c r="G111" s="4" t="s">
        <v>134</v>
      </c>
      <c r="H111" s="4" t="s">
        <v>135</v>
      </c>
      <c r="I111" s="4"/>
      <c r="J111" s="4"/>
      <c r="K111" s="4">
        <v>210</v>
      </c>
      <c r="L111" s="4">
        <v>25</v>
      </c>
      <c r="M111" s="4">
        <v>3</v>
      </c>
      <c r="N111" s="4" t="s">
        <v>3</v>
      </c>
      <c r="O111" s="4">
        <v>2</v>
      </c>
      <c r="P111" s="4"/>
      <c r="Q111" s="4"/>
      <c r="R111" s="4"/>
      <c r="S111" s="4"/>
      <c r="T111" s="4"/>
      <c r="U111" s="4"/>
      <c r="V111" s="4"/>
      <c r="W111" s="4">
        <v>6135.79</v>
      </c>
      <c r="X111" s="4">
        <v>1</v>
      </c>
      <c r="Y111" s="4">
        <v>6135.79</v>
      </c>
      <c r="Z111" s="4"/>
      <c r="AA111" s="4"/>
      <c r="AB111" s="4"/>
    </row>
    <row r="112" spans="1:28" x14ac:dyDescent="0.2">
      <c r="A112" s="4">
        <v>50</v>
      </c>
      <c r="B112" s="4">
        <v>0</v>
      </c>
      <c r="C112" s="4">
        <v>0</v>
      </c>
      <c r="D112" s="4">
        <v>1</v>
      </c>
      <c r="E112" s="4">
        <v>211</v>
      </c>
      <c r="F112" s="4">
        <f>ROUND(Source!Y85,O112)</f>
        <v>876.54</v>
      </c>
      <c r="G112" s="4" t="s">
        <v>136</v>
      </c>
      <c r="H112" s="4" t="s">
        <v>137</v>
      </c>
      <c r="I112" s="4"/>
      <c r="J112" s="4"/>
      <c r="K112" s="4">
        <v>211</v>
      </c>
      <c r="L112" s="4">
        <v>26</v>
      </c>
      <c r="M112" s="4">
        <v>3</v>
      </c>
      <c r="N112" s="4" t="s">
        <v>3</v>
      </c>
      <c r="O112" s="4">
        <v>2</v>
      </c>
      <c r="P112" s="4"/>
      <c r="Q112" s="4"/>
      <c r="R112" s="4"/>
      <c r="S112" s="4"/>
      <c r="T112" s="4"/>
      <c r="U112" s="4"/>
      <c r="V112" s="4"/>
      <c r="W112" s="4">
        <v>876.54</v>
      </c>
      <c r="X112" s="4">
        <v>1</v>
      </c>
      <c r="Y112" s="4">
        <v>876.54</v>
      </c>
      <c r="Z112" s="4"/>
      <c r="AA112" s="4"/>
      <c r="AB112" s="4"/>
    </row>
    <row r="113" spans="1:245" x14ac:dyDescent="0.2">
      <c r="A113" s="4">
        <v>50</v>
      </c>
      <c r="B113" s="4">
        <v>0</v>
      </c>
      <c r="C113" s="4">
        <v>0</v>
      </c>
      <c r="D113" s="4">
        <v>1</v>
      </c>
      <c r="E113" s="4">
        <v>224</v>
      </c>
      <c r="F113" s="4">
        <f>ROUND(Source!AR85,O113)</f>
        <v>21687.84</v>
      </c>
      <c r="G113" s="4" t="s">
        <v>138</v>
      </c>
      <c r="H113" s="4" t="s">
        <v>139</v>
      </c>
      <c r="I113" s="4"/>
      <c r="J113" s="4"/>
      <c r="K113" s="4">
        <v>224</v>
      </c>
      <c r="L113" s="4">
        <v>27</v>
      </c>
      <c r="M113" s="4">
        <v>3</v>
      </c>
      <c r="N113" s="4" t="s">
        <v>3</v>
      </c>
      <c r="O113" s="4">
        <v>2</v>
      </c>
      <c r="P113" s="4"/>
      <c r="Q113" s="4"/>
      <c r="R113" s="4"/>
      <c r="S113" s="4"/>
      <c r="T113" s="4"/>
      <c r="U113" s="4"/>
      <c r="V113" s="4"/>
      <c r="W113" s="4">
        <v>21687.84</v>
      </c>
      <c r="X113" s="4">
        <v>1</v>
      </c>
      <c r="Y113" s="4">
        <v>21687.84</v>
      </c>
      <c r="Z113" s="4"/>
      <c r="AA113" s="4"/>
      <c r="AB113" s="4"/>
    </row>
    <row r="115" spans="1:245" x14ac:dyDescent="0.2">
      <c r="A115" s="1">
        <v>5</v>
      </c>
      <c r="B115" s="1">
        <v>1</v>
      </c>
      <c r="C115" s="1"/>
      <c r="D115" s="1">
        <f>ROW(A121)</f>
        <v>121</v>
      </c>
      <c r="E115" s="1"/>
      <c r="F115" s="1" t="s">
        <v>15</v>
      </c>
      <c r="G115" s="1" t="s">
        <v>149</v>
      </c>
      <c r="H115" s="1" t="s">
        <v>3</v>
      </c>
      <c r="I115" s="1">
        <v>0</v>
      </c>
      <c r="J115" s="1"/>
      <c r="K115" s="1">
        <v>0</v>
      </c>
      <c r="L115" s="1"/>
      <c r="M115" s="1" t="s">
        <v>3</v>
      </c>
      <c r="N115" s="1"/>
      <c r="O115" s="1"/>
      <c r="P115" s="1"/>
      <c r="Q115" s="1"/>
      <c r="R115" s="1"/>
      <c r="S115" s="1">
        <v>0</v>
      </c>
      <c r="T115" s="1"/>
      <c r="U115" s="1" t="s">
        <v>3</v>
      </c>
      <c r="V115" s="1">
        <v>0</v>
      </c>
      <c r="W115" s="1"/>
      <c r="X115" s="1"/>
      <c r="Y115" s="1"/>
      <c r="Z115" s="1"/>
      <c r="AA115" s="1"/>
      <c r="AB115" s="1" t="s">
        <v>3</v>
      </c>
      <c r="AC115" s="1" t="s">
        <v>3</v>
      </c>
      <c r="AD115" s="1" t="s">
        <v>3</v>
      </c>
      <c r="AE115" s="1" t="s">
        <v>3</v>
      </c>
      <c r="AF115" s="1" t="s">
        <v>3</v>
      </c>
      <c r="AG115" s="1" t="s">
        <v>3</v>
      </c>
      <c r="AH115" s="1"/>
      <c r="AI115" s="1"/>
      <c r="AJ115" s="1"/>
      <c r="AK115" s="1"/>
      <c r="AL115" s="1"/>
      <c r="AM115" s="1"/>
      <c r="AN115" s="1"/>
      <c r="AO115" s="1"/>
      <c r="AP115" s="1" t="s">
        <v>3</v>
      </c>
      <c r="AQ115" s="1" t="s">
        <v>3</v>
      </c>
      <c r="AR115" s="1" t="s">
        <v>3</v>
      </c>
      <c r="AS115" s="1"/>
      <c r="AT115" s="1"/>
      <c r="AU115" s="1"/>
      <c r="AV115" s="1"/>
      <c r="AW115" s="1"/>
      <c r="AX115" s="1"/>
      <c r="AY115" s="1"/>
      <c r="AZ115" s="1" t="s">
        <v>3</v>
      </c>
      <c r="BA115" s="1"/>
      <c r="BB115" s="1" t="s">
        <v>3</v>
      </c>
      <c r="BC115" s="1" t="s">
        <v>3</v>
      </c>
      <c r="BD115" s="1" t="s">
        <v>3</v>
      </c>
      <c r="BE115" s="1" t="s">
        <v>3</v>
      </c>
      <c r="BF115" s="1" t="s">
        <v>3</v>
      </c>
      <c r="BG115" s="1" t="s">
        <v>3</v>
      </c>
      <c r="BH115" s="1" t="s">
        <v>3</v>
      </c>
      <c r="BI115" s="1" t="s">
        <v>3</v>
      </c>
      <c r="BJ115" s="1" t="s">
        <v>3</v>
      </c>
      <c r="BK115" s="1" t="s">
        <v>3</v>
      </c>
      <c r="BL115" s="1" t="s">
        <v>3</v>
      </c>
      <c r="BM115" s="1" t="s">
        <v>3</v>
      </c>
      <c r="BN115" s="1" t="s">
        <v>3</v>
      </c>
      <c r="BO115" s="1" t="s">
        <v>3</v>
      </c>
      <c r="BP115" s="1" t="s">
        <v>3</v>
      </c>
      <c r="BQ115" s="1"/>
      <c r="BR115" s="1"/>
      <c r="BS115" s="1"/>
      <c r="BT115" s="1"/>
      <c r="BU115" s="1"/>
      <c r="BV115" s="1"/>
      <c r="BW115" s="1"/>
      <c r="BX115" s="1">
        <v>0</v>
      </c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>
        <v>0</v>
      </c>
    </row>
    <row r="117" spans="1:245" x14ac:dyDescent="0.2">
      <c r="A117" s="2">
        <v>52</v>
      </c>
      <c r="B117" s="2">
        <f t="shared" ref="B117:G117" si="79">B121</f>
        <v>1</v>
      </c>
      <c r="C117" s="2">
        <f t="shared" si="79"/>
        <v>5</v>
      </c>
      <c r="D117" s="2">
        <f t="shared" si="79"/>
        <v>115</v>
      </c>
      <c r="E117" s="2">
        <f t="shared" si="79"/>
        <v>0</v>
      </c>
      <c r="F117" s="2" t="str">
        <f t="shared" si="79"/>
        <v>Новый подраздел</v>
      </c>
      <c r="G117" s="2" t="str">
        <f t="shared" si="79"/>
        <v>Потолок</v>
      </c>
      <c r="H117" s="2"/>
      <c r="I117" s="2"/>
      <c r="J117" s="2"/>
      <c r="K117" s="2"/>
      <c r="L117" s="2"/>
      <c r="M117" s="2"/>
      <c r="N117" s="2"/>
      <c r="O117" s="2">
        <f t="shared" ref="O117:AT117" si="80">O121</f>
        <v>11116.39</v>
      </c>
      <c r="P117" s="2">
        <f t="shared" si="80"/>
        <v>3363.83</v>
      </c>
      <c r="Q117" s="2">
        <f t="shared" si="80"/>
        <v>0</v>
      </c>
      <c r="R117" s="2">
        <f t="shared" si="80"/>
        <v>0</v>
      </c>
      <c r="S117" s="2">
        <f t="shared" si="80"/>
        <v>7752.56</v>
      </c>
      <c r="T117" s="2">
        <f t="shared" si="80"/>
        <v>0</v>
      </c>
      <c r="U117" s="2">
        <f t="shared" si="80"/>
        <v>16.907</v>
      </c>
      <c r="V117" s="2">
        <f t="shared" si="80"/>
        <v>0</v>
      </c>
      <c r="W117" s="2">
        <f t="shared" si="80"/>
        <v>0</v>
      </c>
      <c r="X117" s="2">
        <f t="shared" si="80"/>
        <v>5426.79</v>
      </c>
      <c r="Y117" s="2">
        <f t="shared" si="80"/>
        <v>775.26</v>
      </c>
      <c r="Z117" s="2">
        <f t="shared" si="80"/>
        <v>0</v>
      </c>
      <c r="AA117" s="2">
        <f t="shared" si="80"/>
        <v>0</v>
      </c>
      <c r="AB117" s="2">
        <f t="shared" si="80"/>
        <v>11116.39</v>
      </c>
      <c r="AC117" s="2">
        <f t="shared" si="80"/>
        <v>3363.83</v>
      </c>
      <c r="AD117" s="2">
        <f t="shared" si="80"/>
        <v>0</v>
      </c>
      <c r="AE117" s="2">
        <f t="shared" si="80"/>
        <v>0</v>
      </c>
      <c r="AF117" s="2">
        <f t="shared" si="80"/>
        <v>7752.56</v>
      </c>
      <c r="AG117" s="2">
        <f t="shared" si="80"/>
        <v>0</v>
      </c>
      <c r="AH117" s="2">
        <f t="shared" si="80"/>
        <v>16.907</v>
      </c>
      <c r="AI117" s="2">
        <f t="shared" si="80"/>
        <v>0</v>
      </c>
      <c r="AJ117" s="2">
        <f t="shared" si="80"/>
        <v>0</v>
      </c>
      <c r="AK117" s="2">
        <f t="shared" si="80"/>
        <v>5426.79</v>
      </c>
      <c r="AL117" s="2">
        <f t="shared" si="80"/>
        <v>775.26</v>
      </c>
      <c r="AM117" s="2">
        <f t="shared" si="80"/>
        <v>0</v>
      </c>
      <c r="AN117" s="2">
        <f t="shared" si="80"/>
        <v>0</v>
      </c>
      <c r="AO117" s="2">
        <f t="shared" si="80"/>
        <v>0</v>
      </c>
      <c r="AP117" s="2">
        <f t="shared" si="80"/>
        <v>0</v>
      </c>
      <c r="AQ117" s="2">
        <f t="shared" si="80"/>
        <v>0</v>
      </c>
      <c r="AR117" s="2">
        <f t="shared" si="80"/>
        <v>17318.439999999999</v>
      </c>
      <c r="AS117" s="2">
        <f t="shared" si="80"/>
        <v>0</v>
      </c>
      <c r="AT117" s="2">
        <f t="shared" si="80"/>
        <v>0</v>
      </c>
      <c r="AU117" s="2">
        <f t="shared" ref="AU117:BZ117" si="81">AU121</f>
        <v>17318.439999999999</v>
      </c>
      <c r="AV117" s="2">
        <f t="shared" si="81"/>
        <v>3363.83</v>
      </c>
      <c r="AW117" s="2">
        <f t="shared" si="81"/>
        <v>3363.83</v>
      </c>
      <c r="AX117" s="2">
        <f t="shared" si="81"/>
        <v>0</v>
      </c>
      <c r="AY117" s="2">
        <f t="shared" si="81"/>
        <v>3363.83</v>
      </c>
      <c r="AZ117" s="2">
        <f t="shared" si="81"/>
        <v>0</v>
      </c>
      <c r="BA117" s="2">
        <f t="shared" si="81"/>
        <v>0</v>
      </c>
      <c r="BB117" s="2">
        <f t="shared" si="81"/>
        <v>0</v>
      </c>
      <c r="BC117" s="2">
        <f t="shared" si="81"/>
        <v>0</v>
      </c>
      <c r="BD117" s="2">
        <f t="shared" si="81"/>
        <v>0</v>
      </c>
      <c r="BE117" s="2">
        <f t="shared" si="81"/>
        <v>0</v>
      </c>
      <c r="BF117" s="2">
        <f t="shared" si="81"/>
        <v>0</v>
      </c>
      <c r="BG117" s="2">
        <f t="shared" si="81"/>
        <v>0</v>
      </c>
      <c r="BH117" s="2">
        <f t="shared" si="81"/>
        <v>0</v>
      </c>
      <c r="BI117" s="2">
        <f t="shared" si="81"/>
        <v>0</v>
      </c>
      <c r="BJ117" s="2">
        <f t="shared" si="81"/>
        <v>0</v>
      </c>
      <c r="BK117" s="2">
        <f t="shared" si="81"/>
        <v>0</v>
      </c>
      <c r="BL117" s="2">
        <f t="shared" si="81"/>
        <v>0</v>
      </c>
      <c r="BM117" s="2">
        <f t="shared" si="81"/>
        <v>0</v>
      </c>
      <c r="BN117" s="2">
        <f t="shared" si="81"/>
        <v>0</v>
      </c>
      <c r="BO117" s="2">
        <f t="shared" si="81"/>
        <v>0</v>
      </c>
      <c r="BP117" s="2">
        <f t="shared" si="81"/>
        <v>0</v>
      </c>
      <c r="BQ117" s="2">
        <f t="shared" si="81"/>
        <v>0</v>
      </c>
      <c r="BR117" s="2">
        <f t="shared" si="81"/>
        <v>0</v>
      </c>
      <c r="BS117" s="2">
        <f t="shared" si="81"/>
        <v>0</v>
      </c>
      <c r="BT117" s="2">
        <f t="shared" si="81"/>
        <v>0</v>
      </c>
      <c r="BU117" s="2">
        <f t="shared" si="81"/>
        <v>0</v>
      </c>
      <c r="BV117" s="2">
        <f t="shared" si="81"/>
        <v>0</v>
      </c>
      <c r="BW117" s="2">
        <f t="shared" si="81"/>
        <v>0</v>
      </c>
      <c r="BX117" s="2">
        <f t="shared" si="81"/>
        <v>0</v>
      </c>
      <c r="BY117" s="2">
        <f t="shared" si="81"/>
        <v>0</v>
      </c>
      <c r="BZ117" s="2">
        <f t="shared" si="81"/>
        <v>0</v>
      </c>
      <c r="CA117" s="2">
        <f t="shared" ref="CA117:DF117" si="82">CA121</f>
        <v>17318.439999999999</v>
      </c>
      <c r="CB117" s="2">
        <f t="shared" si="82"/>
        <v>0</v>
      </c>
      <c r="CC117" s="2">
        <f t="shared" si="82"/>
        <v>0</v>
      </c>
      <c r="CD117" s="2">
        <f t="shared" si="82"/>
        <v>17318.439999999999</v>
      </c>
      <c r="CE117" s="2">
        <f t="shared" si="82"/>
        <v>3363.83</v>
      </c>
      <c r="CF117" s="2">
        <f t="shared" si="82"/>
        <v>3363.83</v>
      </c>
      <c r="CG117" s="2">
        <f t="shared" si="82"/>
        <v>0</v>
      </c>
      <c r="CH117" s="2">
        <f t="shared" si="82"/>
        <v>3363.83</v>
      </c>
      <c r="CI117" s="2">
        <f t="shared" si="82"/>
        <v>0</v>
      </c>
      <c r="CJ117" s="2">
        <f t="shared" si="82"/>
        <v>0</v>
      </c>
      <c r="CK117" s="2">
        <f t="shared" si="82"/>
        <v>0</v>
      </c>
      <c r="CL117" s="2">
        <f t="shared" si="82"/>
        <v>0</v>
      </c>
      <c r="CM117" s="2">
        <f t="shared" si="82"/>
        <v>0</v>
      </c>
      <c r="CN117" s="2">
        <f t="shared" si="82"/>
        <v>0</v>
      </c>
      <c r="CO117" s="2">
        <f t="shared" si="82"/>
        <v>0</v>
      </c>
      <c r="CP117" s="2">
        <f t="shared" si="82"/>
        <v>0</v>
      </c>
      <c r="CQ117" s="2">
        <f t="shared" si="82"/>
        <v>0</v>
      </c>
      <c r="CR117" s="2">
        <f t="shared" si="82"/>
        <v>0</v>
      </c>
      <c r="CS117" s="2">
        <f t="shared" si="82"/>
        <v>0</v>
      </c>
      <c r="CT117" s="2">
        <f t="shared" si="82"/>
        <v>0</v>
      </c>
      <c r="CU117" s="2">
        <f t="shared" si="82"/>
        <v>0</v>
      </c>
      <c r="CV117" s="2">
        <f t="shared" si="82"/>
        <v>0</v>
      </c>
      <c r="CW117" s="2">
        <f t="shared" si="82"/>
        <v>0</v>
      </c>
      <c r="CX117" s="2">
        <f t="shared" si="82"/>
        <v>0</v>
      </c>
      <c r="CY117" s="2">
        <f t="shared" si="82"/>
        <v>0</v>
      </c>
      <c r="CZ117" s="2">
        <f t="shared" si="82"/>
        <v>0</v>
      </c>
      <c r="DA117" s="2">
        <f t="shared" si="82"/>
        <v>0</v>
      </c>
      <c r="DB117" s="2">
        <f t="shared" si="82"/>
        <v>0</v>
      </c>
      <c r="DC117" s="2">
        <f t="shared" si="82"/>
        <v>0</v>
      </c>
      <c r="DD117" s="2">
        <f t="shared" si="82"/>
        <v>0</v>
      </c>
      <c r="DE117" s="2">
        <f t="shared" si="82"/>
        <v>0</v>
      </c>
      <c r="DF117" s="2">
        <f t="shared" si="82"/>
        <v>0</v>
      </c>
      <c r="DG117" s="3">
        <f t="shared" ref="DG117:EL117" si="83">DG121</f>
        <v>0</v>
      </c>
      <c r="DH117" s="3">
        <f t="shared" si="83"/>
        <v>0</v>
      </c>
      <c r="DI117" s="3">
        <f t="shared" si="83"/>
        <v>0</v>
      </c>
      <c r="DJ117" s="3">
        <f t="shared" si="83"/>
        <v>0</v>
      </c>
      <c r="DK117" s="3">
        <f t="shared" si="83"/>
        <v>0</v>
      </c>
      <c r="DL117" s="3">
        <f t="shared" si="83"/>
        <v>0</v>
      </c>
      <c r="DM117" s="3">
        <f t="shared" si="83"/>
        <v>0</v>
      </c>
      <c r="DN117" s="3">
        <f t="shared" si="83"/>
        <v>0</v>
      </c>
      <c r="DO117" s="3">
        <f t="shared" si="83"/>
        <v>0</v>
      </c>
      <c r="DP117" s="3">
        <f t="shared" si="83"/>
        <v>0</v>
      </c>
      <c r="DQ117" s="3">
        <f t="shared" si="83"/>
        <v>0</v>
      </c>
      <c r="DR117" s="3">
        <f t="shared" si="83"/>
        <v>0</v>
      </c>
      <c r="DS117" s="3">
        <f t="shared" si="83"/>
        <v>0</v>
      </c>
      <c r="DT117" s="3">
        <f t="shared" si="83"/>
        <v>0</v>
      </c>
      <c r="DU117" s="3">
        <f t="shared" si="83"/>
        <v>0</v>
      </c>
      <c r="DV117" s="3">
        <f t="shared" si="83"/>
        <v>0</v>
      </c>
      <c r="DW117" s="3">
        <f t="shared" si="83"/>
        <v>0</v>
      </c>
      <c r="DX117" s="3">
        <f t="shared" si="83"/>
        <v>0</v>
      </c>
      <c r="DY117" s="3">
        <f t="shared" si="83"/>
        <v>0</v>
      </c>
      <c r="DZ117" s="3">
        <f t="shared" si="83"/>
        <v>0</v>
      </c>
      <c r="EA117" s="3">
        <f t="shared" si="83"/>
        <v>0</v>
      </c>
      <c r="EB117" s="3">
        <f t="shared" si="83"/>
        <v>0</v>
      </c>
      <c r="EC117" s="3">
        <f t="shared" si="83"/>
        <v>0</v>
      </c>
      <c r="ED117" s="3">
        <f t="shared" si="83"/>
        <v>0</v>
      </c>
      <c r="EE117" s="3">
        <f t="shared" si="83"/>
        <v>0</v>
      </c>
      <c r="EF117" s="3">
        <f t="shared" si="83"/>
        <v>0</v>
      </c>
      <c r="EG117" s="3">
        <f t="shared" si="83"/>
        <v>0</v>
      </c>
      <c r="EH117" s="3">
        <f t="shared" si="83"/>
        <v>0</v>
      </c>
      <c r="EI117" s="3">
        <f t="shared" si="83"/>
        <v>0</v>
      </c>
      <c r="EJ117" s="3">
        <f t="shared" si="83"/>
        <v>0</v>
      </c>
      <c r="EK117" s="3">
        <f t="shared" si="83"/>
        <v>0</v>
      </c>
      <c r="EL117" s="3">
        <f t="shared" si="83"/>
        <v>0</v>
      </c>
      <c r="EM117" s="3">
        <f t="shared" ref="EM117:FR117" si="84">EM121</f>
        <v>0</v>
      </c>
      <c r="EN117" s="3">
        <f t="shared" si="84"/>
        <v>0</v>
      </c>
      <c r="EO117" s="3">
        <f t="shared" si="84"/>
        <v>0</v>
      </c>
      <c r="EP117" s="3">
        <f t="shared" si="84"/>
        <v>0</v>
      </c>
      <c r="EQ117" s="3">
        <f t="shared" si="84"/>
        <v>0</v>
      </c>
      <c r="ER117" s="3">
        <f t="shared" si="84"/>
        <v>0</v>
      </c>
      <c r="ES117" s="3">
        <f t="shared" si="84"/>
        <v>0</v>
      </c>
      <c r="ET117" s="3">
        <f t="shared" si="84"/>
        <v>0</v>
      </c>
      <c r="EU117" s="3">
        <f t="shared" si="84"/>
        <v>0</v>
      </c>
      <c r="EV117" s="3">
        <f t="shared" si="84"/>
        <v>0</v>
      </c>
      <c r="EW117" s="3">
        <f t="shared" si="84"/>
        <v>0</v>
      </c>
      <c r="EX117" s="3">
        <f t="shared" si="84"/>
        <v>0</v>
      </c>
      <c r="EY117" s="3">
        <f t="shared" si="84"/>
        <v>0</v>
      </c>
      <c r="EZ117" s="3">
        <f t="shared" si="84"/>
        <v>0</v>
      </c>
      <c r="FA117" s="3">
        <f t="shared" si="84"/>
        <v>0</v>
      </c>
      <c r="FB117" s="3">
        <f t="shared" si="84"/>
        <v>0</v>
      </c>
      <c r="FC117" s="3">
        <f t="shared" si="84"/>
        <v>0</v>
      </c>
      <c r="FD117" s="3">
        <f t="shared" si="84"/>
        <v>0</v>
      </c>
      <c r="FE117" s="3">
        <f t="shared" si="84"/>
        <v>0</v>
      </c>
      <c r="FF117" s="3">
        <f t="shared" si="84"/>
        <v>0</v>
      </c>
      <c r="FG117" s="3">
        <f t="shared" si="84"/>
        <v>0</v>
      </c>
      <c r="FH117" s="3">
        <f t="shared" si="84"/>
        <v>0</v>
      </c>
      <c r="FI117" s="3">
        <f t="shared" si="84"/>
        <v>0</v>
      </c>
      <c r="FJ117" s="3">
        <f t="shared" si="84"/>
        <v>0</v>
      </c>
      <c r="FK117" s="3">
        <f t="shared" si="84"/>
        <v>0</v>
      </c>
      <c r="FL117" s="3">
        <f t="shared" si="84"/>
        <v>0</v>
      </c>
      <c r="FM117" s="3">
        <f t="shared" si="84"/>
        <v>0</v>
      </c>
      <c r="FN117" s="3">
        <f t="shared" si="84"/>
        <v>0</v>
      </c>
      <c r="FO117" s="3">
        <f t="shared" si="84"/>
        <v>0</v>
      </c>
      <c r="FP117" s="3">
        <f t="shared" si="84"/>
        <v>0</v>
      </c>
      <c r="FQ117" s="3">
        <f t="shared" si="84"/>
        <v>0</v>
      </c>
      <c r="FR117" s="3">
        <f t="shared" si="84"/>
        <v>0</v>
      </c>
      <c r="FS117" s="3">
        <f t="shared" ref="FS117:GX117" si="85">FS121</f>
        <v>0</v>
      </c>
      <c r="FT117" s="3">
        <f t="shared" si="85"/>
        <v>0</v>
      </c>
      <c r="FU117" s="3">
        <f t="shared" si="85"/>
        <v>0</v>
      </c>
      <c r="FV117" s="3">
        <f t="shared" si="85"/>
        <v>0</v>
      </c>
      <c r="FW117" s="3">
        <f t="shared" si="85"/>
        <v>0</v>
      </c>
      <c r="FX117" s="3">
        <f t="shared" si="85"/>
        <v>0</v>
      </c>
      <c r="FY117" s="3">
        <f t="shared" si="85"/>
        <v>0</v>
      </c>
      <c r="FZ117" s="3">
        <f t="shared" si="85"/>
        <v>0</v>
      </c>
      <c r="GA117" s="3">
        <f t="shared" si="85"/>
        <v>0</v>
      </c>
      <c r="GB117" s="3">
        <f t="shared" si="85"/>
        <v>0</v>
      </c>
      <c r="GC117" s="3">
        <f t="shared" si="85"/>
        <v>0</v>
      </c>
      <c r="GD117" s="3">
        <f t="shared" si="85"/>
        <v>0</v>
      </c>
      <c r="GE117" s="3">
        <f t="shared" si="85"/>
        <v>0</v>
      </c>
      <c r="GF117" s="3">
        <f t="shared" si="85"/>
        <v>0</v>
      </c>
      <c r="GG117" s="3">
        <f t="shared" si="85"/>
        <v>0</v>
      </c>
      <c r="GH117" s="3">
        <f t="shared" si="85"/>
        <v>0</v>
      </c>
      <c r="GI117" s="3">
        <f t="shared" si="85"/>
        <v>0</v>
      </c>
      <c r="GJ117" s="3">
        <f t="shared" si="85"/>
        <v>0</v>
      </c>
      <c r="GK117" s="3">
        <f t="shared" si="85"/>
        <v>0</v>
      </c>
      <c r="GL117" s="3">
        <f t="shared" si="85"/>
        <v>0</v>
      </c>
      <c r="GM117" s="3">
        <f t="shared" si="85"/>
        <v>0</v>
      </c>
      <c r="GN117" s="3">
        <f t="shared" si="85"/>
        <v>0</v>
      </c>
      <c r="GO117" s="3">
        <f t="shared" si="85"/>
        <v>0</v>
      </c>
      <c r="GP117" s="3">
        <f t="shared" si="85"/>
        <v>0</v>
      </c>
      <c r="GQ117" s="3">
        <f t="shared" si="85"/>
        <v>0</v>
      </c>
      <c r="GR117" s="3">
        <f t="shared" si="85"/>
        <v>0</v>
      </c>
      <c r="GS117" s="3">
        <f t="shared" si="85"/>
        <v>0</v>
      </c>
      <c r="GT117" s="3">
        <f t="shared" si="85"/>
        <v>0</v>
      </c>
      <c r="GU117" s="3">
        <f t="shared" si="85"/>
        <v>0</v>
      </c>
      <c r="GV117" s="3">
        <f t="shared" si="85"/>
        <v>0</v>
      </c>
      <c r="GW117" s="3">
        <f t="shared" si="85"/>
        <v>0</v>
      </c>
      <c r="GX117" s="3">
        <f t="shared" si="85"/>
        <v>0</v>
      </c>
    </row>
    <row r="119" spans="1:245" x14ac:dyDescent="0.2">
      <c r="A119">
        <v>17</v>
      </c>
      <c r="B119">
        <v>1</v>
      </c>
      <c r="C119">
        <f>ROW(SmtRes!A56)</f>
        <v>56</v>
      </c>
      <c r="D119">
        <f>ROW(EtalonRes!A52)</f>
        <v>52</v>
      </c>
      <c r="E119" t="s">
        <v>150</v>
      </c>
      <c r="F119" t="s">
        <v>151</v>
      </c>
      <c r="G119" t="s">
        <v>152</v>
      </c>
      <c r="H119" t="s">
        <v>46</v>
      </c>
      <c r="I119">
        <f>ROUND(55/100,9)</f>
        <v>0.55000000000000004</v>
      </c>
      <c r="J119">
        <v>0</v>
      </c>
      <c r="K119">
        <f>ROUND(55/100,9)</f>
        <v>0.55000000000000004</v>
      </c>
      <c r="O119">
        <f>ROUND(CP119,2)</f>
        <v>11116.39</v>
      </c>
      <c r="P119">
        <f>ROUND(CQ119*I119,2)</f>
        <v>3363.83</v>
      </c>
      <c r="Q119">
        <f>ROUND(CR119*I119,2)</f>
        <v>0</v>
      </c>
      <c r="R119">
        <f>ROUND(CS119*I119,2)</f>
        <v>0</v>
      </c>
      <c r="S119">
        <f>ROUND(CT119*I119,2)</f>
        <v>7752.56</v>
      </c>
      <c r="T119">
        <f>ROUND(CU119*I119,2)</f>
        <v>0</v>
      </c>
      <c r="U119">
        <f>CV119*I119</f>
        <v>16.907</v>
      </c>
      <c r="V119">
        <f>CW119*I119</f>
        <v>0</v>
      </c>
      <c r="W119">
        <f>ROUND(CX119*I119,2)</f>
        <v>0</v>
      </c>
      <c r="X119">
        <f>ROUND(CY119,2)</f>
        <v>5426.79</v>
      </c>
      <c r="Y119">
        <f>ROUND(CZ119,2)</f>
        <v>775.26</v>
      </c>
      <c r="AA119">
        <v>75703208</v>
      </c>
      <c r="AB119">
        <f>ROUND((AC119+AD119+AF119),6)</f>
        <v>20211.63</v>
      </c>
      <c r="AC119">
        <f>ROUND((ES119),6)</f>
        <v>6116.06</v>
      </c>
      <c r="AD119">
        <f>ROUND((((ET119)-(EU119))+AE119),6)</f>
        <v>0</v>
      </c>
      <c r="AE119">
        <f>ROUND((EU119),6)</f>
        <v>0</v>
      </c>
      <c r="AF119">
        <f>ROUND((EV119),6)</f>
        <v>14095.57</v>
      </c>
      <c r="AG119">
        <f>ROUND((AP119),6)</f>
        <v>0</v>
      </c>
      <c r="AH119">
        <f>(EW119)</f>
        <v>30.74</v>
      </c>
      <c r="AI119">
        <f>(EX119)</f>
        <v>0</v>
      </c>
      <c r="AJ119">
        <f>(AS119)</f>
        <v>0</v>
      </c>
      <c r="AK119">
        <v>20211.63</v>
      </c>
      <c r="AL119">
        <v>6116.06</v>
      </c>
      <c r="AM119">
        <v>0</v>
      </c>
      <c r="AN119">
        <v>0</v>
      </c>
      <c r="AO119">
        <v>14095.57</v>
      </c>
      <c r="AP119">
        <v>0</v>
      </c>
      <c r="AQ119">
        <v>30.74</v>
      </c>
      <c r="AR119">
        <v>0</v>
      </c>
      <c r="AS119">
        <v>0</v>
      </c>
      <c r="AT119">
        <v>70</v>
      </c>
      <c r="AU119">
        <v>10</v>
      </c>
      <c r="AV119">
        <v>1</v>
      </c>
      <c r="AW119">
        <v>1</v>
      </c>
      <c r="AZ119">
        <v>1</v>
      </c>
      <c r="BA119">
        <v>1</v>
      </c>
      <c r="BB119">
        <v>1</v>
      </c>
      <c r="BC119">
        <v>1</v>
      </c>
      <c r="BD119" t="s">
        <v>3</v>
      </c>
      <c r="BE119" t="s">
        <v>3</v>
      </c>
      <c r="BF119" t="s">
        <v>3</v>
      </c>
      <c r="BG119" t="s">
        <v>3</v>
      </c>
      <c r="BH119">
        <v>0</v>
      </c>
      <c r="BI119">
        <v>4</v>
      </c>
      <c r="BJ119" t="s">
        <v>153</v>
      </c>
      <c r="BM119">
        <v>0</v>
      </c>
      <c r="BN119">
        <v>75371441</v>
      </c>
      <c r="BO119" t="s">
        <v>3</v>
      </c>
      <c r="BP119">
        <v>0</v>
      </c>
      <c r="BQ119">
        <v>1</v>
      </c>
      <c r="BR119">
        <v>0</v>
      </c>
      <c r="BS119">
        <v>1</v>
      </c>
      <c r="BT119">
        <v>1</v>
      </c>
      <c r="BU119">
        <v>1</v>
      </c>
      <c r="BV119">
        <v>1</v>
      </c>
      <c r="BW119">
        <v>1</v>
      </c>
      <c r="BX119">
        <v>1</v>
      </c>
      <c r="BY119" t="s">
        <v>3</v>
      </c>
      <c r="BZ119">
        <v>70</v>
      </c>
      <c r="CA119">
        <v>10</v>
      </c>
      <c r="CB119" t="s">
        <v>3</v>
      </c>
      <c r="CE119">
        <v>0</v>
      </c>
      <c r="CF119">
        <v>0</v>
      </c>
      <c r="CG119">
        <v>0</v>
      </c>
      <c r="CM119">
        <v>0</v>
      </c>
      <c r="CN119" t="s">
        <v>3</v>
      </c>
      <c r="CO119">
        <v>0</v>
      </c>
      <c r="CP119">
        <f>(P119+Q119+S119)</f>
        <v>11116.39</v>
      </c>
      <c r="CQ119">
        <f>(AC119*BC119*AW119)</f>
        <v>6116.06</v>
      </c>
      <c r="CR119">
        <f>((((ET119)*BB119-(EU119)*BS119)+AE119*BS119)*AV119)</f>
        <v>0</v>
      </c>
      <c r="CS119">
        <f>(AE119*BS119*AV119)</f>
        <v>0</v>
      </c>
      <c r="CT119">
        <f>(AF119*BA119*AV119)</f>
        <v>14095.57</v>
      </c>
      <c r="CU119">
        <f>AG119</f>
        <v>0</v>
      </c>
      <c r="CV119">
        <f>(AH119*AV119)</f>
        <v>30.74</v>
      </c>
      <c r="CW119">
        <f>AI119</f>
        <v>0</v>
      </c>
      <c r="CX119">
        <f>AJ119</f>
        <v>0</v>
      </c>
      <c r="CY119">
        <f>((S119*BZ119)/100)</f>
        <v>5426.7920000000004</v>
      </c>
      <c r="CZ119">
        <f>((S119*CA119)/100)</f>
        <v>775.25600000000009</v>
      </c>
      <c r="DC119" t="s">
        <v>3</v>
      </c>
      <c r="DD119" t="s">
        <v>3</v>
      </c>
      <c r="DE119" t="s">
        <v>3</v>
      </c>
      <c r="DF119" t="s">
        <v>3</v>
      </c>
      <c r="DG119" t="s">
        <v>3</v>
      </c>
      <c r="DH119" t="s">
        <v>3</v>
      </c>
      <c r="DI119" t="s">
        <v>3</v>
      </c>
      <c r="DJ119" t="s">
        <v>3</v>
      </c>
      <c r="DK119" t="s">
        <v>3</v>
      </c>
      <c r="DL119" t="s">
        <v>3</v>
      </c>
      <c r="DM119" t="s">
        <v>3</v>
      </c>
      <c r="DN119">
        <v>0</v>
      </c>
      <c r="DO119">
        <v>0</v>
      </c>
      <c r="DP119">
        <v>1</v>
      </c>
      <c r="DQ119">
        <v>1</v>
      </c>
      <c r="DU119">
        <v>1005</v>
      </c>
      <c r="DV119" t="s">
        <v>46</v>
      </c>
      <c r="DW119" t="s">
        <v>46</v>
      </c>
      <c r="DX119">
        <v>100</v>
      </c>
      <c r="DZ119" t="s">
        <v>3</v>
      </c>
      <c r="EA119" t="s">
        <v>3</v>
      </c>
      <c r="EB119" t="s">
        <v>3</v>
      </c>
      <c r="EC119" t="s">
        <v>3</v>
      </c>
      <c r="EE119">
        <v>75371444</v>
      </c>
      <c r="EF119">
        <v>1</v>
      </c>
      <c r="EG119" t="s">
        <v>22</v>
      </c>
      <c r="EH119">
        <v>0</v>
      </c>
      <c r="EI119" t="s">
        <v>3</v>
      </c>
      <c r="EJ119">
        <v>4</v>
      </c>
      <c r="EK119">
        <v>0</v>
      </c>
      <c r="EL119" t="s">
        <v>23</v>
      </c>
      <c r="EM119" t="s">
        <v>24</v>
      </c>
      <c r="EO119" t="s">
        <v>3</v>
      </c>
      <c r="EQ119">
        <v>0</v>
      </c>
      <c r="ER119">
        <v>20211.63</v>
      </c>
      <c r="ES119">
        <v>6116.06</v>
      </c>
      <c r="ET119">
        <v>0</v>
      </c>
      <c r="EU119">
        <v>0</v>
      </c>
      <c r="EV119">
        <v>14095.57</v>
      </c>
      <c r="EW119">
        <v>30.74</v>
      </c>
      <c r="EX119">
        <v>0</v>
      </c>
      <c r="EY119">
        <v>0</v>
      </c>
      <c r="FQ119">
        <v>0</v>
      </c>
      <c r="FR119">
        <f>ROUND(IF(BI119=3,GM119,0),2)</f>
        <v>0</v>
      </c>
      <c r="FS119">
        <v>0</v>
      </c>
      <c r="FX119">
        <v>70</v>
      </c>
      <c r="FY119">
        <v>10</v>
      </c>
      <c r="GA119" t="s">
        <v>3</v>
      </c>
      <c r="GD119">
        <v>0</v>
      </c>
      <c r="GF119">
        <v>-1313138301</v>
      </c>
      <c r="GG119">
        <v>2</v>
      </c>
      <c r="GH119">
        <v>1</v>
      </c>
      <c r="GI119">
        <v>-2</v>
      </c>
      <c r="GJ119">
        <v>0</v>
      </c>
      <c r="GK119">
        <f>ROUND(R119*(R12)/100,2)</f>
        <v>0</v>
      </c>
      <c r="GL119">
        <f>ROUND(IF(AND(BH119=3,BI119=3,FS119&lt;&gt;0),P119,0),2)</f>
        <v>0</v>
      </c>
      <c r="GM119">
        <f>ROUND(O119+X119+Y119+GK119,2)+GX119</f>
        <v>17318.439999999999</v>
      </c>
      <c r="GN119">
        <f>IF(OR(BI119=0,BI119=1),GM119-GX119,0)</f>
        <v>0</v>
      </c>
      <c r="GO119">
        <f>IF(BI119=2,GM119-GX119,0)</f>
        <v>0</v>
      </c>
      <c r="GP119">
        <f>IF(BI119=4,GM119-GX119,0)</f>
        <v>17318.439999999999</v>
      </c>
      <c r="GR119">
        <v>0</v>
      </c>
      <c r="GS119">
        <v>3</v>
      </c>
      <c r="GT119">
        <v>0</v>
      </c>
      <c r="GU119" t="s">
        <v>3</v>
      </c>
      <c r="GV119">
        <f>ROUND((GT119),6)</f>
        <v>0</v>
      </c>
      <c r="GW119">
        <v>1</v>
      </c>
      <c r="GX119">
        <f>ROUND(HC119*I119,2)</f>
        <v>0</v>
      </c>
      <c r="HA119">
        <v>0</v>
      </c>
      <c r="HB119">
        <v>0</v>
      </c>
      <c r="HC119">
        <f>GV119*GW119</f>
        <v>0</v>
      </c>
      <c r="HE119" t="s">
        <v>3</v>
      </c>
      <c r="HF119" t="s">
        <v>3</v>
      </c>
      <c r="HM119" t="s">
        <v>3</v>
      </c>
      <c r="HN119" t="s">
        <v>3</v>
      </c>
      <c r="HO119" t="s">
        <v>3</v>
      </c>
      <c r="HP119" t="s">
        <v>3</v>
      </c>
      <c r="HQ119" t="s">
        <v>3</v>
      </c>
      <c r="IK119">
        <v>0</v>
      </c>
    </row>
    <row r="121" spans="1:245" x14ac:dyDescent="0.2">
      <c r="A121" s="2">
        <v>51</v>
      </c>
      <c r="B121" s="2">
        <f>B115</f>
        <v>1</v>
      </c>
      <c r="C121" s="2">
        <f>A115</f>
        <v>5</v>
      </c>
      <c r="D121" s="2">
        <f>ROW(A115)</f>
        <v>115</v>
      </c>
      <c r="E121" s="2"/>
      <c r="F121" s="2" t="str">
        <f>IF(F115&lt;&gt;"",F115,"")</f>
        <v>Новый подраздел</v>
      </c>
      <c r="G121" s="2" t="str">
        <f>IF(G115&lt;&gt;"",G115,"")</f>
        <v>Потолок</v>
      </c>
      <c r="H121" s="2">
        <v>0</v>
      </c>
      <c r="I121" s="2"/>
      <c r="J121" s="2"/>
      <c r="K121" s="2"/>
      <c r="L121" s="2"/>
      <c r="M121" s="2"/>
      <c r="N121" s="2"/>
      <c r="O121" s="2">
        <f t="shared" ref="O121:T121" si="86">ROUND(AB121,2)</f>
        <v>11116.39</v>
      </c>
      <c r="P121" s="2">
        <f t="shared" si="86"/>
        <v>3363.83</v>
      </c>
      <c r="Q121" s="2">
        <f t="shared" si="86"/>
        <v>0</v>
      </c>
      <c r="R121" s="2">
        <f t="shared" si="86"/>
        <v>0</v>
      </c>
      <c r="S121" s="2">
        <f t="shared" si="86"/>
        <v>7752.56</v>
      </c>
      <c r="T121" s="2">
        <f t="shared" si="86"/>
        <v>0</v>
      </c>
      <c r="U121" s="2">
        <f>AH121</f>
        <v>16.907</v>
      </c>
      <c r="V121" s="2">
        <f>AI121</f>
        <v>0</v>
      </c>
      <c r="W121" s="2">
        <f>ROUND(AJ121,2)</f>
        <v>0</v>
      </c>
      <c r="X121" s="2">
        <f>ROUND(AK121,2)</f>
        <v>5426.79</v>
      </c>
      <c r="Y121" s="2">
        <f>ROUND(AL121,2)</f>
        <v>775.26</v>
      </c>
      <c r="Z121" s="2"/>
      <c r="AA121" s="2"/>
      <c r="AB121" s="2">
        <f>ROUND(SUMIF(AA119:AA119,"=75703208",O119:O119),2)</f>
        <v>11116.39</v>
      </c>
      <c r="AC121" s="2">
        <f>ROUND(SUMIF(AA119:AA119,"=75703208",P119:P119),2)</f>
        <v>3363.83</v>
      </c>
      <c r="AD121" s="2">
        <f>ROUND(SUMIF(AA119:AA119,"=75703208",Q119:Q119),2)</f>
        <v>0</v>
      </c>
      <c r="AE121" s="2">
        <f>ROUND(SUMIF(AA119:AA119,"=75703208",R119:R119),2)</f>
        <v>0</v>
      </c>
      <c r="AF121" s="2">
        <f>ROUND(SUMIF(AA119:AA119,"=75703208",S119:S119),2)</f>
        <v>7752.56</v>
      </c>
      <c r="AG121" s="2">
        <f>ROUND(SUMIF(AA119:AA119,"=75703208",T119:T119),2)</f>
        <v>0</v>
      </c>
      <c r="AH121" s="2">
        <f>SUMIF(AA119:AA119,"=75703208",U119:U119)</f>
        <v>16.907</v>
      </c>
      <c r="AI121" s="2">
        <f>SUMIF(AA119:AA119,"=75703208",V119:V119)</f>
        <v>0</v>
      </c>
      <c r="AJ121" s="2">
        <f>ROUND(SUMIF(AA119:AA119,"=75703208",W119:W119),2)</f>
        <v>0</v>
      </c>
      <c r="AK121" s="2">
        <f>ROUND(SUMIF(AA119:AA119,"=75703208",X119:X119),2)</f>
        <v>5426.79</v>
      </c>
      <c r="AL121" s="2">
        <f>ROUND(SUMIF(AA119:AA119,"=75703208",Y119:Y119),2)</f>
        <v>775.26</v>
      </c>
      <c r="AM121" s="2"/>
      <c r="AN121" s="2"/>
      <c r="AO121" s="2">
        <f t="shared" ref="AO121:BD121" si="87">ROUND(BX121,2)</f>
        <v>0</v>
      </c>
      <c r="AP121" s="2">
        <f t="shared" si="87"/>
        <v>0</v>
      </c>
      <c r="AQ121" s="2">
        <f t="shared" si="87"/>
        <v>0</v>
      </c>
      <c r="AR121" s="2">
        <f t="shared" si="87"/>
        <v>17318.439999999999</v>
      </c>
      <c r="AS121" s="2">
        <f t="shared" si="87"/>
        <v>0</v>
      </c>
      <c r="AT121" s="2">
        <f t="shared" si="87"/>
        <v>0</v>
      </c>
      <c r="AU121" s="2">
        <f t="shared" si="87"/>
        <v>17318.439999999999</v>
      </c>
      <c r="AV121" s="2">
        <f t="shared" si="87"/>
        <v>3363.83</v>
      </c>
      <c r="AW121" s="2">
        <f t="shared" si="87"/>
        <v>3363.83</v>
      </c>
      <c r="AX121" s="2">
        <f t="shared" si="87"/>
        <v>0</v>
      </c>
      <c r="AY121" s="2">
        <f t="shared" si="87"/>
        <v>3363.83</v>
      </c>
      <c r="AZ121" s="2">
        <f t="shared" si="87"/>
        <v>0</v>
      </c>
      <c r="BA121" s="2">
        <f t="shared" si="87"/>
        <v>0</v>
      </c>
      <c r="BB121" s="2">
        <f t="shared" si="87"/>
        <v>0</v>
      </c>
      <c r="BC121" s="2">
        <f t="shared" si="87"/>
        <v>0</v>
      </c>
      <c r="BD121" s="2">
        <f t="shared" si="87"/>
        <v>0</v>
      </c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>
        <f>ROUND(SUMIF(AA119:AA119,"=75703208",FQ119:FQ119),2)</f>
        <v>0</v>
      </c>
      <c r="BY121" s="2">
        <f>ROUND(SUMIF(AA119:AA119,"=75703208",FR119:FR119),2)</f>
        <v>0</v>
      </c>
      <c r="BZ121" s="2">
        <f>ROUND(SUMIF(AA119:AA119,"=75703208",GL119:GL119),2)</f>
        <v>0</v>
      </c>
      <c r="CA121" s="2">
        <f>ROUND(SUMIF(AA119:AA119,"=75703208",GM119:GM119),2)</f>
        <v>17318.439999999999</v>
      </c>
      <c r="CB121" s="2">
        <f>ROUND(SUMIF(AA119:AA119,"=75703208",GN119:GN119),2)</f>
        <v>0</v>
      </c>
      <c r="CC121" s="2">
        <f>ROUND(SUMIF(AA119:AA119,"=75703208",GO119:GO119),2)</f>
        <v>0</v>
      </c>
      <c r="CD121" s="2">
        <f>ROUND(SUMIF(AA119:AA119,"=75703208",GP119:GP119),2)</f>
        <v>17318.439999999999</v>
      </c>
      <c r="CE121" s="2">
        <f>AC121-BX121</f>
        <v>3363.83</v>
      </c>
      <c r="CF121" s="2">
        <f>AC121-BY121</f>
        <v>3363.83</v>
      </c>
      <c r="CG121" s="2">
        <f>BX121-BZ121</f>
        <v>0</v>
      </c>
      <c r="CH121" s="2">
        <f>AC121-BX121-BY121+BZ121</f>
        <v>3363.83</v>
      </c>
      <c r="CI121" s="2">
        <f>BY121-BZ121</f>
        <v>0</v>
      </c>
      <c r="CJ121" s="2">
        <f>ROUND(SUMIF(AA119:AA119,"=75703208",GX119:GX119),2)</f>
        <v>0</v>
      </c>
      <c r="CK121" s="2">
        <f>ROUND(SUMIF(AA119:AA119,"=75703208",GY119:GY119),2)</f>
        <v>0</v>
      </c>
      <c r="CL121" s="2">
        <f>ROUND(SUMIF(AA119:AA119,"=75703208",GZ119:GZ119),2)</f>
        <v>0</v>
      </c>
      <c r="CM121" s="2">
        <f>ROUND(SUMIF(AA119:AA119,"=75703208",HD119:HD119),2)</f>
        <v>0</v>
      </c>
      <c r="CN121" s="2"/>
      <c r="CO121" s="2"/>
      <c r="CP121" s="2"/>
      <c r="CQ121" s="2"/>
      <c r="CR121" s="2"/>
      <c r="CS121" s="2"/>
      <c r="CT121" s="2"/>
      <c r="CU121" s="2"/>
      <c r="CV121" s="2"/>
      <c r="CW121" s="2"/>
      <c r="CX121" s="2"/>
      <c r="CY121" s="2"/>
      <c r="CZ121" s="2"/>
      <c r="DA121" s="2"/>
      <c r="DB121" s="2"/>
      <c r="DC121" s="2"/>
      <c r="DD121" s="2"/>
      <c r="DE121" s="2"/>
      <c r="DF121" s="2"/>
      <c r="DG121" s="3"/>
      <c r="DH121" s="3"/>
      <c r="DI121" s="3"/>
      <c r="DJ121" s="3"/>
      <c r="DK121" s="3"/>
      <c r="DL121" s="3"/>
      <c r="DM121" s="3"/>
      <c r="DN121" s="3"/>
      <c r="DO121" s="3"/>
      <c r="DP121" s="3"/>
      <c r="DQ121" s="3"/>
      <c r="DR121" s="3"/>
      <c r="DS121" s="3"/>
      <c r="DT121" s="3"/>
      <c r="DU121" s="3"/>
      <c r="DV121" s="3"/>
      <c r="DW121" s="3"/>
      <c r="DX121" s="3"/>
      <c r="DY121" s="3"/>
      <c r="DZ121" s="3"/>
      <c r="EA121" s="3"/>
      <c r="EB121" s="3"/>
      <c r="EC121" s="3"/>
      <c r="ED121" s="3"/>
      <c r="EE121" s="3"/>
      <c r="EF121" s="3"/>
      <c r="EG121" s="3"/>
      <c r="EH121" s="3"/>
      <c r="EI121" s="3"/>
      <c r="EJ121" s="3"/>
      <c r="EK121" s="3"/>
      <c r="EL121" s="3"/>
      <c r="EM121" s="3"/>
      <c r="EN121" s="3"/>
      <c r="EO121" s="3"/>
      <c r="EP121" s="3"/>
      <c r="EQ121" s="3"/>
      <c r="ER121" s="3"/>
      <c r="ES121" s="3"/>
      <c r="ET121" s="3"/>
      <c r="EU121" s="3"/>
      <c r="EV121" s="3"/>
      <c r="EW121" s="3"/>
      <c r="EX121" s="3"/>
      <c r="EY121" s="3"/>
      <c r="EZ121" s="3"/>
      <c r="FA121" s="3"/>
      <c r="FB121" s="3"/>
      <c r="FC121" s="3"/>
      <c r="FD121" s="3"/>
      <c r="FE121" s="3"/>
      <c r="FF121" s="3"/>
      <c r="FG121" s="3"/>
      <c r="FH121" s="3"/>
      <c r="FI121" s="3"/>
      <c r="FJ121" s="3"/>
      <c r="FK121" s="3"/>
      <c r="FL121" s="3"/>
      <c r="FM121" s="3"/>
      <c r="FN121" s="3"/>
      <c r="FO121" s="3"/>
      <c r="FP121" s="3"/>
      <c r="FQ121" s="3"/>
      <c r="FR121" s="3"/>
      <c r="FS121" s="3"/>
      <c r="FT121" s="3"/>
      <c r="FU121" s="3"/>
      <c r="FV121" s="3"/>
      <c r="FW121" s="3"/>
      <c r="FX121" s="3"/>
      <c r="FY121" s="3"/>
      <c r="FZ121" s="3"/>
      <c r="GA121" s="3"/>
      <c r="GB121" s="3"/>
      <c r="GC121" s="3"/>
      <c r="GD121" s="3"/>
      <c r="GE121" s="3"/>
      <c r="GF121" s="3"/>
      <c r="GG121" s="3"/>
      <c r="GH121" s="3"/>
      <c r="GI121" s="3"/>
      <c r="GJ121" s="3"/>
      <c r="GK121" s="3"/>
      <c r="GL121" s="3"/>
      <c r="GM121" s="3"/>
      <c r="GN121" s="3"/>
      <c r="GO121" s="3"/>
      <c r="GP121" s="3"/>
      <c r="GQ121" s="3"/>
      <c r="GR121" s="3"/>
      <c r="GS121" s="3"/>
      <c r="GT121" s="3"/>
      <c r="GU121" s="3"/>
      <c r="GV121" s="3"/>
      <c r="GW121" s="3"/>
      <c r="GX121" s="3">
        <v>0</v>
      </c>
    </row>
    <row r="123" spans="1:245" x14ac:dyDescent="0.2">
      <c r="A123" s="4">
        <v>50</v>
      </c>
      <c r="B123" s="4">
        <v>0</v>
      </c>
      <c r="C123" s="4">
        <v>0</v>
      </c>
      <c r="D123" s="4">
        <v>1</v>
      </c>
      <c r="E123" s="4">
        <v>201</v>
      </c>
      <c r="F123" s="4">
        <f>ROUND(Source!O121,O123)</f>
        <v>11116.39</v>
      </c>
      <c r="G123" s="4" t="s">
        <v>86</v>
      </c>
      <c r="H123" s="4" t="s">
        <v>87</v>
      </c>
      <c r="I123" s="4"/>
      <c r="J123" s="4"/>
      <c r="K123" s="4">
        <v>201</v>
      </c>
      <c r="L123" s="4">
        <v>1</v>
      </c>
      <c r="M123" s="4">
        <v>3</v>
      </c>
      <c r="N123" s="4" t="s">
        <v>3</v>
      </c>
      <c r="O123" s="4">
        <v>2</v>
      </c>
      <c r="P123" s="4"/>
      <c r="Q123" s="4"/>
      <c r="R123" s="4"/>
      <c r="S123" s="4"/>
      <c r="T123" s="4"/>
      <c r="U123" s="4"/>
      <c r="V123" s="4"/>
      <c r="W123" s="4">
        <v>11116.39</v>
      </c>
      <c r="X123" s="4">
        <v>1</v>
      </c>
      <c r="Y123" s="4">
        <v>11116.39</v>
      </c>
      <c r="Z123" s="4"/>
      <c r="AA123" s="4"/>
      <c r="AB123" s="4"/>
    </row>
    <row r="124" spans="1:245" x14ac:dyDescent="0.2">
      <c r="A124" s="4">
        <v>50</v>
      </c>
      <c r="B124" s="4">
        <v>0</v>
      </c>
      <c r="C124" s="4">
        <v>0</v>
      </c>
      <c r="D124" s="4">
        <v>1</v>
      </c>
      <c r="E124" s="4">
        <v>202</v>
      </c>
      <c r="F124" s="4">
        <f>ROUND(Source!P121,O124)</f>
        <v>3363.83</v>
      </c>
      <c r="G124" s="4" t="s">
        <v>88</v>
      </c>
      <c r="H124" s="4" t="s">
        <v>89</v>
      </c>
      <c r="I124" s="4"/>
      <c r="J124" s="4"/>
      <c r="K124" s="4">
        <v>202</v>
      </c>
      <c r="L124" s="4">
        <v>2</v>
      </c>
      <c r="M124" s="4">
        <v>3</v>
      </c>
      <c r="N124" s="4" t="s">
        <v>3</v>
      </c>
      <c r="O124" s="4">
        <v>2</v>
      </c>
      <c r="P124" s="4"/>
      <c r="Q124" s="4"/>
      <c r="R124" s="4"/>
      <c r="S124" s="4"/>
      <c r="T124" s="4"/>
      <c r="U124" s="4"/>
      <c r="V124" s="4"/>
      <c r="W124" s="4">
        <v>3363.83</v>
      </c>
      <c r="X124" s="4">
        <v>1</v>
      </c>
      <c r="Y124" s="4">
        <v>3363.83</v>
      </c>
      <c r="Z124" s="4"/>
      <c r="AA124" s="4"/>
      <c r="AB124" s="4"/>
    </row>
    <row r="125" spans="1:245" x14ac:dyDescent="0.2">
      <c r="A125" s="4">
        <v>50</v>
      </c>
      <c r="B125" s="4">
        <v>0</v>
      </c>
      <c r="C125" s="4">
        <v>0</v>
      </c>
      <c r="D125" s="4">
        <v>1</v>
      </c>
      <c r="E125" s="4">
        <v>222</v>
      </c>
      <c r="F125" s="4">
        <f>ROUND(Source!AO121,O125)</f>
        <v>0</v>
      </c>
      <c r="G125" s="4" t="s">
        <v>90</v>
      </c>
      <c r="H125" s="4" t="s">
        <v>91</v>
      </c>
      <c r="I125" s="4"/>
      <c r="J125" s="4"/>
      <c r="K125" s="4">
        <v>222</v>
      </c>
      <c r="L125" s="4">
        <v>3</v>
      </c>
      <c r="M125" s="4">
        <v>3</v>
      </c>
      <c r="N125" s="4" t="s">
        <v>3</v>
      </c>
      <c r="O125" s="4">
        <v>2</v>
      </c>
      <c r="P125" s="4"/>
      <c r="Q125" s="4"/>
      <c r="R125" s="4"/>
      <c r="S125" s="4"/>
      <c r="T125" s="4"/>
      <c r="U125" s="4"/>
      <c r="V125" s="4"/>
      <c r="W125" s="4">
        <v>0</v>
      </c>
      <c r="X125" s="4">
        <v>1</v>
      </c>
      <c r="Y125" s="4">
        <v>0</v>
      </c>
      <c r="Z125" s="4"/>
      <c r="AA125" s="4"/>
      <c r="AB125" s="4"/>
    </row>
    <row r="126" spans="1:245" x14ac:dyDescent="0.2">
      <c r="A126" s="4">
        <v>50</v>
      </c>
      <c r="B126" s="4">
        <v>0</v>
      </c>
      <c r="C126" s="4">
        <v>0</v>
      </c>
      <c r="D126" s="4">
        <v>1</v>
      </c>
      <c r="E126" s="4">
        <v>225</v>
      </c>
      <c r="F126" s="4">
        <f>ROUND(Source!AV121,O126)</f>
        <v>3363.83</v>
      </c>
      <c r="G126" s="4" t="s">
        <v>92</v>
      </c>
      <c r="H126" s="4" t="s">
        <v>93</v>
      </c>
      <c r="I126" s="4"/>
      <c r="J126" s="4"/>
      <c r="K126" s="4">
        <v>225</v>
      </c>
      <c r="L126" s="4">
        <v>4</v>
      </c>
      <c r="M126" s="4">
        <v>3</v>
      </c>
      <c r="N126" s="4" t="s">
        <v>3</v>
      </c>
      <c r="O126" s="4">
        <v>2</v>
      </c>
      <c r="P126" s="4"/>
      <c r="Q126" s="4"/>
      <c r="R126" s="4"/>
      <c r="S126" s="4"/>
      <c r="T126" s="4"/>
      <c r="U126" s="4"/>
      <c r="V126" s="4"/>
      <c r="W126" s="4">
        <v>3363.83</v>
      </c>
      <c r="X126" s="4">
        <v>1</v>
      </c>
      <c r="Y126" s="4">
        <v>3363.83</v>
      </c>
      <c r="Z126" s="4"/>
      <c r="AA126" s="4"/>
      <c r="AB126" s="4"/>
    </row>
    <row r="127" spans="1:245" x14ac:dyDescent="0.2">
      <c r="A127" s="4">
        <v>50</v>
      </c>
      <c r="B127" s="4">
        <v>0</v>
      </c>
      <c r="C127" s="4">
        <v>0</v>
      </c>
      <c r="D127" s="4">
        <v>1</v>
      </c>
      <c r="E127" s="4">
        <v>226</v>
      </c>
      <c r="F127" s="4">
        <f>ROUND(Source!AW121,O127)</f>
        <v>3363.83</v>
      </c>
      <c r="G127" s="4" t="s">
        <v>94</v>
      </c>
      <c r="H127" s="4" t="s">
        <v>95</v>
      </c>
      <c r="I127" s="4"/>
      <c r="J127" s="4"/>
      <c r="K127" s="4">
        <v>226</v>
      </c>
      <c r="L127" s="4">
        <v>5</v>
      </c>
      <c r="M127" s="4">
        <v>3</v>
      </c>
      <c r="N127" s="4" t="s">
        <v>3</v>
      </c>
      <c r="O127" s="4">
        <v>2</v>
      </c>
      <c r="P127" s="4"/>
      <c r="Q127" s="4"/>
      <c r="R127" s="4"/>
      <c r="S127" s="4"/>
      <c r="T127" s="4"/>
      <c r="U127" s="4"/>
      <c r="V127" s="4"/>
      <c r="W127" s="4">
        <v>3363.83</v>
      </c>
      <c r="X127" s="4">
        <v>1</v>
      </c>
      <c r="Y127" s="4">
        <v>3363.83</v>
      </c>
      <c r="Z127" s="4"/>
      <c r="AA127" s="4"/>
      <c r="AB127" s="4"/>
    </row>
    <row r="128" spans="1:245" x14ac:dyDescent="0.2">
      <c r="A128" s="4">
        <v>50</v>
      </c>
      <c r="B128" s="4">
        <v>0</v>
      </c>
      <c r="C128" s="4">
        <v>0</v>
      </c>
      <c r="D128" s="4">
        <v>1</v>
      </c>
      <c r="E128" s="4">
        <v>227</v>
      </c>
      <c r="F128" s="4">
        <f>ROUND(Source!AX121,O128)</f>
        <v>0</v>
      </c>
      <c r="G128" s="4" t="s">
        <v>96</v>
      </c>
      <c r="H128" s="4" t="s">
        <v>97</v>
      </c>
      <c r="I128" s="4"/>
      <c r="J128" s="4"/>
      <c r="K128" s="4">
        <v>227</v>
      </c>
      <c r="L128" s="4">
        <v>6</v>
      </c>
      <c r="M128" s="4">
        <v>3</v>
      </c>
      <c r="N128" s="4" t="s">
        <v>3</v>
      </c>
      <c r="O128" s="4">
        <v>2</v>
      </c>
      <c r="P128" s="4"/>
      <c r="Q128" s="4"/>
      <c r="R128" s="4"/>
      <c r="S128" s="4"/>
      <c r="T128" s="4"/>
      <c r="U128" s="4"/>
      <c r="V128" s="4"/>
      <c r="W128" s="4">
        <v>0</v>
      </c>
      <c r="X128" s="4">
        <v>1</v>
      </c>
      <c r="Y128" s="4">
        <v>0</v>
      </c>
      <c r="Z128" s="4"/>
      <c r="AA128" s="4"/>
      <c r="AB128" s="4"/>
    </row>
    <row r="129" spans="1:28" x14ac:dyDescent="0.2">
      <c r="A129" s="4">
        <v>50</v>
      </c>
      <c r="B129" s="4">
        <v>0</v>
      </c>
      <c r="C129" s="4">
        <v>0</v>
      </c>
      <c r="D129" s="4">
        <v>1</v>
      </c>
      <c r="E129" s="4">
        <v>228</v>
      </c>
      <c r="F129" s="4">
        <f>ROUND(Source!AY121,O129)</f>
        <v>3363.83</v>
      </c>
      <c r="G129" s="4" t="s">
        <v>98</v>
      </c>
      <c r="H129" s="4" t="s">
        <v>99</v>
      </c>
      <c r="I129" s="4"/>
      <c r="J129" s="4"/>
      <c r="K129" s="4">
        <v>228</v>
      </c>
      <c r="L129" s="4">
        <v>7</v>
      </c>
      <c r="M129" s="4">
        <v>3</v>
      </c>
      <c r="N129" s="4" t="s">
        <v>3</v>
      </c>
      <c r="O129" s="4">
        <v>2</v>
      </c>
      <c r="P129" s="4"/>
      <c r="Q129" s="4"/>
      <c r="R129" s="4"/>
      <c r="S129" s="4"/>
      <c r="T129" s="4"/>
      <c r="U129" s="4"/>
      <c r="V129" s="4"/>
      <c r="W129" s="4">
        <v>3363.83</v>
      </c>
      <c r="X129" s="4">
        <v>1</v>
      </c>
      <c r="Y129" s="4">
        <v>3363.83</v>
      </c>
      <c r="Z129" s="4"/>
      <c r="AA129" s="4"/>
      <c r="AB129" s="4"/>
    </row>
    <row r="130" spans="1:28" x14ac:dyDescent="0.2">
      <c r="A130" s="4">
        <v>50</v>
      </c>
      <c r="B130" s="4">
        <v>0</v>
      </c>
      <c r="C130" s="4">
        <v>0</v>
      </c>
      <c r="D130" s="4">
        <v>1</v>
      </c>
      <c r="E130" s="4">
        <v>216</v>
      </c>
      <c r="F130" s="4">
        <f>ROUND(Source!AP121,O130)</f>
        <v>0</v>
      </c>
      <c r="G130" s="4" t="s">
        <v>100</v>
      </c>
      <c r="H130" s="4" t="s">
        <v>101</v>
      </c>
      <c r="I130" s="4"/>
      <c r="J130" s="4"/>
      <c r="K130" s="4">
        <v>216</v>
      </c>
      <c r="L130" s="4">
        <v>8</v>
      </c>
      <c r="M130" s="4">
        <v>3</v>
      </c>
      <c r="N130" s="4" t="s">
        <v>3</v>
      </c>
      <c r="O130" s="4">
        <v>2</v>
      </c>
      <c r="P130" s="4"/>
      <c r="Q130" s="4"/>
      <c r="R130" s="4"/>
      <c r="S130" s="4"/>
      <c r="T130" s="4"/>
      <c r="U130" s="4"/>
      <c r="V130" s="4"/>
      <c r="W130" s="4">
        <v>0</v>
      </c>
      <c r="X130" s="4">
        <v>1</v>
      </c>
      <c r="Y130" s="4">
        <v>0</v>
      </c>
      <c r="Z130" s="4"/>
      <c r="AA130" s="4"/>
      <c r="AB130" s="4"/>
    </row>
    <row r="131" spans="1:28" x14ac:dyDescent="0.2">
      <c r="A131" s="4">
        <v>50</v>
      </c>
      <c r="B131" s="4">
        <v>0</v>
      </c>
      <c r="C131" s="4">
        <v>0</v>
      </c>
      <c r="D131" s="4">
        <v>1</v>
      </c>
      <c r="E131" s="4">
        <v>223</v>
      </c>
      <c r="F131" s="4">
        <f>ROUND(Source!AQ121,O131)</f>
        <v>0</v>
      </c>
      <c r="G131" s="4" t="s">
        <v>102</v>
      </c>
      <c r="H131" s="4" t="s">
        <v>103</v>
      </c>
      <c r="I131" s="4"/>
      <c r="J131" s="4"/>
      <c r="K131" s="4">
        <v>223</v>
      </c>
      <c r="L131" s="4">
        <v>9</v>
      </c>
      <c r="M131" s="4">
        <v>3</v>
      </c>
      <c r="N131" s="4" t="s">
        <v>3</v>
      </c>
      <c r="O131" s="4">
        <v>2</v>
      </c>
      <c r="P131" s="4"/>
      <c r="Q131" s="4"/>
      <c r="R131" s="4"/>
      <c r="S131" s="4"/>
      <c r="T131" s="4"/>
      <c r="U131" s="4"/>
      <c r="V131" s="4"/>
      <c r="W131" s="4">
        <v>0</v>
      </c>
      <c r="X131" s="4">
        <v>1</v>
      </c>
      <c r="Y131" s="4">
        <v>0</v>
      </c>
      <c r="Z131" s="4"/>
      <c r="AA131" s="4"/>
      <c r="AB131" s="4"/>
    </row>
    <row r="132" spans="1:28" x14ac:dyDescent="0.2">
      <c r="A132" s="4">
        <v>50</v>
      </c>
      <c r="B132" s="4">
        <v>0</v>
      </c>
      <c r="C132" s="4">
        <v>0</v>
      </c>
      <c r="D132" s="4">
        <v>1</v>
      </c>
      <c r="E132" s="4">
        <v>229</v>
      </c>
      <c r="F132" s="4">
        <f>ROUND(Source!AZ121,O132)</f>
        <v>0</v>
      </c>
      <c r="G132" s="4" t="s">
        <v>104</v>
      </c>
      <c r="H132" s="4" t="s">
        <v>105</v>
      </c>
      <c r="I132" s="4"/>
      <c r="J132" s="4"/>
      <c r="K132" s="4">
        <v>229</v>
      </c>
      <c r="L132" s="4">
        <v>10</v>
      </c>
      <c r="M132" s="4">
        <v>3</v>
      </c>
      <c r="N132" s="4" t="s">
        <v>3</v>
      </c>
      <c r="O132" s="4">
        <v>2</v>
      </c>
      <c r="P132" s="4"/>
      <c r="Q132" s="4"/>
      <c r="R132" s="4"/>
      <c r="S132" s="4"/>
      <c r="T132" s="4"/>
      <c r="U132" s="4"/>
      <c r="V132" s="4"/>
      <c r="W132" s="4">
        <v>0</v>
      </c>
      <c r="X132" s="4">
        <v>1</v>
      </c>
      <c r="Y132" s="4">
        <v>0</v>
      </c>
      <c r="Z132" s="4"/>
      <c r="AA132" s="4"/>
      <c r="AB132" s="4"/>
    </row>
    <row r="133" spans="1:28" x14ac:dyDescent="0.2">
      <c r="A133" s="4">
        <v>50</v>
      </c>
      <c r="B133" s="4">
        <v>0</v>
      </c>
      <c r="C133" s="4">
        <v>0</v>
      </c>
      <c r="D133" s="4">
        <v>1</v>
      </c>
      <c r="E133" s="4">
        <v>203</v>
      </c>
      <c r="F133" s="4">
        <f>ROUND(Source!Q121,O133)</f>
        <v>0</v>
      </c>
      <c r="G133" s="4" t="s">
        <v>106</v>
      </c>
      <c r="H133" s="4" t="s">
        <v>107</v>
      </c>
      <c r="I133" s="4"/>
      <c r="J133" s="4"/>
      <c r="K133" s="4">
        <v>203</v>
      </c>
      <c r="L133" s="4">
        <v>11</v>
      </c>
      <c r="M133" s="4">
        <v>3</v>
      </c>
      <c r="N133" s="4" t="s">
        <v>3</v>
      </c>
      <c r="O133" s="4">
        <v>2</v>
      </c>
      <c r="P133" s="4"/>
      <c r="Q133" s="4"/>
      <c r="R133" s="4"/>
      <c r="S133" s="4"/>
      <c r="T133" s="4"/>
      <c r="U133" s="4"/>
      <c r="V133" s="4"/>
      <c r="W133" s="4">
        <v>0</v>
      </c>
      <c r="X133" s="4">
        <v>1</v>
      </c>
      <c r="Y133" s="4">
        <v>0</v>
      </c>
      <c r="Z133" s="4"/>
      <c r="AA133" s="4"/>
      <c r="AB133" s="4"/>
    </row>
    <row r="134" spans="1:28" x14ac:dyDescent="0.2">
      <c r="A134" s="4">
        <v>50</v>
      </c>
      <c r="B134" s="4">
        <v>0</v>
      </c>
      <c r="C134" s="4">
        <v>0</v>
      </c>
      <c r="D134" s="4">
        <v>1</v>
      </c>
      <c r="E134" s="4">
        <v>231</v>
      </c>
      <c r="F134" s="4">
        <f>ROUND(Source!BB121,O134)</f>
        <v>0</v>
      </c>
      <c r="G134" s="4" t="s">
        <v>108</v>
      </c>
      <c r="H134" s="4" t="s">
        <v>109</v>
      </c>
      <c r="I134" s="4"/>
      <c r="J134" s="4"/>
      <c r="K134" s="4">
        <v>231</v>
      </c>
      <c r="L134" s="4">
        <v>12</v>
      </c>
      <c r="M134" s="4">
        <v>3</v>
      </c>
      <c r="N134" s="4" t="s">
        <v>3</v>
      </c>
      <c r="O134" s="4">
        <v>2</v>
      </c>
      <c r="P134" s="4"/>
      <c r="Q134" s="4"/>
      <c r="R134" s="4"/>
      <c r="S134" s="4"/>
      <c r="T134" s="4"/>
      <c r="U134" s="4"/>
      <c r="V134" s="4"/>
      <c r="W134" s="4">
        <v>0</v>
      </c>
      <c r="X134" s="4">
        <v>1</v>
      </c>
      <c r="Y134" s="4">
        <v>0</v>
      </c>
      <c r="Z134" s="4"/>
      <c r="AA134" s="4"/>
      <c r="AB134" s="4"/>
    </row>
    <row r="135" spans="1:28" x14ac:dyDescent="0.2">
      <c r="A135" s="4">
        <v>50</v>
      </c>
      <c r="B135" s="4">
        <v>0</v>
      </c>
      <c r="C135" s="4">
        <v>0</v>
      </c>
      <c r="D135" s="4">
        <v>1</v>
      </c>
      <c r="E135" s="4">
        <v>204</v>
      </c>
      <c r="F135" s="4">
        <f>ROUND(Source!R121,O135)</f>
        <v>0</v>
      </c>
      <c r="G135" s="4" t="s">
        <v>110</v>
      </c>
      <c r="H135" s="4" t="s">
        <v>111</v>
      </c>
      <c r="I135" s="4"/>
      <c r="J135" s="4"/>
      <c r="K135" s="4">
        <v>204</v>
      </c>
      <c r="L135" s="4">
        <v>13</v>
      </c>
      <c r="M135" s="4">
        <v>3</v>
      </c>
      <c r="N135" s="4" t="s">
        <v>3</v>
      </c>
      <c r="O135" s="4">
        <v>2</v>
      </c>
      <c r="P135" s="4"/>
      <c r="Q135" s="4"/>
      <c r="R135" s="4"/>
      <c r="S135" s="4"/>
      <c r="T135" s="4"/>
      <c r="U135" s="4"/>
      <c r="V135" s="4"/>
      <c r="W135" s="4">
        <v>0</v>
      </c>
      <c r="X135" s="4">
        <v>1</v>
      </c>
      <c r="Y135" s="4">
        <v>0</v>
      </c>
      <c r="Z135" s="4"/>
      <c r="AA135" s="4"/>
      <c r="AB135" s="4"/>
    </row>
    <row r="136" spans="1:28" x14ac:dyDescent="0.2">
      <c r="A136" s="4">
        <v>50</v>
      </c>
      <c r="B136" s="4">
        <v>0</v>
      </c>
      <c r="C136" s="4">
        <v>0</v>
      </c>
      <c r="D136" s="4">
        <v>1</v>
      </c>
      <c r="E136" s="4">
        <v>205</v>
      </c>
      <c r="F136" s="4">
        <f>ROUND(Source!S121,O136)</f>
        <v>7752.56</v>
      </c>
      <c r="G136" s="4" t="s">
        <v>112</v>
      </c>
      <c r="H136" s="4" t="s">
        <v>113</v>
      </c>
      <c r="I136" s="4"/>
      <c r="J136" s="4"/>
      <c r="K136" s="4">
        <v>205</v>
      </c>
      <c r="L136" s="4">
        <v>14</v>
      </c>
      <c r="M136" s="4">
        <v>3</v>
      </c>
      <c r="N136" s="4" t="s">
        <v>3</v>
      </c>
      <c r="O136" s="4">
        <v>2</v>
      </c>
      <c r="P136" s="4"/>
      <c r="Q136" s="4"/>
      <c r="R136" s="4"/>
      <c r="S136" s="4"/>
      <c r="T136" s="4"/>
      <c r="U136" s="4"/>
      <c r="V136" s="4"/>
      <c r="W136" s="4">
        <v>7752.56</v>
      </c>
      <c r="X136" s="4">
        <v>1</v>
      </c>
      <c r="Y136" s="4">
        <v>7752.56</v>
      </c>
      <c r="Z136" s="4"/>
      <c r="AA136" s="4"/>
      <c r="AB136" s="4"/>
    </row>
    <row r="137" spans="1:28" x14ac:dyDescent="0.2">
      <c r="A137" s="4">
        <v>50</v>
      </c>
      <c r="B137" s="4">
        <v>0</v>
      </c>
      <c r="C137" s="4">
        <v>0</v>
      </c>
      <c r="D137" s="4">
        <v>1</v>
      </c>
      <c r="E137" s="4">
        <v>232</v>
      </c>
      <c r="F137" s="4">
        <f>ROUND(Source!BC121,O137)</f>
        <v>0</v>
      </c>
      <c r="G137" s="4" t="s">
        <v>114</v>
      </c>
      <c r="H137" s="4" t="s">
        <v>115</v>
      </c>
      <c r="I137" s="4"/>
      <c r="J137" s="4"/>
      <c r="K137" s="4">
        <v>232</v>
      </c>
      <c r="L137" s="4">
        <v>15</v>
      </c>
      <c r="M137" s="4">
        <v>3</v>
      </c>
      <c r="N137" s="4" t="s">
        <v>3</v>
      </c>
      <c r="O137" s="4">
        <v>2</v>
      </c>
      <c r="P137" s="4"/>
      <c r="Q137" s="4"/>
      <c r="R137" s="4"/>
      <c r="S137" s="4"/>
      <c r="T137" s="4"/>
      <c r="U137" s="4"/>
      <c r="V137" s="4"/>
      <c r="W137" s="4">
        <v>0</v>
      </c>
      <c r="X137" s="4">
        <v>1</v>
      </c>
      <c r="Y137" s="4">
        <v>0</v>
      </c>
      <c r="Z137" s="4"/>
      <c r="AA137" s="4"/>
      <c r="AB137" s="4"/>
    </row>
    <row r="138" spans="1:28" x14ac:dyDescent="0.2">
      <c r="A138" s="4">
        <v>50</v>
      </c>
      <c r="B138" s="4">
        <v>0</v>
      </c>
      <c r="C138" s="4">
        <v>0</v>
      </c>
      <c r="D138" s="4">
        <v>1</v>
      </c>
      <c r="E138" s="4">
        <v>214</v>
      </c>
      <c r="F138" s="4">
        <f>ROUND(Source!AS121,O138)</f>
        <v>0</v>
      </c>
      <c r="G138" s="4" t="s">
        <v>116</v>
      </c>
      <c r="H138" s="4" t="s">
        <v>117</v>
      </c>
      <c r="I138" s="4"/>
      <c r="J138" s="4"/>
      <c r="K138" s="4">
        <v>214</v>
      </c>
      <c r="L138" s="4">
        <v>16</v>
      </c>
      <c r="M138" s="4">
        <v>3</v>
      </c>
      <c r="N138" s="4" t="s">
        <v>3</v>
      </c>
      <c r="O138" s="4">
        <v>2</v>
      </c>
      <c r="P138" s="4"/>
      <c r="Q138" s="4"/>
      <c r="R138" s="4"/>
      <c r="S138" s="4"/>
      <c r="T138" s="4"/>
      <c r="U138" s="4"/>
      <c r="V138" s="4"/>
      <c r="W138" s="4">
        <v>0</v>
      </c>
      <c r="X138" s="4">
        <v>1</v>
      </c>
      <c r="Y138" s="4">
        <v>0</v>
      </c>
      <c r="Z138" s="4"/>
      <c r="AA138" s="4"/>
      <c r="AB138" s="4"/>
    </row>
    <row r="139" spans="1:28" x14ac:dyDescent="0.2">
      <c r="A139" s="4">
        <v>50</v>
      </c>
      <c r="B139" s="4">
        <v>0</v>
      </c>
      <c r="C139" s="4">
        <v>0</v>
      </c>
      <c r="D139" s="4">
        <v>1</v>
      </c>
      <c r="E139" s="4">
        <v>215</v>
      </c>
      <c r="F139" s="4">
        <f>ROUND(Source!AT121,O139)</f>
        <v>0</v>
      </c>
      <c r="G139" s="4" t="s">
        <v>118</v>
      </c>
      <c r="H139" s="4" t="s">
        <v>119</v>
      </c>
      <c r="I139" s="4"/>
      <c r="J139" s="4"/>
      <c r="K139" s="4">
        <v>215</v>
      </c>
      <c r="L139" s="4">
        <v>17</v>
      </c>
      <c r="M139" s="4">
        <v>3</v>
      </c>
      <c r="N139" s="4" t="s">
        <v>3</v>
      </c>
      <c r="O139" s="4">
        <v>2</v>
      </c>
      <c r="P139" s="4"/>
      <c r="Q139" s="4"/>
      <c r="R139" s="4"/>
      <c r="S139" s="4"/>
      <c r="T139" s="4"/>
      <c r="U139" s="4"/>
      <c r="V139" s="4"/>
      <c r="W139" s="4">
        <v>0</v>
      </c>
      <c r="X139" s="4">
        <v>1</v>
      </c>
      <c r="Y139" s="4">
        <v>0</v>
      </c>
      <c r="Z139" s="4"/>
      <c r="AA139" s="4"/>
      <c r="AB139" s="4"/>
    </row>
    <row r="140" spans="1:28" x14ac:dyDescent="0.2">
      <c r="A140" s="4">
        <v>50</v>
      </c>
      <c r="B140" s="4">
        <v>0</v>
      </c>
      <c r="C140" s="4">
        <v>0</v>
      </c>
      <c r="D140" s="4">
        <v>1</v>
      </c>
      <c r="E140" s="4">
        <v>217</v>
      </c>
      <c r="F140" s="4">
        <f>ROUND(Source!AU121,O140)</f>
        <v>17318.439999999999</v>
      </c>
      <c r="G140" s="4" t="s">
        <v>120</v>
      </c>
      <c r="H140" s="4" t="s">
        <v>121</v>
      </c>
      <c r="I140" s="4"/>
      <c r="J140" s="4"/>
      <c r="K140" s="4">
        <v>217</v>
      </c>
      <c r="L140" s="4">
        <v>18</v>
      </c>
      <c r="M140" s="4">
        <v>3</v>
      </c>
      <c r="N140" s="4" t="s">
        <v>3</v>
      </c>
      <c r="O140" s="4">
        <v>2</v>
      </c>
      <c r="P140" s="4"/>
      <c r="Q140" s="4"/>
      <c r="R140" s="4"/>
      <c r="S140" s="4"/>
      <c r="T140" s="4"/>
      <c r="U140" s="4"/>
      <c r="V140" s="4"/>
      <c r="W140" s="4">
        <v>17318.439999999999</v>
      </c>
      <c r="X140" s="4">
        <v>1</v>
      </c>
      <c r="Y140" s="4">
        <v>17318.439999999999</v>
      </c>
      <c r="Z140" s="4"/>
      <c r="AA140" s="4"/>
      <c r="AB140" s="4"/>
    </row>
    <row r="141" spans="1:28" x14ac:dyDescent="0.2">
      <c r="A141" s="4">
        <v>50</v>
      </c>
      <c r="B141" s="4">
        <v>0</v>
      </c>
      <c r="C141" s="4">
        <v>0</v>
      </c>
      <c r="D141" s="4">
        <v>1</v>
      </c>
      <c r="E141" s="4">
        <v>230</v>
      </c>
      <c r="F141" s="4">
        <f>ROUND(Source!BA121,O141)</f>
        <v>0</v>
      </c>
      <c r="G141" s="4" t="s">
        <v>122</v>
      </c>
      <c r="H141" s="4" t="s">
        <v>123</v>
      </c>
      <c r="I141" s="4"/>
      <c r="J141" s="4"/>
      <c r="K141" s="4">
        <v>230</v>
      </c>
      <c r="L141" s="4">
        <v>19</v>
      </c>
      <c r="M141" s="4">
        <v>3</v>
      </c>
      <c r="N141" s="4" t="s">
        <v>3</v>
      </c>
      <c r="O141" s="4">
        <v>2</v>
      </c>
      <c r="P141" s="4"/>
      <c r="Q141" s="4"/>
      <c r="R141" s="4"/>
      <c r="S141" s="4"/>
      <c r="T141" s="4"/>
      <c r="U141" s="4"/>
      <c r="V141" s="4"/>
      <c r="W141" s="4">
        <v>0</v>
      </c>
      <c r="X141" s="4">
        <v>1</v>
      </c>
      <c r="Y141" s="4">
        <v>0</v>
      </c>
      <c r="Z141" s="4"/>
      <c r="AA141" s="4"/>
      <c r="AB141" s="4"/>
    </row>
    <row r="142" spans="1:28" x14ac:dyDescent="0.2">
      <c r="A142" s="4">
        <v>50</v>
      </c>
      <c r="B142" s="4">
        <v>0</v>
      </c>
      <c r="C142" s="4">
        <v>0</v>
      </c>
      <c r="D142" s="4">
        <v>1</v>
      </c>
      <c r="E142" s="4">
        <v>206</v>
      </c>
      <c r="F142" s="4">
        <f>ROUND(Source!T121,O142)</f>
        <v>0</v>
      </c>
      <c r="G142" s="4" t="s">
        <v>124</v>
      </c>
      <c r="H142" s="4" t="s">
        <v>125</v>
      </c>
      <c r="I142" s="4"/>
      <c r="J142" s="4"/>
      <c r="K142" s="4">
        <v>206</v>
      </c>
      <c r="L142" s="4">
        <v>20</v>
      </c>
      <c r="M142" s="4">
        <v>3</v>
      </c>
      <c r="N142" s="4" t="s">
        <v>3</v>
      </c>
      <c r="O142" s="4">
        <v>2</v>
      </c>
      <c r="P142" s="4"/>
      <c r="Q142" s="4"/>
      <c r="R142" s="4"/>
      <c r="S142" s="4"/>
      <c r="T142" s="4"/>
      <c r="U142" s="4"/>
      <c r="V142" s="4"/>
      <c r="W142" s="4">
        <v>0</v>
      </c>
      <c r="X142" s="4">
        <v>1</v>
      </c>
      <c r="Y142" s="4">
        <v>0</v>
      </c>
      <c r="Z142" s="4"/>
      <c r="AA142" s="4"/>
      <c r="AB142" s="4"/>
    </row>
    <row r="143" spans="1:28" x14ac:dyDescent="0.2">
      <c r="A143" s="4">
        <v>50</v>
      </c>
      <c r="B143" s="4">
        <v>0</v>
      </c>
      <c r="C143" s="4">
        <v>0</v>
      </c>
      <c r="D143" s="4">
        <v>1</v>
      </c>
      <c r="E143" s="4">
        <v>207</v>
      </c>
      <c r="F143" s="4">
        <f>Source!U121</f>
        <v>16.907</v>
      </c>
      <c r="G143" s="4" t="s">
        <v>126</v>
      </c>
      <c r="H143" s="4" t="s">
        <v>127</v>
      </c>
      <c r="I143" s="4"/>
      <c r="J143" s="4"/>
      <c r="K143" s="4">
        <v>207</v>
      </c>
      <c r="L143" s="4">
        <v>21</v>
      </c>
      <c r="M143" s="4">
        <v>3</v>
      </c>
      <c r="N143" s="4" t="s">
        <v>3</v>
      </c>
      <c r="O143" s="4">
        <v>-1</v>
      </c>
      <c r="P143" s="4"/>
      <c r="Q143" s="4"/>
      <c r="R143" s="4"/>
      <c r="S143" s="4"/>
      <c r="T143" s="4"/>
      <c r="U143" s="4"/>
      <c r="V143" s="4"/>
      <c r="W143" s="4">
        <v>16.907</v>
      </c>
      <c r="X143" s="4">
        <v>1</v>
      </c>
      <c r="Y143" s="4">
        <v>16.907</v>
      </c>
      <c r="Z143" s="4"/>
      <c r="AA143" s="4"/>
      <c r="AB143" s="4"/>
    </row>
    <row r="144" spans="1:28" x14ac:dyDescent="0.2">
      <c r="A144" s="4">
        <v>50</v>
      </c>
      <c r="B144" s="4">
        <v>0</v>
      </c>
      <c r="C144" s="4">
        <v>0</v>
      </c>
      <c r="D144" s="4">
        <v>1</v>
      </c>
      <c r="E144" s="4">
        <v>208</v>
      </c>
      <c r="F144" s="4">
        <f>Source!V121</f>
        <v>0</v>
      </c>
      <c r="G144" s="4" t="s">
        <v>128</v>
      </c>
      <c r="H144" s="4" t="s">
        <v>129</v>
      </c>
      <c r="I144" s="4"/>
      <c r="J144" s="4"/>
      <c r="K144" s="4">
        <v>208</v>
      </c>
      <c r="L144" s="4">
        <v>22</v>
      </c>
      <c r="M144" s="4">
        <v>3</v>
      </c>
      <c r="N144" s="4" t="s">
        <v>3</v>
      </c>
      <c r="O144" s="4">
        <v>-1</v>
      </c>
      <c r="P144" s="4"/>
      <c r="Q144" s="4"/>
      <c r="R144" s="4"/>
      <c r="S144" s="4"/>
      <c r="T144" s="4"/>
      <c r="U144" s="4"/>
      <c r="V144" s="4"/>
      <c r="W144" s="4">
        <v>0</v>
      </c>
      <c r="X144" s="4">
        <v>1</v>
      </c>
      <c r="Y144" s="4">
        <v>0</v>
      </c>
      <c r="Z144" s="4"/>
      <c r="AA144" s="4"/>
      <c r="AB144" s="4"/>
    </row>
    <row r="145" spans="1:245" x14ac:dyDescent="0.2">
      <c r="A145" s="4">
        <v>50</v>
      </c>
      <c r="B145" s="4">
        <v>0</v>
      </c>
      <c r="C145" s="4">
        <v>0</v>
      </c>
      <c r="D145" s="4">
        <v>1</v>
      </c>
      <c r="E145" s="4">
        <v>209</v>
      </c>
      <c r="F145" s="4">
        <f>ROUND(Source!W121,O145)</f>
        <v>0</v>
      </c>
      <c r="G145" s="4" t="s">
        <v>130</v>
      </c>
      <c r="H145" s="4" t="s">
        <v>131</v>
      </c>
      <c r="I145" s="4"/>
      <c r="J145" s="4"/>
      <c r="K145" s="4">
        <v>209</v>
      </c>
      <c r="L145" s="4">
        <v>23</v>
      </c>
      <c r="M145" s="4">
        <v>3</v>
      </c>
      <c r="N145" s="4" t="s">
        <v>3</v>
      </c>
      <c r="O145" s="4">
        <v>2</v>
      </c>
      <c r="P145" s="4"/>
      <c r="Q145" s="4"/>
      <c r="R145" s="4"/>
      <c r="S145" s="4"/>
      <c r="T145" s="4"/>
      <c r="U145" s="4"/>
      <c r="V145" s="4"/>
      <c r="W145" s="4">
        <v>0</v>
      </c>
      <c r="X145" s="4">
        <v>1</v>
      </c>
      <c r="Y145" s="4">
        <v>0</v>
      </c>
      <c r="Z145" s="4"/>
      <c r="AA145" s="4"/>
      <c r="AB145" s="4"/>
    </row>
    <row r="146" spans="1:245" x14ac:dyDescent="0.2">
      <c r="A146" s="4">
        <v>50</v>
      </c>
      <c r="B146" s="4">
        <v>0</v>
      </c>
      <c r="C146" s="4">
        <v>0</v>
      </c>
      <c r="D146" s="4">
        <v>1</v>
      </c>
      <c r="E146" s="4">
        <v>233</v>
      </c>
      <c r="F146" s="4">
        <f>ROUND(Source!BD121,O146)</f>
        <v>0</v>
      </c>
      <c r="G146" s="4" t="s">
        <v>132</v>
      </c>
      <c r="H146" s="4" t="s">
        <v>133</v>
      </c>
      <c r="I146" s="4"/>
      <c r="J146" s="4"/>
      <c r="K146" s="4">
        <v>233</v>
      </c>
      <c r="L146" s="4">
        <v>24</v>
      </c>
      <c r="M146" s="4">
        <v>3</v>
      </c>
      <c r="N146" s="4" t="s">
        <v>3</v>
      </c>
      <c r="O146" s="4">
        <v>2</v>
      </c>
      <c r="P146" s="4"/>
      <c r="Q146" s="4"/>
      <c r="R146" s="4"/>
      <c r="S146" s="4"/>
      <c r="T146" s="4"/>
      <c r="U146" s="4"/>
      <c r="V146" s="4"/>
      <c r="W146" s="4">
        <v>0</v>
      </c>
      <c r="X146" s="4">
        <v>1</v>
      </c>
      <c r="Y146" s="4">
        <v>0</v>
      </c>
      <c r="Z146" s="4"/>
      <c r="AA146" s="4"/>
      <c r="AB146" s="4"/>
    </row>
    <row r="147" spans="1:245" x14ac:dyDescent="0.2">
      <c r="A147" s="4">
        <v>50</v>
      </c>
      <c r="B147" s="4">
        <v>0</v>
      </c>
      <c r="C147" s="4">
        <v>0</v>
      </c>
      <c r="D147" s="4">
        <v>1</v>
      </c>
      <c r="E147" s="4">
        <v>210</v>
      </c>
      <c r="F147" s="4">
        <f>ROUND(Source!X121,O147)</f>
        <v>5426.79</v>
      </c>
      <c r="G147" s="4" t="s">
        <v>134</v>
      </c>
      <c r="H147" s="4" t="s">
        <v>135</v>
      </c>
      <c r="I147" s="4"/>
      <c r="J147" s="4"/>
      <c r="K147" s="4">
        <v>210</v>
      </c>
      <c r="L147" s="4">
        <v>25</v>
      </c>
      <c r="M147" s="4">
        <v>3</v>
      </c>
      <c r="N147" s="4" t="s">
        <v>3</v>
      </c>
      <c r="O147" s="4">
        <v>2</v>
      </c>
      <c r="P147" s="4"/>
      <c r="Q147" s="4"/>
      <c r="R147" s="4"/>
      <c r="S147" s="4"/>
      <c r="T147" s="4"/>
      <c r="U147" s="4"/>
      <c r="V147" s="4"/>
      <c r="W147" s="4">
        <v>5426.79</v>
      </c>
      <c r="X147" s="4">
        <v>1</v>
      </c>
      <c r="Y147" s="4">
        <v>5426.79</v>
      </c>
      <c r="Z147" s="4"/>
      <c r="AA147" s="4"/>
      <c r="AB147" s="4"/>
    </row>
    <row r="148" spans="1:245" x14ac:dyDescent="0.2">
      <c r="A148" s="4">
        <v>50</v>
      </c>
      <c r="B148" s="4">
        <v>0</v>
      </c>
      <c r="C148" s="4">
        <v>0</v>
      </c>
      <c r="D148" s="4">
        <v>1</v>
      </c>
      <c r="E148" s="4">
        <v>211</v>
      </c>
      <c r="F148" s="4">
        <f>ROUND(Source!Y121,O148)</f>
        <v>775.26</v>
      </c>
      <c r="G148" s="4" t="s">
        <v>136</v>
      </c>
      <c r="H148" s="4" t="s">
        <v>137</v>
      </c>
      <c r="I148" s="4"/>
      <c r="J148" s="4"/>
      <c r="K148" s="4">
        <v>211</v>
      </c>
      <c r="L148" s="4">
        <v>26</v>
      </c>
      <c r="M148" s="4">
        <v>3</v>
      </c>
      <c r="N148" s="4" t="s">
        <v>3</v>
      </c>
      <c r="O148" s="4">
        <v>2</v>
      </c>
      <c r="P148" s="4"/>
      <c r="Q148" s="4"/>
      <c r="R148" s="4"/>
      <c r="S148" s="4"/>
      <c r="T148" s="4"/>
      <c r="U148" s="4"/>
      <c r="V148" s="4"/>
      <c r="W148" s="4">
        <v>775.26</v>
      </c>
      <c r="X148" s="4">
        <v>1</v>
      </c>
      <c r="Y148" s="4">
        <v>775.26</v>
      </c>
      <c r="Z148" s="4"/>
      <c r="AA148" s="4"/>
      <c r="AB148" s="4"/>
    </row>
    <row r="149" spans="1:245" x14ac:dyDescent="0.2">
      <c r="A149" s="4">
        <v>50</v>
      </c>
      <c r="B149" s="4">
        <v>0</v>
      </c>
      <c r="C149" s="4">
        <v>0</v>
      </c>
      <c r="D149" s="4">
        <v>1</v>
      </c>
      <c r="E149" s="4">
        <v>224</v>
      </c>
      <c r="F149" s="4">
        <f>ROUND(Source!AR121,O149)</f>
        <v>17318.439999999999</v>
      </c>
      <c r="G149" s="4" t="s">
        <v>138</v>
      </c>
      <c r="H149" s="4" t="s">
        <v>139</v>
      </c>
      <c r="I149" s="4"/>
      <c r="J149" s="4"/>
      <c r="K149" s="4">
        <v>224</v>
      </c>
      <c r="L149" s="4">
        <v>27</v>
      </c>
      <c r="M149" s="4">
        <v>3</v>
      </c>
      <c r="N149" s="4" t="s">
        <v>3</v>
      </c>
      <c r="O149" s="4">
        <v>2</v>
      </c>
      <c r="P149" s="4"/>
      <c r="Q149" s="4"/>
      <c r="R149" s="4"/>
      <c r="S149" s="4"/>
      <c r="T149" s="4"/>
      <c r="U149" s="4"/>
      <c r="V149" s="4"/>
      <c r="W149" s="4">
        <v>17318.439999999999</v>
      </c>
      <c r="X149" s="4">
        <v>1</v>
      </c>
      <c r="Y149" s="4">
        <v>17318.439999999999</v>
      </c>
      <c r="Z149" s="4"/>
      <c r="AA149" s="4"/>
      <c r="AB149" s="4"/>
    </row>
    <row r="151" spans="1:245" x14ac:dyDescent="0.2">
      <c r="A151" s="1">
        <v>5</v>
      </c>
      <c r="B151" s="1">
        <v>1</v>
      </c>
      <c r="C151" s="1"/>
      <c r="D151" s="1">
        <f>ROW(A162)</f>
        <v>162</v>
      </c>
      <c r="E151" s="1"/>
      <c r="F151" s="1" t="s">
        <v>15</v>
      </c>
      <c r="G151" s="1" t="s">
        <v>154</v>
      </c>
      <c r="H151" s="1" t="s">
        <v>3</v>
      </c>
      <c r="I151" s="1">
        <v>0</v>
      </c>
      <c r="J151" s="1"/>
      <c r="K151" s="1">
        <v>0</v>
      </c>
      <c r="L151" s="1"/>
      <c r="M151" s="1" t="s">
        <v>3</v>
      </c>
      <c r="N151" s="1"/>
      <c r="O151" s="1"/>
      <c r="P151" s="1"/>
      <c r="Q151" s="1"/>
      <c r="R151" s="1"/>
      <c r="S151" s="1">
        <v>0</v>
      </c>
      <c r="T151" s="1"/>
      <c r="U151" s="1" t="s">
        <v>3</v>
      </c>
      <c r="V151" s="1">
        <v>0</v>
      </c>
      <c r="W151" s="1"/>
      <c r="X151" s="1"/>
      <c r="Y151" s="1"/>
      <c r="Z151" s="1"/>
      <c r="AA151" s="1"/>
      <c r="AB151" s="1" t="s">
        <v>3</v>
      </c>
      <c r="AC151" s="1" t="s">
        <v>3</v>
      </c>
      <c r="AD151" s="1" t="s">
        <v>3</v>
      </c>
      <c r="AE151" s="1" t="s">
        <v>3</v>
      </c>
      <c r="AF151" s="1" t="s">
        <v>3</v>
      </c>
      <c r="AG151" s="1" t="s">
        <v>3</v>
      </c>
      <c r="AH151" s="1"/>
      <c r="AI151" s="1"/>
      <c r="AJ151" s="1"/>
      <c r="AK151" s="1"/>
      <c r="AL151" s="1"/>
      <c r="AM151" s="1"/>
      <c r="AN151" s="1"/>
      <c r="AO151" s="1"/>
      <c r="AP151" s="1" t="s">
        <v>3</v>
      </c>
      <c r="AQ151" s="1" t="s">
        <v>3</v>
      </c>
      <c r="AR151" s="1" t="s">
        <v>3</v>
      </c>
      <c r="AS151" s="1"/>
      <c r="AT151" s="1"/>
      <c r="AU151" s="1"/>
      <c r="AV151" s="1"/>
      <c r="AW151" s="1"/>
      <c r="AX151" s="1"/>
      <c r="AY151" s="1"/>
      <c r="AZ151" s="1" t="s">
        <v>3</v>
      </c>
      <c r="BA151" s="1"/>
      <c r="BB151" s="1" t="s">
        <v>3</v>
      </c>
      <c r="BC151" s="1" t="s">
        <v>3</v>
      </c>
      <c r="BD151" s="1" t="s">
        <v>3</v>
      </c>
      <c r="BE151" s="1" t="s">
        <v>3</v>
      </c>
      <c r="BF151" s="1" t="s">
        <v>3</v>
      </c>
      <c r="BG151" s="1" t="s">
        <v>3</v>
      </c>
      <c r="BH151" s="1" t="s">
        <v>3</v>
      </c>
      <c r="BI151" s="1" t="s">
        <v>3</v>
      </c>
      <c r="BJ151" s="1" t="s">
        <v>3</v>
      </c>
      <c r="BK151" s="1" t="s">
        <v>3</v>
      </c>
      <c r="BL151" s="1" t="s">
        <v>3</v>
      </c>
      <c r="BM151" s="1" t="s">
        <v>3</v>
      </c>
      <c r="BN151" s="1" t="s">
        <v>3</v>
      </c>
      <c r="BO151" s="1" t="s">
        <v>3</v>
      </c>
      <c r="BP151" s="1" t="s">
        <v>3</v>
      </c>
      <c r="BQ151" s="1"/>
      <c r="BR151" s="1"/>
      <c r="BS151" s="1"/>
      <c r="BT151" s="1"/>
      <c r="BU151" s="1"/>
      <c r="BV151" s="1"/>
      <c r="BW151" s="1"/>
      <c r="BX151" s="1">
        <v>0</v>
      </c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>
        <v>0</v>
      </c>
    </row>
    <row r="153" spans="1:245" x14ac:dyDescent="0.2">
      <c r="A153" s="2">
        <v>52</v>
      </c>
      <c r="B153" s="2">
        <f t="shared" ref="B153:G153" si="88">B162</f>
        <v>1</v>
      </c>
      <c r="C153" s="2">
        <f t="shared" si="88"/>
        <v>5</v>
      </c>
      <c r="D153" s="2">
        <f t="shared" si="88"/>
        <v>151</v>
      </c>
      <c r="E153" s="2">
        <f t="shared" si="88"/>
        <v>0</v>
      </c>
      <c r="F153" s="2" t="str">
        <f t="shared" si="88"/>
        <v>Новый подраздел</v>
      </c>
      <c r="G153" s="2" t="str">
        <f t="shared" si="88"/>
        <v>Окна</v>
      </c>
      <c r="H153" s="2"/>
      <c r="I153" s="2"/>
      <c r="J153" s="2"/>
      <c r="K153" s="2"/>
      <c r="L153" s="2"/>
      <c r="M153" s="2"/>
      <c r="N153" s="2"/>
      <c r="O153" s="2">
        <f t="shared" ref="O153:AT153" si="89">O162</f>
        <v>1454.5</v>
      </c>
      <c r="P153" s="2">
        <f t="shared" si="89"/>
        <v>633.86</v>
      </c>
      <c r="Q153" s="2">
        <f t="shared" si="89"/>
        <v>0</v>
      </c>
      <c r="R153" s="2">
        <f t="shared" si="89"/>
        <v>0</v>
      </c>
      <c r="S153" s="2">
        <f t="shared" si="89"/>
        <v>820.64</v>
      </c>
      <c r="T153" s="2">
        <f t="shared" si="89"/>
        <v>0</v>
      </c>
      <c r="U153" s="2">
        <f t="shared" si="89"/>
        <v>1.7834400000000001</v>
      </c>
      <c r="V153" s="2">
        <f t="shared" si="89"/>
        <v>0</v>
      </c>
      <c r="W153" s="2">
        <f t="shared" si="89"/>
        <v>0</v>
      </c>
      <c r="X153" s="2">
        <f t="shared" si="89"/>
        <v>574.45000000000005</v>
      </c>
      <c r="Y153" s="2">
        <f t="shared" si="89"/>
        <v>82.06</v>
      </c>
      <c r="Z153" s="2">
        <f t="shared" si="89"/>
        <v>0</v>
      </c>
      <c r="AA153" s="2">
        <f t="shared" si="89"/>
        <v>0</v>
      </c>
      <c r="AB153" s="2">
        <f t="shared" si="89"/>
        <v>1454.5</v>
      </c>
      <c r="AC153" s="2">
        <f t="shared" si="89"/>
        <v>633.86</v>
      </c>
      <c r="AD153" s="2">
        <f t="shared" si="89"/>
        <v>0</v>
      </c>
      <c r="AE153" s="2">
        <f t="shared" si="89"/>
        <v>0</v>
      </c>
      <c r="AF153" s="2">
        <f t="shared" si="89"/>
        <v>820.64</v>
      </c>
      <c r="AG153" s="2">
        <f t="shared" si="89"/>
        <v>0</v>
      </c>
      <c r="AH153" s="2">
        <f t="shared" si="89"/>
        <v>1.7834400000000001</v>
      </c>
      <c r="AI153" s="2">
        <f t="shared" si="89"/>
        <v>0</v>
      </c>
      <c r="AJ153" s="2">
        <f t="shared" si="89"/>
        <v>0</v>
      </c>
      <c r="AK153" s="2">
        <f t="shared" si="89"/>
        <v>574.45000000000005</v>
      </c>
      <c r="AL153" s="2">
        <f t="shared" si="89"/>
        <v>82.06</v>
      </c>
      <c r="AM153" s="2">
        <f t="shared" si="89"/>
        <v>0</v>
      </c>
      <c r="AN153" s="2">
        <f t="shared" si="89"/>
        <v>0</v>
      </c>
      <c r="AO153" s="2">
        <f t="shared" si="89"/>
        <v>0</v>
      </c>
      <c r="AP153" s="2">
        <f t="shared" si="89"/>
        <v>0</v>
      </c>
      <c r="AQ153" s="2">
        <f t="shared" si="89"/>
        <v>0</v>
      </c>
      <c r="AR153" s="2">
        <f t="shared" si="89"/>
        <v>2111.0100000000002</v>
      </c>
      <c r="AS153" s="2">
        <f t="shared" si="89"/>
        <v>0</v>
      </c>
      <c r="AT153" s="2">
        <f t="shared" si="89"/>
        <v>0</v>
      </c>
      <c r="AU153" s="2">
        <f t="shared" ref="AU153:BZ153" si="90">AU162</f>
        <v>2111.0100000000002</v>
      </c>
      <c r="AV153" s="2">
        <f t="shared" si="90"/>
        <v>633.86</v>
      </c>
      <c r="AW153" s="2">
        <f t="shared" si="90"/>
        <v>633.86</v>
      </c>
      <c r="AX153" s="2">
        <f t="shared" si="90"/>
        <v>0</v>
      </c>
      <c r="AY153" s="2">
        <f t="shared" si="90"/>
        <v>633.86</v>
      </c>
      <c r="AZ153" s="2">
        <f t="shared" si="90"/>
        <v>0</v>
      </c>
      <c r="BA153" s="2">
        <f t="shared" si="90"/>
        <v>0</v>
      </c>
      <c r="BB153" s="2">
        <f t="shared" si="90"/>
        <v>0</v>
      </c>
      <c r="BC153" s="2">
        <f t="shared" si="90"/>
        <v>0</v>
      </c>
      <c r="BD153" s="2">
        <f t="shared" si="90"/>
        <v>0</v>
      </c>
      <c r="BE153" s="2">
        <f t="shared" si="90"/>
        <v>0</v>
      </c>
      <c r="BF153" s="2">
        <f t="shared" si="90"/>
        <v>0</v>
      </c>
      <c r="BG153" s="2">
        <f t="shared" si="90"/>
        <v>0</v>
      </c>
      <c r="BH153" s="2">
        <f t="shared" si="90"/>
        <v>0</v>
      </c>
      <c r="BI153" s="2">
        <f t="shared" si="90"/>
        <v>0</v>
      </c>
      <c r="BJ153" s="2">
        <f t="shared" si="90"/>
        <v>0</v>
      </c>
      <c r="BK153" s="2">
        <f t="shared" si="90"/>
        <v>0</v>
      </c>
      <c r="BL153" s="2">
        <f t="shared" si="90"/>
        <v>0</v>
      </c>
      <c r="BM153" s="2">
        <f t="shared" si="90"/>
        <v>0</v>
      </c>
      <c r="BN153" s="2">
        <f t="shared" si="90"/>
        <v>0</v>
      </c>
      <c r="BO153" s="2">
        <f t="shared" si="90"/>
        <v>0</v>
      </c>
      <c r="BP153" s="2">
        <f t="shared" si="90"/>
        <v>0</v>
      </c>
      <c r="BQ153" s="2">
        <f t="shared" si="90"/>
        <v>0</v>
      </c>
      <c r="BR153" s="2">
        <f t="shared" si="90"/>
        <v>0</v>
      </c>
      <c r="BS153" s="2">
        <f t="shared" si="90"/>
        <v>0</v>
      </c>
      <c r="BT153" s="2">
        <f t="shared" si="90"/>
        <v>0</v>
      </c>
      <c r="BU153" s="2">
        <f t="shared" si="90"/>
        <v>0</v>
      </c>
      <c r="BV153" s="2">
        <f t="shared" si="90"/>
        <v>0</v>
      </c>
      <c r="BW153" s="2">
        <f t="shared" si="90"/>
        <v>0</v>
      </c>
      <c r="BX153" s="2">
        <f t="shared" si="90"/>
        <v>0</v>
      </c>
      <c r="BY153" s="2">
        <f t="shared" si="90"/>
        <v>0</v>
      </c>
      <c r="BZ153" s="2">
        <f t="shared" si="90"/>
        <v>0</v>
      </c>
      <c r="CA153" s="2">
        <f t="shared" ref="CA153:DF153" si="91">CA162</f>
        <v>2111.0100000000002</v>
      </c>
      <c r="CB153" s="2">
        <f t="shared" si="91"/>
        <v>0</v>
      </c>
      <c r="CC153" s="2">
        <f t="shared" si="91"/>
        <v>0</v>
      </c>
      <c r="CD153" s="2">
        <f t="shared" si="91"/>
        <v>2111.0100000000002</v>
      </c>
      <c r="CE153" s="2">
        <f t="shared" si="91"/>
        <v>633.86</v>
      </c>
      <c r="CF153" s="2">
        <f t="shared" si="91"/>
        <v>633.86</v>
      </c>
      <c r="CG153" s="2">
        <f t="shared" si="91"/>
        <v>0</v>
      </c>
      <c r="CH153" s="2">
        <f t="shared" si="91"/>
        <v>633.86</v>
      </c>
      <c r="CI153" s="2">
        <f t="shared" si="91"/>
        <v>0</v>
      </c>
      <c r="CJ153" s="2">
        <f t="shared" si="91"/>
        <v>0</v>
      </c>
      <c r="CK153" s="2">
        <f t="shared" si="91"/>
        <v>0</v>
      </c>
      <c r="CL153" s="2">
        <f t="shared" si="91"/>
        <v>0</v>
      </c>
      <c r="CM153" s="2">
        <f t="shared" si="91"/>
        <v>0</v>
      </c>
      <c r="CN153" s="2">
        <f t="shared" si="91"/>
        <v>0</v>
      </c>
      <c r="CO153" s="2">
        <f t="shared" si="91"/>
        <v>0</v>
      </c>
      <c r="CP153" s="2">
        <f t="shared" si="91"/>
        <v>0</v>
      </c>
      <c r="CQ153" s="2">
        <f t="shared" si="91"/>
        <v>0</v>
      </c>
      <c r="CR153" s="2">
        <f t="shared" si="91"/>
        <v>0</v>
      </c>
      <c r="CS153" s="2">
        <f t="shared" si="91"/>
        <v>0</v>
      </c>
      <c r="CT153" s="2">
        <f t="shared" si="91"/>
        <v>0</v>
      </c>
      <c r="CU153" s="2">
        <f t="shared" si="91"/>
        <v>0</v>
      </c>
      <c r="CV153" s="2">
        <f t="shared" si="91"/>
        <v>0</v>
      </c>
      <c r="CW153" s="2">
        <f t="shared" si="91"/>
        <v>0</v>
      </c>
      <c r="CX153" s="2">
        <f t="shared" si="91"/>
        <v>0</v>
      </c>
      <c r="CY153" s="2">
        <f t="shared" si="91"/>
        <v>0</v>
      </c>
      <c r="CZ153" s="2">
        <f t="shared" si="91"/>
        <v>0</v>
      </c>
      <c r="DA153" s="2">
        <f t="shared" si="91"/>
        <v>0</v>
      </c>
      <c r="DB153" s="2">
        <f t="shared" si="91"/>
        <v>0</v>
      </c>
      <c r="DC153" s="2">
        <f t="shared" si="91"/>
        <v>0</v>
      </c>
      <c r="DD153" s="2">
        <f t="shared" si="91"/>
        <v>0</v>
      </c>
      <c r="DE153" s="2">
        <f t="shared" si="91"/>
        <v>0</v>
      </c>
      <c r="DF153" s="2">
        <f t="shared" si="91"/>
        <v>0</v>
      </c>
      <c r="DG153" s="3">
        <f t="shared" ref="DG153:EL153" si="92">DG162</f>
        <v>0</v>
      </c>
      <c r="DH153" s="3">
        <f t="shared" si="92"/>
        <v>0</v>
      </c>
      <c r="DI153" s="3">
        <f t="shared" si="92"/>
        <v>0</v>
      </c>
      <c r="DJ153" s="3">
        <f t="shared" si="92"/>
        <v>0</v>
      </c>
      <c r="DK153" s="3">
        <f t="shared" si="92"/>
        <v>0</v>
      </c>
      <c r="DL153" s="3">
        <f t="shared" si="92"/>
        <v>0</v>
      </c>
      <c r="DM153" s="3">
        <f t="shared" si="92"/>
        <v>0</v>
      </c>
      <c r="DN153" s="3">
        <f t="shared" si="92"/>
        <v>0</v>
      </c>
      <c r="DO153" s="3">
        <f t="shared" si="92"/>
        <v>0</v>
      </c>
      <c r="DP153" s="3">
        <f t="shared" si="92"/>
        <v>0</v>
      </c>
      <c r="DQ153" s="3">
        <f t="shared" si="92"/>
        <v>0</v>
      </c>
      <c r="DR153" s="3">
        <f t="shared" si="92"/>
        <v>0</v>
      </c>
      <c r="DS153" s="3">
        <f t="shared" si="92"/>
        <v>0</v>
      </c>
      <c r="DT153" s="3">
        <f t="shared" si="92"/>
        <v>0</v>
      </c>
      <c r="DU153" s="3">
        <f t="shared" si="92"/>
        <v>0</v>
      </c>
      <c r="DV153" s="3">
        <f t="shared" si="92"/>
        <v>0</v>
      </c>
      <c r="DW153" s="3">
        <f t="shared" si="92"/>
        <v>0</v>
      </c>
      <c r="DX153" s="3">
        <f t="shared" si="92"/>
        <v>0</v>
      </c>
      <c r="DY153" s="3">
        <f t="shared" si="92"/>
        <v>0</v>
      </c>
      <c r="DZ153" s="3">
        <f t="shared" si="92"/>
        <v>0</v>
      </c>
      <c r="EA153" s="3">
        <f t="shared" si="92"/>
        <v>0</v>
      </c>
      <c r="EB153" s="3">
        <f t="shared" si="92"/>
        <v>0</v>
      </c>
      <c r="EC153" s="3">
        <f t="shared" si="92"/>
        <v>0</v>
      </c>
      <c r="ED153" s="3">
        <f t="shared" si="92"/>
        <v>0</v>
      </c>
      <c r="EE153" s="3">
        <f t="shared" si="92"/>
        <v>0</v>
      </c>
      <c r="EF153" s="3">
        <f t="shared" si="92"/>
        <v>0</v>
      </c>
      <c r="EG153" s="3">
        <f t="shared" si="92"/>
        <v>0</v>
      </c>
      <c r="EH153" s="3">
        <f t="shared" si="92"/>
        <v>0</v>
      </c>
      <c r="EI153" s="3">
        <f t="shared" si="92"/>
        <v>0</v>
      </c>
      <c r="EJ153" s="3">
        <f t="shared" si="92"/>
        <v>0</v>
      </c>
      <c r="EK153" s="3">
        <f t="shared" si="92"/>
        <v>0</v>
      </c>
      <c r="EL153" s="3">
        <f t="shared" si="92"/>
        <v>0</v>
      </c>
      <c r="EM153" s="3">
        <f t="shared" ref="EM153:FR153" si="93">EM162</f>
        <v>0</v>
      </c>
      <c r="EN153" s="3">
        <f t="shared" si="93"/>
        <v>0</v>
      </c>
      <c r="EO153" s="3">
        <f t="shared" si="93"/>
        <v>0</v>
      </c>
      <c r="EP153" s="3">
        <f t="shared" si="93"/>
        <v>0</v>
      </c>
      <c r="EQ153" s="3">
        <f t="shared" si="93"/>
        <v>0</v>
      </c>
      <c r="ER153" s="3">
        <f t="shared" si="93"/>
        <v>0</v>
      </c>
      <c r="ES153" s="3">
        <f t="shared" si="93"/>
        <v>0</v>
      </c>
      <c r="ET153" s="3">
        <f t="shared" si="93"/>
        <v>0</v>
      </c>
      <c r="EU153" s="3">
        <f t="shared" si="93"/>
        <v>0</v>
      </c>
      <c r="EV153" s="3">
        <f t="shared" si="93"/>
        <v>0</v>
      </c>
      <c r="EW153" s="3">
        <f t="shared" si="93"/>
        <v>0</v>
      </c>
      <c r="EX153" s="3">
        <f t="shared" si="93"/>
        <v>0</v>
      </c>
      <c r="EY153" s="3">
        <f t="shared" si="93"/>
        <v>0</v>
      </c>
      <c r="EZ153" s="3">
        <f t="shared" si="93"/>
        <v>0</v>
      </c>
      <c r="FA153" s="3">
        <f t="shared" si="93"/>
        <v>0</v>
      </c>
      <c r="FB153" s="3">
        <f t="shared" si="93"/>
        <v>0</v>
      </c>
      <c r="FC153" s="3">
        <f t="shared" si="93"/>
        <v>0</v>
      </c>
      <c r="FD153" s="3">
        <f t="shared" si="93"/>
        <v>0</v>
      </c>
      <c r="FE153" s="3">
        <f t="shared" si="93"/>
        <v>0</v>
      </c>
      <c r="FF153" s="3">
        <f t="shared" si="93"/>
        <v>0</v>
      </c>
      <c r="FG153" s="3">
        <f t="shared" si="93"/>
        <v>0</v>
      </c>
      <c r="FH153" s="3">
        <f t="shared" si="93"/>
        <v>0</v>
      </c>
      <c r="FI153" s="3">
        <f t="shared" si="93"/>
        <v>0</v>
      </c>
      <c r="FJ153" s="3">
        <f t="shared" si="93"/>
        <v>0</v>
      </c>
      <c r="FK153" s="3">
        <f t="shared" si="93"/>
        <v>0</v>
      </c>
      <c r="FL153" s="3">
        <f t="shared" si="93"/>
        <v>0</v>
      </c>
      <c r="FM153" s="3">
        <f t="shared" si="93"/>
        <v>0</v>
      </c>
      <c r="FN153" s="3">
        <f t="shared" si="93"/>
        <v>0</v>
      </c>
      <c r="FO153" s="3">
        <f t="shared" si="93"/>
        <v>0</v>
      </c>
      <c r="FP153" s="3">
        <f t="shared" si="93"/>
        <v>0</v>
      </c>
      <c r="FQ153" s="3">
        <f t="shared" si="93"/>
        <v>0</v>
      </c>
      <c r="FR153" s="3">
        <f t="shared" si="93"/>
        <v>0</v>
      </c>
      <c r="FS153" s="3">
        <f t="shared" ref="FS153:GX153" si="94">FS162</f>
        <v>0</v>
      </c>
      <c r="FT153" s="3">
        <f t="shared" si="94"/>
        <v>0</v>
      </c>
      <c r="FU153" s="3">
        <f t="shared" si="94"/>
        <v>0</v>
      </c>
      <c r="FV153" s="3">
        <f t="shared" si="94"/>
        <v>0</v>
      </c>
      <c r="FW153" s="3">
        <f t="shared" si="94"/>
        <v>0</v>
      </c>
      <c r="FX153" s="3">
        <f t="shared" si="94"/>
        <v>0</v>
      </c>
      <c r="FY153" s="3">
        <f t="shared" si="94"/>
        <v>0</v>
      </c>
      <c r="FZ153" s="3">
        <f t="shared" si="94"/>
        <v>0</v>
      </c>
      <c r="GA153" s="3">
        <f t="shared" si="94"/>
        <v>0</v>
      </c>
      <c r="GB153" s="3">
        <f t="shared" si="94"/>
        <v>0</v>
      </c>
      <c r="GC153" s="3">
        <f t="shared" si="94"/>
        <v>0</v>
      </c>
      <c r="GD153" s="3">
        <f t="shared" si="94"/>
        <v>0</v>
      </c>
      <c r="GE153" s="3">
        <f t="shared" si="94"/>
        <v>0</v>
      </c>
      <c r="GF153" s="3">
        <f t="shared" si="94"/>
        <v>0</v>
      </c>
      <c r="GG153" s="3">
        <f t="shared" si="94"/>
        <v>0</v>
      </c>
      <c r="GH153" s="3">
        <f t="shared" si="94"/>
        <v>0</v>
      </c>
      <c r="GI153" s="3">
        <f t="shared" si="94"/>
        <v>0</v>
      </c>
      <c r="GJ153" s="3">
        <f t="shared" si="94"/>
        <v>0</v>
      </c>
      <c r="GK153" s="3">
        <f t="shared" si="94"/>
        <v>0</v>
      </c>
      <c r="GL153" s="3">
        <f t="shared" si="94"/>
        <v>0</v>
      </c>
      <c r="GM153" s="3">
        <f t="shared" si="94"/>
        <v>0</v>
      </c>
      <c r="GN153" s="3">
        <f t="shared" si="94"/>
        <v>0</v>
      </c>
      <c r="GO153" s="3">
        <f t="shared" si="94"/>
        <v>0</v>
      </c>
      <c r="GP153" s="3">
        <f t="shared" si="94"/>
        <v>0</v>
      </c>
      <c r="GQ153" s="3">
        <f t="shared" si="94"/>
        <v>0</v>
      </c>
      <c r="GR153" s="3">
        <f t="shared" si="94"/>
        <v>0</v>
      </c>
      <c r="GS153" s="3">
        <f t="shared" si="94"/>
        <v>0</v>
      </c>
      <c r="GT153" s="3">
        <f t="shared" si="94"/>
        <v>0</v>
      </c>
      <c r="GU153" s="3">
        <f t="shared" si="94"/>
        <v>0</v>
      </c>
      <c r="GV153" s="3">
        <f t="shared" si="94"/>
        <v>0</v>
      </c>
      <c r="GW153" s="3">
        <f t="shared" si="94"/>
        <v>0</v>
      </c>
      <c r="GX153" s="3">
        <f t="shared" si="94"/>
        <v>0</v>
      </c>
    </row>
    <row r="155" spans="1:245" x14ac:dyDescent="0.2">
      <c r="A155">
        <v>17</v>
      </c>
      <c r="B155">
        <v>1</v>
      </c>
      <c r="C155">
        <f>ROW(SmtRes!A59)</f>
        <v>59</v>
      </c>
      <c r="D155">
        <f>ROW(EtalonRes!A56)</f>
        <v>56</v>
      </c>
      <c r="E155" t="s">
        <v>155</v>
      </c>
      <c r="F155" t="s">
        <v>156</v>
      </c>
      <c r="G155" t="s">
        <v>157</v>
      </c>
      <c r="H155" t="s">
        <v>20</v>
      </c>
      <c r="I155">
        <f>ROUND(12.3/100,9)</f>
        <v>0.123</v>
      </c>
      <c r="J155">
        <v>0</v>
      </c>
      <c r="K155">
        <f>ROUND(12.3/100,9)</f>
        <v>0.123</v>
      </c>
      <c r="O155">
        <f t="shared" ref="O155:O160" si="95">ROUND(CP155,2)</f>
        <v>84.41</v>
      </c>
      <c r="P155">
        <f t="shared" ref="P155:P160" si="96">ROUND(CQ155*I155,2)</f>
        <v>0</v>
      </c>
      <c r="Q155">
        <f t="shared" ref="Q155:Q160" si="97">ROUND(CR155*I155,2)</f>
        <v>0</v>
      </c>
      <c r="R155">
        <f t="shared" ref="R155:R160" si="98">ROUND(CS155*I155,2)</f>
        <v>0</v>
      </c>
      <c r="S155">
        <f t="shared" ref="S155:S160" si="99">ROUND(CT155*I155,2)</f>
        <v>84.41</v>
      </c>
      <c r="T155">
        <f t="shared" ref="T155:T160" si="100">ROUND(CU155*I155,2)</f>
        <v>0</v>
      </c>
      <c r="U155">
        <f t="shared" ref="U155:U160" si="101">CV155*I155</f>
        <v>0.18204000000000004</v>
      </c>
      <c r="V155">
        <f t="shared" ref="V155:V160" si="102">CW155*I155</f>
        <v>0</v>
      </c>
      <c r="W155">
        <f t="shared" ref="W155:W160" si="103">ROUND(CX155*I155,2)</f>
        <v>0</v>
      </c>
      <c r="X155">
        <f t="shared" ref="X155:Y160" si="104">ROUND(CY155,2)</f>
        <v>59.09</v>
      </c>
      <c r="Y155">
        <f t="shared" si="104"/>
        <v>8.44</v>
      </c>
      <c r="AA155">
        <v>75703208</v>
      </c>
      <c r="AB155">
        <f t="shared" ref="AB155:AB160" si="105">ROUND((AC155+AD155+AF155),6)</f>
        <v>686.23400000000004</v>
      </c>
      <c r="AC155">
        <f>ROUND(((ES155*0)),6)</f>
        <v>0</v>
      </c>
      <c r="AD155">
        <f>ROUND(((((ET155*0.2))-((EU155*0.2)))+AE155),6)</f>
        <v>0</v>
      </c>
      <c r="AE155">
        <f>ROUND(((EU155*0.2)),6)</f>
        <v>0</v>
      </c>
      <c r="AF155">
        <f>ROUND(((EV155*0.2)),6)</f>
        <v>686.23400000000004</v>
      </c>
      <c r="AG155">
        <f t="shared" ref="AG155:AG160" si="106">ROUND((AP155),6)</f>
        <v>0</v>
      </c>
      <c r="AH155">
        <f>((EW155*0.2))</f>
        <v>1.4800000000000002</v>
      </c>
      <c r="AI155">
        <f>((EX155*0.2))</f>
        <v>0</v>
      </c>
      <c r="AJ155">
        <f t="shared" ref="AJ155:AJ160" si="107">(AS155)</f>
        <v>0</v>
      </c>
      <c r="AK155">
        <v>3799.23</v>
      </c>
      <c r="AL155">
        <v>368.06</v>
      </c>
      <c r="AM155">
        <v>0</v>
      </c>
      <c r="AN155">
        <v>0</v>
      </c>
      <c r="AO155">
        <v>3431.17</v>
      </c>
      <c r="AP155">
        <v>0</v>
      </c>
      <c r="AQ155">
        <v>7.4</v>
      </c>
      <c r="AR155">
        <v>0</v>
      </c>
      <c r="AS155">
        <v>0</v>
      </c>
      <c r="AT155">
        <v>70</v>
      </c>
      <c r="AU155">
        <v>10</v>
      </c>
      <c r="AV155">
        <v>1</v>
      </c>
      <c r="AW155">
        <v>1</v>
      </c>
      <c r="AZ155">
        <v>1</v>
      </c>
      <c r="BA155">
        <v>1</v>
      </c>
      <c r="BB155">
        <v>1</v>
      </c>
      <c r="BC155">
        <v>1</v>
      </c>
      <c r="BD155" t="s">
        <v>3</v>
      </c>
      <c r="BE155" t="s">
        <v>3</v>
      </c>
      <c r="BF155" t="s">
        <v>3</v>
      </c>
      <c r="BG155" t="s">
        <v>3</v>
      </c>
      <c r="BH155">
        <v>0</v>
      </c>
      <c r="BI155">
        <v>4</v>
      </c>
      <c r="BJ155" t="s">
        <v>158</v>
      </c>
      <c r="BM155">
        <v>0</v>
      </c>
      <c r="BN155">
        <v>75371441</v>
      </c>
      <c r="BO155" t="s">
        <v>3</v>
      </c>
      <c r="BP155">
        <v>0</v>
      </c>
      <c r="BQ155">
        <v>1</v>
      </c>
      <c r="BR155">
        <v>0</v>
      </c>
      <c r="BS155">
        <v>1</v>
      </c>
      <c r="BT155">
        <v>1</v>
      </c>
      <c r="BU155">
        <v>1</v>
      </c>
      <c r="BV155">
        <v>1</v>
      </c>
      <c r="BW155">
        <v>1</v>
      </c>
      <c r="BX155">
        <v>1</v>
      </c>
      <c r="BY155" t="s">
        <v>3</v>
      </c>
      <c r="BZ155">
        <v>70</v>
      </c>
      <c r="CA155">
        <v>10</v>
      </c>
      <c r="CB155" t="s">
        <v>3</v>
      </c>
      <c r="CE155">
        <v>0</v>
      </c>
      <c r="CF155">
        <v>0</v>
      </c>
      <c r="CG155">
        <v>0</v>
      </c>
      <c r="CM155">
        <v>0</v>
      </c>
      <c r="CN155" t="s">
        <v>415</v>
      </c>
      <c r="CO155">
        <v>0</v>
      </c>
      <c r="CP155">
        <f t="shared" ref="CP155:CP160" si="108">(P155+Q155+S155)</f>
        <v>84.41</v>
      </c>
      <c r="CQ155">
        <f t="shared" ref="CQ155:CQ160" si="109">(AC155*BC155*AW155)</f>
        <v>0</v>
      </c>
      <c r="CR155">
        <f>(((((ET155*0.2))*BB155-((EU155*0.2))*BS155)+AE155*BS155)*AV155)</f>
        <v>0</v>
      </c>
      <c r="CS155">
        <f t="shared" ref="CS155:CS160" si="110">(AE155*BS155*AV155)</f>
        <v>0</v>
      </c>
      <c r="CT155">
        <f t="shared" ref="CT155:CT160" si="111">(AF155*BA155*AV155)</f>
        <v>686.23400000000004</v>
      </c>
      <c r="CU155">
        <f t="shared" ref="CU155:CU160" si="112">AG155</f>
        <v>0</v>
      </c>
      <c r="CV155">
        <f t="shared" ref="CV155:CV160" si="113">(AH155*AV155)</f>
        <v>1.4800000000000002</v>
      </c>
      <c r="CW155">
        <f t="shared" ref="CW155:CX160" si="114">AI155</f>
        <v>0</v>
      </c>
      <c r="CX155">
        <f t="shared" si="114"/>
        <v>0</v>
      </c>
      <c r="CY155">
        <f t="shared" ref="CY155:CY160" si="115">((S155*BZ155)/100)</f>
        <v>59.086999999999996</v>
      </c>
      <c r="CZ155">
        <f t="shared" ref="CZ155:CZ160" si="116">((S155*CA155)/100)</f>
        <v>8.4409999999999989</v>
      </c>
      <c r="DB155">
        <v>1</v>
      </c>
      <c r="DC155" t="s">
        <v>3</v>
      </c>
      <c r="DD155" t="s">
        <v>159</v>
      </c>
      <c r="DE155" t="s">
        <v>160</v>
      </c>
      <c r="DF155" t="s">
        <v>160</v>
      </c>
      <c r="DG155" t="s">
        <v>160</v>
      </c>
      <c r="DH155" t="s">
        <v>3</v>
      </c>
      <c r="DI155" t="s">
        <v>160</v>
      </c>
      <c r="DJ155" t="s">
        <v>160</v>
      </c>
      <c r="DK155" t="s">
        <v>3</v>
      </c>
      <c r="DL155" t="s">
        <v>3</v>
      </c>
      <c r="DM155" t="s">
        <v>3</v>
      </c>
      <c r="DN155">
        <v>0</v>
      </c>
      <c r="DO155">
        <v>0</v>
      </c>
      <c r="DP155">
        <v>1</v>
      </c>
      <c r="DQ155">
        <v>1</v>
      </c>
      <c r="DU155">
        <v>1003</v>
      </c>
      <c r="DV155" t="s">
        <v>20</v>
      </c>
      <c r="DW155" t="s">
        <v>20</v>
      </c>
      <c r="DX155">
        <v>100</v>
      </c>
      <c r="DZ155" t="s">
        <v>3</v>
      </c>
      <c r="EA155" t="s">
        <v>3</v>
      </c>
      <c r="EB155" t="s">
        <v>3</v>
      </c>
      <c r="EC155" t="s">
        <v>3</v>
      </c>
      <c r="EE155">
        <v>75371444</v>
      </c>
      <c r="EF155">
        <v>1</v>
      </c>
      <c r="EG155" t="s">
        <v>22</v>
      </c>
      <c r="EH155">
        <v>0</v>
      </c>
      <c r="EI155" t="s">
        <v>3</v>
      </c>
      <c r="EJ155">
        <v>4</v>
      </c>
      <c r="EK155">
        <v>0</v>
      </c>
      <c r="EL155" t="s">
        <v>23</v>
      </c>
      <c r="EM155" t="s">
        <v>24</v>
      </c>
      <c r="EO155" t="s">
        <v>161</v>
      </c>
      <c r="EQ155">
        <v>0</v>
      </c>
      <c r="ER155">
        <v>3799.23</v>
      </c>
      <c r="ES155">
        <v>368.06</v>
      </c>
      <c r="ET155">
        <v>0</v>
      </c>
      <c r="EU155">
        <v>0</v>
      </c>
      <c r="EV155">
        <v>3431.17</v>
      </c>
      <c r="EW155">
        <v>7.4</v>
      </c>
      <c r="EX155">
        <v>0</v>
      </c>
      <c r="EY155">
        <v>0</v>
      </c>
      <c r="FQ155">
        <v>0</v>
      </c>
      <c r="FR155">
        <f t="shared" ref="FR155:FR160" si="117">ROUND(IF(BI155=3,GM155,0),2)</f>
        <v>0</v>
      </c>
      <c r="FS155">
        <v>0</v>
      </c>
      <c r="FX155">
        <v>70</v>
      </c>
      <c r="FY155">
        <v>10</v>
      </c>
      <c r="GA155" t="s">
        <v>3</v>
      </c>
      <c r="GD155">
        <v>0</v>
      </c>
      <c r="GF155">
        <v>1847845136</v>
      </c>
      <c r="GG155">
        <v>2</v>
      </c>
      <c r="GH155">
        <v>1</v>
      </c>
      <c r="GI155">
        <v>-2</v>
      </c>
      <c r="GJ155">
        <v>0</v>
      </c>
      <c r="GK155">
        <f>ROUND(R155*(R12)/100,2)</f>
        <v>0</v>
      </c>
      <c r="GL155">
        <f t="shared" ref="GL155:GL160" si="118">ROUND(IF(AND(BH155=3,BI155=3,FS155&lt;&gt;0),P155,0),2)</f>
        <v>0</v>
      </c>
      <c r="GM155">
        <f t="shared" ref="GM155:GM160" si="119">ROUND(O155+X155+Y155+GK155,2)+GX155</f>
        <v>151.94</v>
      </c>
      <c r="GN155">
        <f t="shared" ref="GN155:GN160" si="120">IF(OR(BI155=0,BI155=1),GM155-GX155,0)</f>
        <v>0</v>
      </c>
      <c r="GO155">
        <f t="shared" ref="GO155:GO160" si="121">IF(BI155=2,GM155-GX155,0)</f>
        <v>0</v>
      </c>
      <c r="GP155">
        <f t="shared" ref="GP155:GP160" si="122">IF(BI155=4,GM155-GX155,0)</f>
        <v>151.94</v>
      </c>
      <c r="GR155">
        <v>0</v>
      </c>
      <c r="GS155">
        <v>3</v>
      </c>
      <c r="GT155">
        <v>0</v>
      </c>
      <c r="GU155" t="s">
        <v>3</v>
      </c>
      <c r="GV155">
        <f t="shared" ref="GV155:GV160" si="123">ROUND((GT155),6)</f>
        <v>0</v>
      </c>
      <c r="GW155">
        <v>1</v>
      </c>
      <c r="GX155">
        <f t="shared" ref="GX155:GX160" si="124">ROUND(HC155*I155,2)</f>
        <v>0</v>
      </c>
      <c r="HA155">
        <v>0</v>
      </c>
      <c r="HB155">
        <v>0</v>
      </c>
      <c r="HC155">
        <f t="shared" ref="HC155:HC160" si="125">GV155*GW155</f>
        <v>0</v>
      </c>
      <c r="HE155" t="s">
        <v>3</v>
      </c>
      <c r="HF155" t="s">
        <v>3</v>
      </c>
      <c r="HM155" t="s">
        <v>3</v>
      </c>
      <c r="HN155" t="s">
        <v>3</v>
      </c>
      <c r="HO155" t="s">
        <v>3</v>
      </c>
      <c r="HP155" t="s">
        <v>3</v>
      </c>
      <c r="HQ155" t="s">
        <v>3</v>
      </c>
      <c r="IK155">
        <v>0</v>
      </c>
    </row>
    <row r="156" spans="1:245" x14ac:dyDescent="0.2">
      <c r="A156">
        <v>17</v>
      </c>
      <c r="B156">
        <v>1</v>
      </c>
      <c r="C156">
        <f>ROW(SmtRes!A62)</f>
        <v>62</v>
      </c>
      <c r="D156">
        <f>ROW(EtalonRes!A60)</f>
        <v>60</v>
      </c>
      <c r="E156" t="s">
        <v>162</v>
      </c>
      <c r="F156" t="s">
        <v>163</v>
      </c>
      <c r="G156" t="s">
        <v>164</v>
      </c>
      <c r="H156" t="s">
        <v>20</v>
      </c>
      <c r="I156">
        <f>ROUND(7.2/100,9)</f>
        <v>7.1999999999999995E-2</v>
      </c>
      <c r="J156">
        <v>0</v>
      </c>
      <c r="K156">
        <f>ROUND(7.2/100,9)</f>
        <v>7.1999999999999995E-2</v>
      </c>
      <c r="O156">
        <f t="shared" si="95"/>
        <v>52.37</v>
      </c>
      <c r="P156">
        <f t="shared" si="96"/>
        <v>0</v>
      </c>
      <c r="Q156">
        <f t="shared" si="97"/>
        <v>0</v>
      </c>
      <c r="R156">
        <f t="shared" si="98"/>
        <v>0</v>
      </c>
      <c r="S156">
        <f t="shared" si="99"/>
        <v>52.37</v>
      </c>
      <c r="T156">
        <f t="shared" si="100"/>
        <v>0</v>
      </c>
      <c r="U156">
        <f t="shared" si="101"/>
        <v>0.1152</v>
      </c>
      <c r="V156">
        <f t="shared" si="102"/>
        <v>0</v>
      </c>
      <c r="W156">
        <f t="shared" si="103"/>
        <v>0</v>
      </c>
      <c r="X156">
        <f t="shared" si="104"/>
        <v>36.659999999999997</v>
      </c>
      <c r="Y156">
        <f t="shared" si="104"/>
        <v>5.24</v>
      </c>
      <c r="AA156">
        <v>75703208</v>
      </c>
      <c r="AB156">
        <f t="shared" si="105"/>
        <v>727.298</v>
      </c>
      <c r="AC156">
        <f>ROUND(((ES156*0)),6)</f>
        <v>0</v>
      </c>
      <c r="AD156">
        <f>ROUND(((((ET156*0.2))-((EU156*0.2)))+AE156),6)</f>
        <v>0</v>
      </c>
      <c r="AE156">
        <f>ROUND(((EU156*0.2)),6)</f>
        <v>0</v>
      </c>
      <c r="AF156">
        <f>ROUND(((EV156*0.2)),6)</f>
        <v>727.298</v>
      </c>
      <c r="AG156">
        <f t="shared" si="106"/>
        <v>0</v>
      </c>
      <c r="AH156">
        <f>((EW156*0.2))</f>
        <v>1.6</v>
      </c>
      <c r="AI156">
        <f>((EX156*0.2))</f>
        <v>0</v>
      </c>
      <c r="AJ156">
        <f t="shared" si="107"/>
        <v>0</v>
      </c>
      <c r="AK156">
        <v>4004.55</v>
      </c>
      <c r="AL156">
        <v>368.06</v>
      </c>
      <c r="AM156">
        <v>0</v>
      </c>
      <c r="AN156">
        <v>0</v>
      </c>
      <c r="AO156">
        <v>3636.49</v>
      </c>
      <c r="AP156">
        <v>0</v>
      </c>
      <c r="AQ156">
        <v>8</v>
      </c>
      <c r="AR156">
        <v>0</v>
      </c>
      <c r="AS156">
        <v>0</v>
      </c>
      <c r="AT156">
        <v>70</v>
      </c>
      <c r="AU156">
        <v>10</v>
      </c>
      <c r="AV156">
        <v>1</v>
      </c>
      <c r="AW156">
        <v>1</v>
      </c>
      <c r="AZ156">
        <v>1</v>
      </c>
      <c r="BA156">
        <v>1</v>
      </c>
      <c r="BB156">
        <v>1</v>
      </c>
      <c r="BC156">
        <v>1</v>
      </c>
      <c r="BD156" t="s">
        <v>3</v>
      </c>
      <c r="BE156" t="s">
        <v>3</v>
      </c>
      <c r="BF156" t="s">
        <v>3</v>
      </c>
      <c r="BG156" t="s">
        <v>3</v>
      </c>
      <c r="BH156">
        <v>0</v>
      </c>
      <c r="BI156">
        <v>4</v>
      </c>
      <c r="BJ156" t="s">
        <v>165</v>
      </c>
      <c r="BM156">
        <v>0</v>
      </c>
      <c r="BN156">
        <v>75371441</v>
      </c>
      <c r="BO156" t="s">
        <v>3</v>
      </c>
      <c r="BP156">
        <v>0</v>
      </c>
      <c r="BQ156">
        <v>1</v>
      </c>
      <c r="BR156">
        <v>0</v>
      </c>
      <c r="BS156">
        <v>1</v>
      </c>
      <c r="BT156">
        <v>1</v>
      </c>
      <c r="BU156">
        <v>1</v>
      </c>
      <c r="BV156">
        <v>1</v>
      </c>
      <c r="BW156">
        <v>1</v>
      </c>
      <c r="BX156">
        <v>1</v>
      </c>
      <c r="BY156" t="s">
        <v>3</v>
      </c>
      <c r="BZ156">
        <v>70</v>
      </c>
      <c r="CA156">
        <v>10</v>
      </c>
      <c r="CB156" t="s">
        <v>3</v>
      </c>
      <c r="CE156">
        <v>0</v>
      </c>
      <c r="CF156">
        <v>0</v>
      </c>
      <c r="CG156">
        <v>0</v>
      </c>
      <c r="CM156">
        <v>0</v>
      </c>
      <c r="CN156" t="s">
        <v>415</v>
      </c>
      <c r="CO156">
        <v>0</v>
      </c>
      <c r="CP156">
        <f t="shared" si="108"/>
        <v>52.37</v>
      </c>
      <c r="CQ156">
        <f t="shared" si="109"/>
        <v>0</v>
      </c>
      <c r="CR156">
        <f>(((((ET156*0.2))*BB156-((EU156*0.2))*BS156)+AE156*BS156)*AV156)</f>
        <v>0</v>
      </c>
      <c r="CS156">
        <f t="shared" si="110"/>
        <v>0</v>
      </c>
      <c r="CT156">
        <f t="shared" si="111"/>
        <v>727.298</v>
      </c>
      <c r="CU156">
        <f t="shared" si="112"/>
        <v>0</v>
      </c>
      <c r="CV156">
        <f t="shared" si="113"/>
        <v>1.6</v>
      </c>
      <c r="CW156">
        <f t="shared" si="114"/>
        <v>0</v>
      </c>
      <c r="CX156">
        <f t="shared" si="114"/>
        <v>0</v>
      </c>
      <c r="CY156">
        <f t="shared" si="115"/>
        <v>36.658999999999999</v>
      </c>
      <c r="CZ156">
        <f t="shared" si="116"/>
        <v>5.2369999999999992</v>
      </c>
      <c r="DB156">
        <v>2</v>
      </c>
      <c r="DC156" t="s">
        <v>3</v>
      </c>
      <c r="DD156" t="s">
        <v>159</v>
      </c>
      <c r="DE156" t="s">
        <v>160</v>
      </c>
      <c r="DF156" t="s">
        <v>160</v>
      </c>
      <c r="DG156" t="s">
        <v>160</v>
      </c>
      <c r="DH156" t="s">
        <v>3</v>
      </c>
      <c r="DI156" t="s">
        <v>160</v>
      </c>
      <c r="DJ156" t="s">
        <v>160</v>
      </c>
      <c r="DK156" t="s">
        <v>3</v>
      </c>
      <c r="DL156" t="s">
        <v>3</v>
      </c>
      <c r="DM156" t="s">
        <v>3</v>
      </c>
      <c r="DN156">
        <v>0</v>
      </c>
      <c r="DO156">
        <v>0</v>
      </c>
      <c r="DP156">
        <v>1</v>
      </c>
      <c r="DQ156">
        <v>1</v>
      </c>
      <c r="DU156">
        <v>1003</v>
      </c>
      <c r="DV156" t="s">
        <v>20</v>
      </c>
      <c r="DW156" t="s">
        <v>20</v>
      </c>
      <c r="DX156">
        <v>100</v>
      </c>
      <c r="DZ156" t="s">
        <v>3</v>
      </c>
      <c r="EA156" t="s">
        <v>3</v>
      </c>
      <c r="EB156" t="s">
        <v>3</v>
      </c>
      <c r="EC156" t="s">
        <v>3</v>
      </c>
      <c r="EE156">
        <v>75371444</v>
      </c>
      <c r="EF156">
        <v>1</v>
      </c>
      <c r="EG156" t="s">
        <v>22</v>
      </c>
      <c r="EH156">
        <v>0</v>
      </c>
      <c r="EI156" t="s">
        <v>3</v>
      </c>
      <c r="EJ156">
        <v>4</v>
      </c>
      <c r="EK156">
        <v>0</v>
      </c>
      <c r="EL156" t="s">
        <v>23</v>
      </c>
      <c r="EM156" t="s">
        <v>24</v>
      </c>
      <c r="EO156" t="s">
        <v>161</v>
      </c>
      <c r="EQ156">
        <v>0</v>
      </c>
      <c r="ER156">
        <v>4004.55</v>
      </c>
      <c r="ES156">
        <v>368.06</v>
      </c>
      <c r="ET156">
        <v>0</v>
      </c>
      <c r="EU156">
        <v>0</v>
      </c>
      <c r="EV156">
        <v>3636.49</v>
      </c>
      <c r="EW156">
        <v>8</v>
      </c>
      <c r="EX156">
        <v>0</v>
      </c>
      <c r="EY156">
        <v>0</v>
      </c>
      <c r="FQ156">
        <v>0</v>
      </c>
      <c r="FR156">
        <f t="shared" si="117"/>
        <v>0</v>
      </c>
      <c r="FS156">
        <v>0</v>
      </c>
      <c r="FX156">
        <v>70</v>
      </c>
      <c r="FY156">
        <v>10</v>
      </c>
      <c r="GA156" t="s">
        <v>3</v>
      </c>
      <c r="GD156">
        <v>0</v>
      </c>
      <c r="GF156">
        <v>-1817231644</v>
      </c>
      <c r="GG156">
        <v>2</v>
      </c>
      <c r="GH156">
        <v>1</v>
      </c>
      <c r="GI156">
        <v>-2</v>
      </c>
      <c r="GJ156">
        <v>0</v>
      </c>
      <c r="GK156">
        <f>ROUND(R156*(R12)/100,2)</f>
        <v>0</v>
      </c>
      <c r="GL156">
        <f t="shared" si="118"/>
        <v>0</v>
      </c>
      <c r="GM156">
        <f t="shared" si="119"/>
        <v>94.27</v>
      </c>
      <c r="GN156">
        <f t="shared" si="120"/>
        <v>0</v>
      </c>
      <c r="GO156">
        <f t="shared" si="121"/>
        <v>0</v>
      </c>
      <c r="GP156">
        <f t="shared" si="122"/>
        <v>94.27</v>
      </c>
      <c r="GR156">
        <v>0</v>
      </c>
      <c r="GS156">
        <v>3</v>
      </c>
      <c r="GT156">
        <v>0</v>
      </c>
      <c r="GU156" t="s">
        <v>3</v>
      </c>
      <c r="GV156">
        <f t="shared" si="123"/>
        <v>0</v>
      </c>
      <c r="GW156">
        <v>1</v>
      </c>
      <c r="GX156">
        <f t="shared" si="124"/>
        <v>0</v>
      </c>
      <c r="HA156">
        <v>0</v>
      </c>
      <c r="HB156">
        <v>0</v>
      </c>
      <c r="HC156">
        <f t="shared" si="125"/>
        <v>0</v>
      </c>
      <c r="HE156" t="s">
        <v>3</v>
      </c>
      <c r="HF156" t="s">
        <v>3</v>
      </c>
      <c r="HM156" t="s">
        <v>3</v>
      </c>
      <c r="HN156" t="s">
        <v>3</v>
      </c>
      <c r="HO156" t="s">
        <v>3</v>
      </c>
      <c r="HP156" t="s">
        <v>3</v>
      </c>
      <c r="HQ156" t="s">
        <v>3</v>
      </c>
      <c r="IK156">
        <v>0</v>
      </c>
    </row>
    <row r="157" spans="1:245" x14ac:dyDescent="0.2">
      <c r="A157">
        <v>17</v>
      </c>
      <c r="B157">
        <v>1</v>
      </c>
      <c r="C157">
        <f>ROW(SmtRes!A66)</f>
        <v>66</v>
      </c>
      <c r="D157">
        <f>ROW(EtalonRes!A64)</f>
        <v>64</v>
      </c>
      <c r="E157" t="s">
        <v>166</v>
      </c>
      <c r="F157" t="s">
        <v>156</v>
      </c>
      <c r="G157" t="s">
        <v>167</v>
      </c>
      <c r="H157" t="s">
        <v>20</v>
      </c>
      <c r="I157">
        <f>ROUND(12.3/100,9)</f>
        <v>0.123</v>
      </c>
      <c r="J157">
        <v>0</v>
      </c>
      <c r="K157">
        <f>ROUND(12.3/100,9)</f>
        <v>0.123</v>
      </c>
      <c r="O157">
        <f t="shared" si="95"/>
        <v>467.3</v>
      </c>
      <c r="P157">
        <f t="shared" si="96"/>
        <v>45.27</v>
      </c>
      <c r="Q157">
        <f t="shared" si="97"/>
        <v>0</v>
      </c>
      <c r="R157">
        <f t="shared" si="98"/>
        <v>0</v>
      </c>
      <c r="S157">
        <f t="shared" si="99"/>
        <v>422.03</v>
      </c>
      <c r="T157">
        <f t="shared" si="100"/>
        <v>0</v>
      </c>
      <c r="U157">
        <f t="shared" si="101"/>
        <v>0.91020000000000001</v>
      </c>
      <c r="V157">
        <f t="shared" si="102"/>
        <v>0</v>
      </c>
      <c r="W157">
        <f t="shared" si="103"/>
        <v>0</v>
      </c>
      <c r="X157">
        <f t="shared" si="104"/>
        <v>295.42</v>
      </c>
      <c r="Y157">
        <f t="shared" si="104"/>
        <v>42.2</v>
      </c>
      <c r="AA157">
        <v>75703208</v>
      </c>
      <c r="AB157">
        <f t="shared" si="105"/>
        <v>3799.23</v>
      </c>
      <c r="AC157">
        <f>ROUND((ES157),6)</f>
        <v>368.06</v>
      </c>
      <c r="AD157">
        <f>ROUND((((ET157)-(EU157))+AE157),6)</f>
        <v>0</v>
      </c>
      <c r="AE157">
        <f t="shared" ref="AE157:AF160" si="126">ROUND((EU157),6)</f>
        <v>0</v>
      </c>
      <c r="AF157">
        <f t="shared" si="126"/>
        <v>3431.17</v>
      </c>
      <c r="AG157">
        <f t="shared" si="106"/>
        <v>0</v>
      </c>
      <c r="AH157">
        <f t="shared" ref="AH157:AI160" si="127">(EW157)</f>
        <v>7.4</v>
      </c>
      <c r="AI157">
        <f t="shared" si="127"/>
        <v>0</v>
      </c>
      <c r="AJ157">
        <f t="shared" si="107"/>
        <v>0</v>
      </c>
      <c r="AK157">
        <v>3799.23</v>
      </c>
      <c r="AL157">
        <v>368.06</v>
      </c>
      <c r="AM157">
        <v>0</v>
      </c>
      <c r="AN157">
        <v>0</v>
      </c>
      <c r="AO157">
        <v>3431.17</v>
      </c>
      <c r="AP157">
        <v>0</v>
      </c>
      <c r="AQ157">
        <v>7.4</v>
      </c>
      <c r="AR157">
        <v>0</v>
      </c>
      <c r="AS157">
        <v>0</v>
      </c>
      <c r="AT157">
        <v>70</v>
      </c>
      <c r="AU157">
        <v>10</v>
      </c>
      <c r="AV157">
        <v>1</v>
      </c>
      <c r="AW157">
        <v>1</v>
      </c>
      <c r="AZ157">
        <v>1</v>
      </c>
      <c r="BA157">
        <v>1</v>
      </c>
      <c r="BB157">
        <v>1</v>
      </c>
      <c r="BC157">
        <v>1</v>
      </c>
      <c r="BD157" t="s">
        <v>3</v>
      </c>
      <c r="BE157" t="s">
        <v>3</v>
      </c>
      <c r="BF157" t="s">
        <v>3</v>
      </c>
      <c r="BG157" t="s">
        <v>3</v>
      </c>
      <c r="BH157">
        <v>0</v>
      </c>
      <c r="BI157">
        <v>4</v>
      </c>
      <c r="BJ157" t="s">
        <v>158</v>
      </c>
      <c r="BM157">
        <v>0</v>
      </c>
      <c r="BN157">
        <v>75371441</v>
      </c>
      <c r="BO157" t="s">
        <v>3</v>
      </c>
      <c r="BP157">
        <v>0</v>
      </c>
      <c r="BQ157">
        <v>1</v>
      </c>
      <c r="BR157">
        <v>0</v>
      </c>
      <c r="BS157">
        <v>1</v>
      </c>
      <c r="BT157">
        <v>1</v>
      </c>
      <c r="BU157">
        <v>1</v>
      </c>
      <c r="BV157">
        <v>1</v>
      </c>
      <c r="BW157">
        <v>1</v>
      </c>
      <c r="BX157">
        <v>1</v>
      </c>
      <c r="BY157" t="s">
        <v>3</v>
      </c>
      <c r="BZ157">
        <v>70</v>
      </c>
      <c r="CA157">
        <v>10</v>
      </c>
      <c r="CB157" t="s">
        <v>3</v>
      </c>
      <c r="CE157">
        <v>0</v>
      </c>
      <c r="CF157">
        <v>0</v>
      </c>
      <c r="CG157">
        <v>0</v>
      </c>
      <c r="CM157">
        <v>0</v>
      </c>
      <c r="CN157" t="s">
        <v>3</v>
      </c>
      <c r="CO157">
        <v>0</v>
      </c>
      <c r="CP157">
        <f t="shared" si="108"/>
        <v>467.29999999999995</v>
      </c>
      <c r="CQ157">
        <f t="shared" si="109"/>
        <v>368.06</v>
      </c>
      <c r="CR157">
        <f>((((ET157)*BB157-(EU157)*BS157)+AE157*BS157)*AV157)</f>
        <v>0</v>
      </c>
      <c r="CS157">
        <f t="shared" si="110"/>
        <v>0</v>
      </c>
      <c r="CT157">
        <f t="shared" si="111"/>
        <v>3431.17</v>
      </c>
      <c r="CU157">
        <f t="shared" si="112"/>
        <v>0</v>
      </c>
      <c r="CV157">
        <f t="shared" si="113"/>
        <v>7.4</v>
      </c>
      <c r="CW157">
        <f t="shared" si="114"/>
        <v>0</v>
      </c>
      <c r="CX157">
        <f t="shared" si="114"/>
        <v>0</v>
      </c>
      <c r="CY157">
        <f t="shared" si="115"/>
        <v>295.42099999999999</v>
      </c>
      <c r="CZ157">
        <f t="shared" si="116"/>
        <v>42.202999999999996</v>
      </c>
      <c r="DC157" t="s">
        <v>3</v>
      </c>
      <c r="DD157" t="s">
        <v>3</v>
      </c>
      <c r="DE157" t="s">
        <v>3</v>
      </c>
      <c r="DF157" t="s">
        <v>3</v>
      </c>
      <c r="DG157" t="s">
        <v>3</v>
      </c>
      <c r="DH157" t="s">
        <v>3</v>
      </c>
      <c r="DI157" t="s">
        <v>3</v>
      </c>
      <c r="DJ157" t="s">
        <v>3</v>
      </c>
      <c r="DK157" t="s">
        <v>3</v>
      </c>
      <c r="DL157" t="s">
        <v>3</v>
      </c>
      <c r="DM157" t="s">
        <v>3</v>
      </c>
      <c r="DN157">
        <v>0</v>
      </c>
      <c r="DO157">
        <v>0</v>
      </c>
      <c r="DP157">
        <v>1</v>
      </c>
      <c r="DQ157">
        <v>1</v>
      </c>
      <c r="DU157">
        <v>1003</v>
      </c>
      <c r="DV157" t="s">
        <v>20</v>
      </c>
      <c r="DW157" t="s">
        <v>20</v>
      </c>
      <c r="DX157">
        <v>100</v>
      </c>
      <c r="DZ157" t="s">
        <v>3</v>
      </c>
      <c r="EA157" t="s">
        <v>3</v>
      </c>
      <c r="EB157" t="s">
        <v>3</v>
      </c>
      <c r="EC157" t="s">
        <v>3</v>
      </c>
      <c r="EE157">
        <v>75371444</v>
      </c>
      <c r="EF157">
        <v>1</v>
      </c>
      <c r="EG157" t="s">
        <v>22</v>
      </c>
      <c r="EH157">
        <v>0</v>
      </c>
      <c r="EI157" t="s">
        <v>3</v>
      </c>
      <c r="EJ157">
        <v>4</v>
      </c>
      <c r="EK157">
        <v>0</v>
      </c>
      <c r="EL157" t="s">
        <v>23</v>
      </c>
      <c r="EM157" t="s">
        <v>24</v>
      </c>
      <c r="EO157" t="s">
        <v>3</v>
      </c>
      <c r="EQ157">
        <v>0</v>
      </c>
      <c r="ER157">
        <v>3799.23</v>
      </c>
      <c r="ES157">
        <v>368.06</v>
      </c>
      <c r="ET157">
        <v>0</v>
      </c>
      <c r="EU157">
        <v>0</v>
      </c>
      <c r="EV157">
        <v>3431.17</v>
      </c>
      <c r="EW157">
        <v>7.4</v>
      </c>
      <c r="EX157">
        <v>0</v>
      </c>
      <c r="EY157">
        <v>0</v>
      </c>
      <c r="FQ157">
        <v>0</v>
      </c>
      <c r="FR157">
        <f t="shared" si="117"/>
        <v>0</v>
      </c>
      <c r="FS157">
        <v>0</v>
      </c>
      <c r="FX157">
        <v>70</v>
      </c>
      <c r="FY157">
        <v>10</v>
      </c>
      <c r="GA157" t="s">
        <v>3</v>
      </c>
      <c r="GD157">
        <v>0</v>
      </c>
      <c r="GF157">
        <v>-1933779656</v>
      </c>
      <c r="GG157">
        <v>2</v>
      </c>
      <c r="GH157">
        <v>1</v>
      </c>
      <c r="GI157">
        <v>-2</v>
      </c>
      <c r="GJ157">
        <v>0</v>
      </c>
      <c r="GK157">
        <f>ROUND(R157*(R12)/100,2)</f>
        <v>0</v>
      </c>
      <c r="GL157">
        <f t="shared" si="118"/>
        <v>0</v>
      </c>
      <c r="GM157">
        <f t="shared" si="119"/>
        <v>804.92</v>
      </c>
      <c r="GN157">
        <f t="shared" si="120"/>
        <v>0</v>
      </c>
      <c r="GO157">
        <f t="shared" si="121"/>
        <v>0</v>
      </c>
      <c r="GP157">
        <f t="shared" si="122"/>
        <v>804.92</v>
      </c>
      <c r="GR157">
        <v>0</v>
      </c>
      <c r="GS157">
        <v>3</v>
      </c>
      <c r="GT157">
        <v>0</v>
      </c>
      <c r="GU157" t="s">
        <v>3</v>
      </c>
      <c r="GV157">
        <f t="shared" si="123"/>
        <v>0</v>
      </c>
      <c r="GW157">
        <v>1</v>
      </c>
      <c r="GX157">
        <f t="shared" si="124"/>
        <v>0</v>
      </c>
      <c r="HA157">
        <v>0</v>
      </c>
      <c r="HB157">
        <v>0</v>
      </c>
      <c r="HC157">
        <f t="shared" si="125"/>
        <v>0</v>
      </c>
      <c r="HE157" t="s">
        <v>3</v>
      </c>
      <c r="HF157" t="s">
        <v>3</v>
      </c>
      <c r="HM157" t="s">
        <v>3</v>
      </c>
      <c r="HN157" t="s">
        <v>3</v>
      </c>
      <c r="HO157" t="s">
        <v>3</v>
      </c>
      <c r="HP157" t="s">
        <v>3</v>
      </c>
      <c r="HQ157" t="s">
        <v>3</v>
      </c>
      <c r="IK157">
        <v>0</v>
      </c>
    </row>
    <row r="158" spans="1:245" x14ac:dyDescent="0.2">
      <c r="A158">
        <v>18</v>
      </c>
      <c r="B158">
        <v>1</v>
      </c>
      <c r="C158">
        <v>64</v>
      </c>
      <c r="E158" t="s">
        <v>168</v>
      </c>
      <c r="F158" t="s">
        <v>169</v>
      </c>
      <c r="G158" t="s">
        <v>170</v>
      </c>
      <c r="H158" t="s">
        <v>36</v>
      </c>
      <c r="I158">
        <f>I157*J158</f>
        <v>12.423</v>
      </c>
      <c r="J158">
        <v>101</v>
      </c>
      <c r="K158">
        <v>101</v>
      </c>
      <c r="O158">
        <f t="shared" si="95"/>
        <v>354.55</v>
      </c>
      <c r="P158">
        <f t="shared" si="96"/>
        <v>354.55</v>
      </c>
      <c r="Q158">
        <f t="shared" si="97"/>
        <v>0</v>
      </c>
      <c r="R158">
        <f t="shared" si="98"/>
        <v>0</v>
      </c>
      <c r="S158">
        <f t="shared" si="99"/>
        <v>0</v>
      </c>
      <c r="T158">
        <f t="shared" si="100"/>
        <v>0</v>
      </c>
      <c r="U158">
        <f t="shared" si="101"/>
        <v>0</v>
      </c>
      <c r="V158">
        <f t="shared" si="102"/>
        <v>0</v>
      </c>
      <c r="W158">
        <f t="shared" si="103"/>
        <v>0</v>
      </c>
      <c r="X158">
        <f t="shared" si="104"/>
        <v>0</v>
      </c>
      <c r="Y158">
        <f t="shared" si="104"/>
        <v>0</v>
      </c>
      <c r="AA158">
        <v>75703208</v>
      </c>
      <c r="AB158">
        <f t="shared" si="105"/>
        <v>28.54</v>
      </c>
      <c r="AC158">
        <f>ROUND((ES158),6)</f>
        <v>28.54</v>
      </c>
      <c r="AD158">
        <f>ROUND((((ET158)-(EU158))+AE158),6)</f>
        <v>0</v>
      </c>
      <c r="AE158">
        <f t="shared" si="126"/>
        <v>0</v>
      </c>
      <c r="AF158">
        <f t="shared" si="126"/>
        <v>0</v>
      </c>
      <c r="AG158">
        <f t="shared" si="106"/>
        <v>0</v>
      </c>
      <c r="AH158">
        <f t="shared" si="127"/>
        <v>0</v>
      </c>
      <c r="AI158">
        <f t="shared" si="127"/>
        <v>0</v>
      </c>
      <c r="AJ158">
        <f t="shared" si="107"/>
        <v>0</v>
      </c>
      <c r="AK158">
        <v>28.54</v>
      </c>
      <c r="AL158">
        <v>28.54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70</v>
      </c>
      <c r="AU158">
        <v>10</v>
      </c>
      <c r="AV158">
        <v>1</v>
      </c>
      <c r="AW158">
        <v>1</v>
      </c>
      <c r="AZ158">
        <v>1</v>
      </c>
      <c r="BA158">
        <v>1</v>
      </c>
      <c r="BB158">
        <v>1</v>
      </c>
      <c r="BC158">
        <v>1</v>
      </c>
      <c r="BD158" t="s">
        <v>3</v>
      </c>
      <c r="BE158" t="s">
        <v>3</v>
      </c>
      <c r="BF158" t="s">
        <v>3</v>
      </c>
      <c r="BG158" t="s">
        <v>3</v>
      </c>
      <c r="BH158">
        <v>3</v>
      </c>
      <c r="BI158">
        <v>4</v>
      </c>
      <c r="BJ158" t="s">
        <v>171</v>
      </c>
      <c r="BM158">
        <v>0</v>
      </c>
      <c r="BN158">
        <v>75371441</v>
      </c>
      <c r="BO158" t="s">
        <v>3</v>
      </c>
      <c r="BP158">
        <v>0</v>
      </c>
      <c r="BQ158">
        <v>1</v>
      </c>
      <c r="BR158">
        <v>0</v>
      </c>
      <c r="BS158">
        <v>1</v>
      </c>
      <c r="BT158">
        <v>1</v>
      </c>
      <c r="BU158">
        <v>1</v>
      </c>
      <c r="BV158">
        <v>1</v>
      </c>
      <c r="BW158">
        <v>1</v>
      </c>
      <c r="BX158">
        <v>1</v>
      </c>
      <c r="BY158" t="s">
        <v>3</v>
      </c>
      <c r="BZ158">
        <v>70</v>
      </c>
      <c r="CA158">
        <v>10</v>
      </c>
      <c r="CB158" t="s">
        <v>3</v>
      </c>
      <c r="CE158">
        <v>0</v>
      </c>
      <c r="CF158">
        <v>0</v>
      </c>
      <c r="CG158">
        <v>0</v>
      </c>
      <c r="CM158">
        <v>0</v>
      </c>
      <c r="CN158" t="s">
        <v>3</v>
      </c>
      <c r="CO158">
        <v>0</v>
      </c>
      <c r="CP158">
        <f t="shared" si="108"/>
        <v>354.55</v>
      </c>
      <c r="CQ158">
        <f t="shared" si="109"/>
        <v>28.54</v>
      </c>
      <c r="CR158">
        <f>((((ET158)*BB158-(EU158)*BS158)+AE158*BS158)*AV158)</f>
        <v>0</v>
      </c>
      <c r="CS158">
        <f t="shared" si="110"/>
        <v>0</v>
      </c>
      <c r="CT158">
        <f t="shared" si="111"/>
        <v>0</v>
      </c>
      <c r="CU158">
        <f t="shared" si="112"/>
        <v>0</v>
      </c>
      <c r="CV158">
        <f t="shared" si="113"/>
        <v>0</v>
      </c>
      <c r="CW158">
        <f t="shared" si="114"/>
        <v>0</v>
      </c>
      <c r="CX158">
        <f t="shared" si="114"/>
        <v>0</v>
      </c>
      <c r="CY158">
        <f t="shared" si="115"/>
        <v>0</v>
      </c>
      <c r="CZ158">
        <f t="shared" si="116"/>
        <v>0</v>
      </c>
      <c r="DC158" t="s">
        <v>3</v>
      </c>
      <c r="DD158" t="s">
        <v>3</v>
      </c>
      <c r="DE158" t="s">
        <v>3</v>
      </c>
      <c r="DF158" t="s">
        <v>3</v>
      </c>
      <c r="DG158" t="s">
        <v>3</v>
      </c>
      <c r="DH158" t="s">
        <v>3</v>
      </c>
      <c r="DI158" t="s">
        <v>3</v>
      </c>
      <c r="DJ158" t="s">
        <v>3</v>
      </c>
      <c r="DK158" t="s">
        <v>3</v>
      </c>
      <c r="DL158" t="s">
        <v>3</v>
      </c>
      <c r="DM158" t="s">
        <v>3</v>
      </c>
      <c r="DN158">
        <v>0</v>
      </c>
      <c r="DO158">
        <v>0</v>
      </c>
      <c r="DP158">
        <v>1</v>
      </c>
      <c r="DQ158">
        <v>1</v>
      </c>
      <c r="DU158">
        <v>1003</v>
      </c>
      <c r="DV158" t="s">
        <v>36</v>
      </c>
      <c r="DW158" t="s">
        <v>36</v>
      </c>
      <c r="DX158">
        <v>1</v>
      </c>
      <c r="DZ158" t="s">
        <v>3</v>
      </c>
      <c r="EA158" t="s">
        <v>3</v>
      </c>
      <c r="EB158" t="s">
        <v>3</v>
      </c>
      <c r="EC158" t="s">
        <v>3</v>
      </c>
      <c r="EE158">
        <v>75371444</v>
      </c>
      <c r="EF158">
        <v>1</v>
      </c>
      <c r="EG158" t="s">
        <v>22</v>
      </c>
      <c r="EH158">
        <v>0</v>
      </c>
      <c r="EI158" t="s">
        <v>3</v>
      </c>
      <c r="EJ158">
        <v>4</v>
      </c>
      <c r="EK158">
        <v>0</v>
      </c>
      <c r="EL158" t="s">
        <v>23</v>
      </c>
      <c r="EM158" t="s">
        <v>24</v>
      </c>
      <c r="EO158" t="s">
        <v>3</v>
      </c>
      <c r="EQ158">
        <v>0</v>
      </c>
      <c r="ER158">
        <v>28.54</v>
      </c>
      <c r="ES158">
        <v>28.54</v>
      </c>
      <c r="ET158">
        <v>0</v>
      </c>
      <c r="EU158">
        <v>0</v>
      </c>
      <c r="EV158">
        <v>0</v>
      </c>
      <c r="EW158">
        <v>0</v>
      </c>
      <c r="EX158">
        <v>0</v>
      </c>
      <c r="FQ158">
        <v>0</v>
      </c>
      <c r="FR158">
        <f t="shared" si="117"/>
        <v>0</v>
      </c>
      <c r="FS158">
        <v>0</v>
      </c>
      <c r="FX158">
        <v>70</v>
      </c>
      <c r="FY158">
        <v>10</v>
      </c>
      <c r="GA158" t="s">
        <v>3</v>
      </c>
      <c r="GD158">
        <v>0</v>
      </c>
      <c r="GF158">
        <v>170470939</v>
      </c>
      <c r="GG158">
        <v>2</v>
      </c>
      <c r="GH158">
        <v>1</v>
      </c>
      <c r="GI158">
        <v>-2</v>
      </c>
      <c r="GJ158">
        <v>0</v>
      </c>
      <c r="GK158">
        <f>ROUND(R158*(R12)/100,2)</f>
        <v>0</v>
      </c>
      <c r="GL158">
        <f t="shared" si="118"/>
        <v>0</v>
      </c>
      <c r="GM158">
        <f t="shared" si="119"/>
        <v>354.55</v>
      </c>
      <c r="GN158">
        <f t="shared" si="120"/>
        <v>0</v>
      </c>
      <c r="GO158">
        <f t="shared" si="121"/>
        <v>0</v>
      </c>
      <c r="GP158">
        <f t="shared" si="122"/>
        <v>354.55</v>
      </c>
      <c r="GR158">
        <v>0</v>
      </c>
      <c r="GS158">
        <v>3</v>
      </c>
      <c r="GT158">
        <v>0</v>
      </c>
      <c r="GU158" t="s">
        <v>3</v>
      </c>
      <c r="GV158">
        <f t="shared" si="123"/>
        <v>0</v>
      </c>
      <c r="GW158">
        <v>1</v>
      </c>
      <c r="GX158">
        <f t="shared" si="124"/>
        <v>0</v>
      </c>
      <c r="HA158">
        <v>0</v>
      </c>
      <c r="HB158">
        <v>0</v>
      </c>
      <c r="HC158">
        <f t="shared" si="125"/>
        <v>0</v>
      </c>
      <c r="HE158" t="s">
        <v>3</v>
      </c>
      <c r="HF158" t="s">
        <v>3</v>
      </c>
      <c r="HM158" t="s">
        <v>3</v>
      </c>
      <c r="HN158" t="s">
        <v>3</v>
      </c>
      <c r="HO158" t="s">
        <v>3</v>
      </c>
      <c r="HP158" t="s">
        <v>3</v>
      </c>
      <c r="HQ158" t="s">
        <v>3</v>
      </c>
      <c r="IK158">
        <v>0</v>
      </c>
    </row>
    <row r="159" spans="1:245" x14ac:dyDescent="0.2">
      <c r="A159">
        <v>17</v>
      </c>
      <c r="B159">
        <v>1</v>
      </c>
      <c r="C159">
        <f>ROW(SmtRes!A70)</f>
        <v>70</v>
      </c>
      <c r="D159">
        <f>ROW(EtalonRes!A68)</f>
        <v>68</v>
      </c>
      <c r="E159" t="s">
        <v>172</v>
      </c>
      <c r="F159" t="s">
        <v>163</v>
      </c>
      <c r="G159" t="s">
        <v>173</v>
      </c>
      <c r="H159" t="s">
        <v>20</v>
      </c>
      <c r="I159">
        <f>ROUND(7.2/100,9)</f>
        <v>7.1999999999999995E-2</v>
      </c>
      <c r="J159">
        <v>0</v>
      </c>
      <c r="K159">
        <f>ROUND(7.2/100,9)</f>
        <v>7.1999999999999995E-2</v>
      </c>
      <c r="O159">
        <f t="shared" si="95"/>
        <v>288.33</v>
      </c>
      <c r="P159">
        <f t="shared" si="96"/>
        <v>26.5</v>
      </c>
      <c r="Q159">
        <f t="shared" si="97"/>
        <v>0</v>
      </c>
      <c r="R159">
        <f t="shared" si="98"/>
        <v>0</v>
      </c>
      <c r="S159">
        <f t="shared" si="99"/>
        <v>261.83</v>
      </c>
      <c r="T159">
        <f t="shared" si="100"/>
        <v>0</v>
      </c>
      <c r="U159">
        <f t="shared" si="101"/>
        <v>0.57599999999999996</v>
      </c>
      <c r="V159">
        <f t="shared" si="102"/>
        <v>0</v>
      </c>
      <c r="W159">
        <f t="shared" si="103"/>
        <v>0</v>
      </c>
      <c r="X159">
        <f t="shared" si="104"/>
        <v>183.28</v>
      </c>
      <c r="Y159">
        <f t="shared" si="104"/>
        <v>26.18</v>
      </c>
      <c r="AA159">
        <v>75703208</v>
      </c>
      <c r="AB159">
        <f t="shared" si="105"/>
        <v>4004.55</v>
      </c>
      <c r="AC159">
        <f>ROUND((ES159),6)</f>
        <v>368.06</v>
      </c>
      <c r="AD159">
        <f>ROUND((((ET159)-(EU159))+AE159),6)</f>
        <v>0</v>
      </c>
      <c r="AE159">
        <f t="shared" si="126"/>
        <v>0</v>
      </c>
      <c r="AF159">
        <f t="shared" si="126"/>
        <v>3636.49</v>
      </c>
      <c r="AG159">
        <f t="shared" si="106"/>
        <v>0</v>
      </c>
      <c r="AH159">
        <f t="shared" si="127"/>
        <v>8</v>
      </c>
      <c r="AI159">
        <f t="shared" si="127"/>
        <v>0</v>
      </c>
      <c r="AJ159">
        <f t="shared" si="107"/>
        <v>0</v>
      </c>
      <c r="AK159">
        <v>4004.55</v>
      </c>
      <c r="AL159">
        <v>368.06</v>
      </c>
      <c r="AM159">
        <v>0</v>
      </c>
      <c r="AN159">
        <v>0</v>
      </c>
      <c r="AO159">
        <v>3636.49</v>
      </c>
      <c r="AP159">
        <v>0</v>
      </c>
      <c r="AQ159">
        <v>8</v>
      </c>
      <c r="AR159">
        <v>0</v>
      </c>
      <c r="AS159">
        <v>0</v>
      </c>
      <c r="AT159">
        <v>70</v>
      </c>
      <c r="AU159">
        <v>10</v>
      </c>
      <c r="AV159">
        <v>1</v>
      </c>
      <c r="AW159">
        <v>1</v>
      </c>
      <c r="AZ159">
        <v>1</v>
      </c>
      <c r="BA159">
        <v>1</v>
      </c>
      <c r="BB159">
        <v>1</v>
      </c>
      <c r="BC159">
        <v>1</v>
      </c>
      <c r="BD159" t="s">
        <v>3</v>
      </c>
      <c r="BE159" t="s">
        <v>3</v>
      </c>
      <c r="BF159" t="s">
        <v>3</v>
      </c>
      <c r="BG159" t="s">
        <v>3</v>
      </c>
      <c r="BH159">
        <v>0</v>
      </c>
      <c r="BI159">
        <v>4</v>
      </c>
      <c r="BJ159" t="s">
        <v>165</v>
      </c>
      <c r="BM159">
        <v>0</v>
      </c>
      <c r="BN159">
        <v>75371441</v>
      </c>
      <c r="BO159" t="s">
        <v>3</v>
      </c>
      <c r="BP159">
        <v>0</v>
      </c>
      <c r="BQ159">
        <v>1</v>
      </c>
      <c r="BR159">
        <v>0</v>
      </c>
      <c r="BS159">
        <v>1</v>
      </c>
      <c r="BT159">
        <v>1</v>
      </c>
      <c r="BU159">
        <v>1</v>
      </c>
      <c r="BV159">
        <v>1</v>
      </c>
      <c r="BW159">
        <v>1</v>
      </c>
      <c r="BX159">
        <v>1</v>
      </c>
      <c r="BY159" t="s">
        <v>3</v>
      </c>
      <c r="BZ159">
        <v>70</v>
      </c>
      <c r="CA159">
        <v>10</v>
      </c>
      <c r="CB159" t="s">
        <v>3</v>
      </c>
      <c r="CE159">
        <v>0</v>
      </c>
      <c r="CF159">
        <v>0</v>
      </c>
      <c r="CG159">
        <v>0</v>
      </c>
      <c r="CM159">
        <v>0</v>
      </c>
      <c r="CN159" t="s">
        <v>3</v>
      </c>
      <c r="CO159">
        <v>0</v>
      </c>
      <c r="CP159">
        <f t="shared" si="108"/>
        <v>288.33</v>
      </c>
      <c r="CQ159">
        <f t="shared" si="109"/>
        <v>368.06</v>
      </c>
      <c r="CR159">
        <f>((((ET159)*BB159-(EU159)*BS159)+AE159*BS159)*AV159)</f>
        <v>0</v>
      </c>
      <c r="CS159">
        <f t="shared" si="110"/>
        <v>0</v>
      </c>
      <c r="CT159">
        <f t="shared" si="111"/>
        <v>3636.49</v>
      </c>
      <c r="CU159">
        <f t="shared" si="112"/>
        <v>0</v>
      </c>
      <c r="CV159">
        <f t="shared" si="113"/>
        <v>8</v>
      </c>
      <c r="CW159">
        <f t="shared" si="114"/>
        <v>0</v>
      </c>
      <c r="CX159">
        <f t="shared" si="114"/>
        <v>0</v>
      </c>
      <c r="CY159">
        <f t="shared" si="115"/>
        <v>183.28099999999998</v>
      </c>
      <c r="CZ159">
        <f t="shared" si="116"/>
        <v>26.182999999999996</v>
      </c>
      <c r="DC159" t="s">
        <v>3</v>
      </c>
      <c r="DD159" t="s">
        <v>3</v>
      </c>
      <c r="DE159" t="s">
        <v>3</v>
      </c>
      <c r="DF159" t="s">
        <v>3</v>
      </c>
      <c r="DG159" t="s">
        <v>3</v>
      </c>
      <c r="DH159" t="s">
        <v>3</v>
      </c>
      <c r="DI159" t="s">
        <v>3</v>
      </c>
      <c r="DJ159" t="s">
        <v>3</v>
      </c>
      <c r="DK159" t="s">
        <v>3</v>
      </c>
      <c r="DL159" t="s">
        <v>3</v>
      </c>
      <c r="DM159" t="s">
        <v>3</v>
      </c>
      <c r="DN159">
        <v>0</v>
      </c>
      <c r="DO159">
        <v>0</v>
      </c>
      <c r="DP159">
        <v>1</v>
      </c>
      <c r="DQ159">
        <v>1</v>
      </c>
      <c r="DU159">
        <v>1003</v>
      </c>
      <c r="DV159" t="s">
        <v>20</v>
      </c>
      <c r="DW159" t="s">
        <v>20</v>
      </c>
      <c r="DX159">
        <v>100</v>
      </c>
      <c r="DZ159" t="s">
        <v>3</v>
      </c>
      <c r="EA159" t="s">
        <v>3</v>
      </c>
      <c r="EB159" t="s">
        <v>3</v>
      </c>
      <c r="EC159" t="s">
        <v>3</v>
      </c>
      <c r="EE159">
        <v>75371444</v>
      </c>
      <c r="EF159">
        <v>1</v>
      </c>
      <c r="EG159" t="s">
        <v>22</v>
      </c>
      <c r="EH159">
        <v>0</v>
      </c>
      <c r="EI159" t="s">
        <v>3</v>
      </c>
      <c r="EJ159">
        <v>4</v>
      </c>
      <c r="EK159">
        <v>0</v>
      </c>
      <c r="EL159" t="s">
        <v>23</v>
      </c>
      <c r="EM159" t="s">
        <v>24</v>
      </c>
      <c r="EO159" t="s">
        <v>3</v>
      </c>
      <c r="EQ159">
        <v>0</v>
      </c>
      <c r="ER159">
        <v>4004.55</v>
      </c>
      <c r="ES159">
        <v>368.06</v>
      </c>
      <c r="ET159">
        <v>0</v>
      </c>
      <c r="EU159">
        <v>0</v>
      </c>
      <c r="EV159">
        <v>3636.49</v>
      </c>
      <c r="EW159">
        <v>8</v>
      </c>
      <c r="EX159">
        <v>0</v>
      </c>
      <c r="EY159">
        <v>0</v>
      </c>
      <c r="FQ159">
        <v>0</v>
      </c>
      <c r="FR159">
        <f t="shared" si="117"/>
        <v>0</v>
      </c>
      <c r="FS159">
        <v>0</v>
      </c>
      <c r="FX159">
        <v>70</v>
      </c>
      <c r="FY159">
        <v>10</v>
      </c>
      <c r="GA159" t="s">
        <v>3</v>
      </c>
      <c r="GD159">
        <v>0</v>
      </c>
      <c r="GF159">
        <v>-222772083</v>
      </c>
      <c r="GG159">
        <v>2</v>
      </c>
      <c r="GH159">
        <v>1</v>
      </c>
      <c r="GI159">
        <v>-2</v>
      </c>
      <c r="GJ159">
        <v>0</v>
      </c>
      <c r="GK159">
        <f>ROUND(R159*(R12)/100,2)</f>
        <v>0</v>
      </c>
      <c r="GL159">
        <f t="shared" si="118"/>
        <v>0</v>
      </c>
      <c r="GM159">
        <f t="shared" si="119"/>
        <v>497.79</v>
      </c>
      <c r="GN159">
        <f t="shared" si="120"/>
        <v>0</v>
      </c>
      <c r="GO159">
        <f t="shared" si="121"/>
        <v>0</v>
      </c>
      <c r="GP159">
        <f t="shared" si="122"/>
        <v>497.79</v>
      </c>
      <c r="GR159">
        <v>0</v>
      </c>
      <c r="GS159">
        <v>3</v>
      </c>
      <c r="GT159">
        <v>0</v>
      </c>
      <c r="GU159" t="s">
        <v>3</v>
      </c>
      <c r="GV159">
        <f t="shared" si="123"/>
        <v>0</v>
      </c>
      <c r="GW159">
        <v>1</v>
      </c>
      <c r="GX159">
        <f t="shared" si="124"/>
        <v>0</v>
      </c>
      <c r="HA159">
        <v>0</v>
      </c>
      <c r="HB159">
        <v>0</v>
      </c>
      <c r="HC159">
        <f t="shared" si="125"/>
        <v>0</v>
      </c>
      <c r="HE159" t="s">
        <v>3</v>
      </c>
      <c r="HF159" t="s">
        <v>3</v>
      </c>
      <c r="HM159" t="s">
        <v>3</v>
      </c>
      <c r="HN159" t="s">
        <v>3</v>
      </c>
      <c r="HO159" t="s">
        <v>3</v>
      </c>
      <c r="HP159" t="s">
        <v>3</v>
      </c>
      <c r="HQ159" t="s">
        <v>3</v>
      </c>
      <c r="IK159">
        <v>0</v>
      </c>
    </row>
    <row r="160" spans="1:245" x14ac:dyDescent="0.2">
      <c r="A160">
        <v>18</v>
      </c>
      <c r="B160">
        <v>1</v>
      </c>
      <c r="C160">
        <v>68</v>
      </c>
      <c r="E160" t="s">
        <v>174</v>
      </c>
      <c r="F160" t="s">
        <v>169</v>
      </c>
      <c r="G160" t="s">
        <v>170</v>
      </c>
      <c r="H160" t="s">
        <v>36</v>
      </c>
      <c r="I160">
        <f>I159*J160</f>
        <v>7.2720000000000002</v>
      </c>
      <c r="J160">
        <v>101.00000000000001</v>
      </c>
      <c r="K160">
        <v>101</v>
      </c>
      <c r="O160">
        <f t="shared" si="95"/>
        <v>207.54</v>
      </c>
      <c r="P160">
        <f t="shared" si="96"/>
        <v>207.54</v>
      </c>
      <c r="Q160">
        <f t="shared" si="97"/>
        <v>0</v>
      </c>
      <c r="R160">
        <f t="shared" si="98"/>
        <v>0</v>
      </c>
      <c r="S160">
        <f t="shared" si="99"/>
        <v>0</v>
      </c>
      <c r="T160">
        <f t="shared" si="100"/>
        <v>0</v>
      </c>
      <c r="U160">
        <f t="shared" si="101"/>
        <v>0</v>
      </c>
      <c r="V160">
        <f t="shared" si="102"/>
        <v>0</v>
      </c>
      <c r="W160">
        <f t="shared" si="103"/>
        <v>0</v>
      </c>
      <c r="X160">
        <f t="shared" si="104"/>
        <v>0</v>
      </c>
      <c r="Y160">
        <f t="shared" si="104"/>
        <v>0</v>
      </c>
      <c r="AA160">
        <v>75703208</v>
      </c>
      <c r="AB160">
        <f t="shared" si="105"/>
        <v>28.54</v>
      </c>
      <c r="AC160">
        <f>ROUND((ES160),6)</f>
        <v>28.54</v>
      </c>
      <c r="AD160">
        <f>ROUND((((ET160)-(EU160))+AE160),6)</f>
        <v>0</v>
      </c>
      <c r="AE160">
        <f t="shared" si="126"/>
        <v>0</v>
      </c>
      <c r="AF160">
        <f t="shared" si="126"/>
        <v>0</v>
      </c>
      <c r="AG160">
        <f t="shared" si="106"/>
        <v>0</v>
      </c>
      <c r="AH160">
        <f t="shared" si="127"/>
        <v>0</v>
      </c>
      <c r="AI160">
        <f t="shared" si="127"/>
        <v>0</v>
      </c>
      <c r="AJ160">
        <f t="shared" si="107"/>
        <v>0</v>
      </c>
      <c r="AK160">
        <v>28.54</v>
      </c>
      <c r="AL160">
        <v>28.54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70</v>
      </c>
      <c r="AU160">
        <v>10</v>
      </c>
      <c r="AV160">
        <v>1</v>
      </c>
      <c r="AW160">
        <v>1</v>
      </c>
      <c r="AZ160">
        <v>1</v>
      </c>
      <c r="BA160">
        <v>1</v>
      </c>
      <c r="BB160">
        <v>1</v>
      </c>
      <c r="BC160">
        <v>1</v>
      </c>
      <c r="BD160" t="s">
        <v>3</v>
      </c>
      <c r="BE160" t="s">
        <v>3</v>
      </c>
      <c r="BF160" t="s">
        <v>3</v>
      </c>
      <c r="BG160" t="s">
        <v>3</v>
      </c>
      <c r="BH160">
        <v>3</v>
      </c>
      <c r="BI160">
        <v>4</v>
      </c>
      <c r="BJ160" t="s">
        <v>171</v>
      </c>
      <c r="BM160">
        <v>0</v>
      </c>
      <c r="BN160">
        <v>75371441</v>
      </c>
      <c r="BO160" t="s">
        <v>3</v>
      </c>
      <c r="BP160">
        <v>0</v>
      </c>
      <c r="BQ160">
        <v>1</v>
      </c>
      <c r="BR160">
        <v>0</v>
      </c>
      <c r="BS160">
        <v>1</v>
      </c>
      <c r="BT160">
        <v>1</v>
      </c>
      <c r="BU160">
        <v>1</v>
      </c>
      <c r="BV160">
        <v>1</v>
      </c>
      <c r="BW160">
        <v>1</v>
      </c>
      <c r="BX160">
        <v>1</v>
      </c>
      <c r="BY160" t="s">
        <v>3</v>
      </c>
      <c r="BZ160">
        <v>70</v>
      </c>
      <c r="CA160">
        <v>10</v>
      </c>
      <c r="CB160" t="s">
        <v>3</v>
      </c>
      <c r="CE160">
        <v>0</v>
      </c>
      <c r="CF160">
        <v>0</v>
      </c>
      <c r="CG160">
        <v>0</v>
      </c>
      <c r="CM160">
        <v>0</v>
      </c>
      <c r="CN160" t="s">
        <v>3</v>
      </c>
      <c r="CO160">
        <v>0</v>
      </c>
      <c r="CP160">
        <f t="shared" si="108"/>
        <v>207.54</v>
      </c>
      <c r="CQ160">
        <f t="shared" si="109"/>
        <v>28.54</v>
      </c>
      <c r="CR160">
        <f>((((ET160)*BB160-(EU160)*BS160)+AE160*BS160)*AV160)</f>
        <v>0</v>
      </c>
      <c r="CS160">
        <f t="shared" si="110"/>
        <v>0</v>
      </c>
      <c r="CT160">
        <f t="shared" si="111"/>
        <v>0</v>
      </c>
      <c r="CU160">
        <f t="shared" si="112"/>
        <v>0</v>
      </c>
      <c r="CV160">
        <f t="shared" si="113"/>
        <v>0</v>
      </c>
      <c r="CW160">
        <f t="shared" si="114"/>
        <v>0</v>
      </c>
      <c r="CX160">
        <f t="shared" si="114"/>
        <v>0</v>
      </c>
      <c r="CY160">
        <f t="shared" si="115"/>
        <v>0</v>
      </c>
      <c r="CZ160">
        <f t="shared" si="116"/>
        <v>0</v>
      </c>
      <c r="DC160" t="s">
        <v>3</v>
      </c>
      <c r="DD160" t="s">
        <v>3</v>
      </c>
      <c r="DE160" t="s">
        <v>3</v>
      </c>
      <c r="DF160" t="s">
        <v>3</v>
      </c>
      <c r="DG160" t="s">
        <v>3</v>
      </c>
      <c r="DH160" t="s">
        <v>3</v>
      </c>
      <c r="DI160" t="s">
        <v>3</v>
      </c>
      <c r="DJ160" t="s">
        <v>3</v>
      </c>
      <c r="DK160" t="s">
        <v>3</v>
      </c>
      <c r="DL160" t="s">
        <v>3</v>
      </c>
      <c r="DM160" t="s">
        <v>3</v>
      </c>
      <c r="DN160">
        <v>0</v>
      </c>
      <c r="DO160">
        <v>0</v>
      </c>
      <c r="DP160">
        <v>1</v>
      </c>
      <c r="DQ160">
        <v>1</v>
      </c>
      <c r="DU160">
        <v>1003</v>
      </c>
      <c r="DV160" t="s">
        <v>36</v>
      </c>
      <c r="DW160" t="s">
        <v>36</v>
      </c>
      <c r="DX160">
        <v>1</v>
      </c>
      <c r="DZ160" t="s">
        <v>3</v>
      </c>
      <c r="EA160" t="s">
        <v>3</v>
      </c>
      <c r="EB160" t="s">
        <v>3</v>
      </c>
      <c r="EC160" t="s">
        <v>3</v>
      </c>
      <c r="EE160">
        <v>75371444</v>
      </c>
      <c r="EF160">
        <v>1</v>
      </c>
      <c r="EG160" t="s">
        <v>22</v>
      </c>
      <c r="EH160">
        <v>0</v>
      </c>
      <c r="EI160" t="s">
        <v>3</v>
      </c>
      <c r="EJ160">
        <v>4</v>
      </c>
      <c r="EK160">
        <v>0</v>
      </c>
      <c r="EL160" t="s">
        <v>23</v>
      </c>
      <c r="EM160" t="s">
        <v>24</v>
      </c>
      <c r="EO160" t="s">
        <v>3</v>
      </c>
      <c r="EQ160">
        <v>0</v>
      </c>
      <c r="ER160">
        <v>28.54</v>
      </c>
      <c r="ES160">
        <v>28.54</v>
      </c>
      <c r="ET160">
        <v>0</v>
      </c>
      <c r="EU160">
        <v>0</v>
      </c>
      <c r="EV160">
        <v>0</v>
      </c>
      <c r="EW160">
        <v>0</v>
      </c>
      <c r="EX160">
        <v>0</v>
      </c>
      <c r="FQ160">
        <v>0</v>
      </c>
      <c r="FR160">
        <f t="shared" si="117"/>
        <v>0</v>
      </c>
      <c r="FS160">
        <v>0</v>
      </c>
      <c r="FX160">
        <v>70</v>
      </c>
      <c r="FY160">
        <v>10</v>
      </c>
      <c r="GA160" t="s">
        <v>3</v>
      </c>
      <c r="GD160">
        <v>0</v>
      </c>
      <c r="GF160">
        <v>170470939</v>
      </c>
      <c r="GG160">
        <v>2</v>
      </c>
      <c r="GH160">
        <v>1</v>
      </c>
      <c r="GI160">
        <v>-2</v>
      </c>
      <c r="GJ160">
        <v>0</v>
      </c>
      <c r="GK160">
        <f>ROUND(R160*(R12)/100,2)</f>
        <v>0</v>
      </c>
      <c r="GL160">
        <f t="shared" si="118"/>
        <v>0</v>
      </c>
      <c r="GM160">
        <f t="shared" si="119"/>
        <v>207.54</v>
      </c>
      <c r="GN160">
        <f t="shared" si="120"/>
        <v>0</v>
      </c>
      <c r="GO160">
        <f t="shared" si="121"/>
        <v>0</v>
      </c>
      <c r="GP160">
        <f t="shared" si="122"/>
        <v>207.54</v>
      </c>
      <c r="GR160">
        <v>0</v>
      </c>
      <c r="GS160">
        <v>3</v>
      </c>
      <c r="GT160">
        <v>0</v>
      </c>
      <c r="GU160" t="s">
        <v>3</v>
      </c>
      <c r="GV160">
        <f t="shared" si="123"/>
        <v>0</v>
      </c>
      <c r="GW160">
        <v>1</v>
      </c>
      <c r="GX160">
        <f t="shared" si="124"/>
        <v>0</v>
      </c>
      <c r="HA160">
        <v>0</v>
      </c>
      <c r="HB160">
        <v>0</v>
      </c>
      <c r="HC160">
        <f t="shared" si="125"/>
        <v>0</v>
      </c>
      <c r="HE160" t="s">
        <v>3</v>
      </c>
      <c r="HF160" t="s">
        <v>3</v>
      </c>
      <c r="HM160" t="s">
        <v>3</v>
      </c>
      <c r="HN160" t="s">
        <v>3</v>
      </c>
      <c r="HO160" t="s">
        <v>3</v>
      </c>
      <c r="HP160" t="s">
        <v>3</v>
      </c>
      <c r="HQ160" t="s">
        <v>3</v>
      </c>
      <c r="IK160">
        <v>0</v>
      </c>
    </row>
    <row r="162" spans="1:206" x14ac:dyDescent="0.2">
      <c r="A162" s="2">
        <v>51</v>
      </c>
      <c r="B162" s="2">
        <f>B151</f>
        <v>1</v>
      </c>
      <c r="C162" s="2">
        <f>A151</f>
        <v>5</v>
      </c>
      <c r="D162" s="2">
        <f>ROW(A151)</f>
        <v>151</v>
      </c>
      <c r="E162" s="2"/>
      <c r="F162" s="2" t="str">
        <f>IF(F151&lt;&gt;"",F151,"")</f>
        <v>Новый подраздел</v>
      </c>
      <c r="G162" s="2" t="str">
        <f>IF(G151&lt;&gt;"",G151,"")</f>
        <v>Окна</v>
      </c>
      <c r="H162" s="2">
        <v>0</v>
      </c>
      <c r="I162" s="2"/>
      <c r="J162" s="2"/>
      <c r="K162" s="2"/>
      <c r="L162" s="2"/>
      <c r="M162" s="2"/>
      <c r="N162" s="2"/>
      <c r="O162" s="2">
        <f t="shared" ref="O162:T162" si="128">ROUND(AB162,2)</f>
        <v>1454.5</v>
      </c>
      <c r="P162" s="2">
        <f t="shared" si="128"/>
        <v>633.86</v>
      </c>
      <c r="Q162" s="2">
        <f t="shared" si="128"/>
        <v>0</v>
      </c>
      <c r="R162" s="2">
        <f t="shared" si="128"/>
        <v>0</v>
      </c>
      <c r="S162" s="2">
        <f t="shared" si="128"/>
        <v>820.64</v>
      </c>
      <c r="T162" s="2">
        <f t="shared" si="128"/>
        <v>0</v>
      </c>
      <c r="U162" s="2">
        <f>AH162</f>
        <v>1.7834400000000001</v>
      </c>
      <c r="V162" s="2">
        <f>AI162</f>
        <v>0</v>
      </c>
      <c r="W162" s="2">
        <f>ROUND(AJ162,2)</f>
        <v>0</v>
      </c>
      <c r="X162" s="2">
        <f>ROUND(AK162,2)</f>
        <v>574.45000000000005</v>
      </c>
      <c r="Y162" s="2">
        <f>ROUND(AL162,2)</f>
        <v>82.06</v>
      </c>
      <c r="Z162" s="2"/>
      <c r="AA162" s="2"/>
      <c r="AB162" s="2">
        <f>ROUND(SUMIF(AA155:AA160,"=75703208",O155:O160),2)</f>
        <v>1454.5</v>
      </c>
      <c r="AC162" s="2">
        <f>ROUND(SUMIF(AA155:AA160,"=75703208",P155:P160),2)</f>
        <v>633.86</v>
      </c>
      <c r="AD162" s="2">
        <f>ROUND(SUMIF(AA155:AA160,"=75703208",Q155:Q160),2)</f>
        <v>0</v>
      </c>
      <c r="AE162" s="2">
        <f>ROUND(SUMIF(AA155:AA160,"=75703208",R155:R160),2)</f>
        <v>0</v>
      </c>
      <c r="AF162" s="2">
        <f>ROUND(SUMIF(AA155:AA160,"=75703208",S155:S160),2)</f>
        <v>820.64</v>
      </c>
      <c r="AG162" s="2">
        <f>ROUND(SUMIF(AA155:AA160,"=75703208",T155:T160),2)</f>
        <v>0</v>
      </c>
      <c r="AH162" s="2">
        <f>SUMIF(AA155:AA160,"=75703208",U155:U160)</f>
        <v>1.7834400000000001</v>
      </c>
      <c r="AI162" s="2">
        <f>SUMIF(AA155:AA160,"=75703208",V155:V160)</f>
        <v>0</v>
      </c>
      <c r="AJ162" s="2">
        <f>ROUND(SUMIF(AA155:AA160,"=75703208",W155:W160),2)</f>
        <v>0</v>
      </c>
      <c r="AK162" s="2">
        <f>ROUND(SUMIF(AA155:AA160,"=75703208",X155:X160),2)</f>
        <v>574.45000000000005</v>
      </c>
      <c r="AL162" s="2">
        <f>ROUND(SUMIF(AA155:AA160,"=75703208",Y155:Y160),2)</f>
        <v>82.06</v>
      </c>
      <c r="AM162" s="2"/>
      <c r="AN162" s="2"/>
      <c r="AO162" s="2">
        <f t="shared" ref="AO162:BD162" si="129">ROUND(BX162,2)</f>
        <v>0</v>
      </c>
      <c r="AP162" s="2">
        <f t="shared" si="129"/>
        <v>0</v>
      </c>
      <c r="AQ162" s="2">
        <f t="shared" si="129"/>
        <v>0</v>
      </c>
      <c r="AR162" s="2">
        <f t="shared" si="129"/>
        <v>2111.0100000000002</v>
      </c>
      <c r="AS162" s="2">
        <f t="shared" si="129"/>
        <v>0</v>
      </c>
      <c r="AT162" s="2">
        <f t="shared" si="129"/>
        <v>0</v>
      </c>
      <c r="AU162" s="2">
        <f t="shared" si="129"/>
        <v>2111.0100000000002</v>
      </c>
      <c r="AV162" s="2">
        <f t="shared" si="129"/>
        <v>633.86</v>
      </c>
      <c r="AW162" s="2">
        <f t="shared" si="129"/>
        <v>633.86</v>
      </c>
      <c r="AX162" s="2">
        <f t="shared" si="129"/>
        <v>0</v>
      </c>
      <c r="AY162" s="2">
        <f t="shared" si="129"/>
        <v>633.86</v>
      </c>
      <c r="AZ162" s="2">
        <f t="shared" si="129"/>
        <v>0</v>
      </c>
      <c r="BA162" s="2">
        <f t="shared" si="129"/>
        <v>0</v>
      </c>
      <c r="BB162" s="2">
        <f t="shared" si="129"/>
        <v>0</v>
      </c>
      <c r="BC162" s="2">
        <f t="shared" si="129"/>
        <v>0</v>
      </c>
      <c r="BD162" s="2">
        <f t="shared" si="129"/>
        <v>0</v>
      </c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2"/>
      <c r="BQ162" s="2"/>
      <c r="BR162" s="2"/>
      <c r="BS162" s="2"/>
      <c r="BT162" s="2"/>
      <c r="BU162" s="2"/>
      <c r="BV162" s="2"/>
      <c r="BW162" s="2"/>
      <c r="BX162" s="2">
        <f>ROUND(SUMIF(AA155:AA160,"=75703208",FQ155:FQ160),2)</f>
        <v>0</v>
      </c>
      <c r="BY162" s="2">
        <f>ROUND(SUMIF(AA155:AA160,"=75703208",FR155:FR160),2)</f>
        <v>0</v>
      </c>
      <c r="BZ162" s="2">
        <f>ROUND(SUMIF(AA155:AA160,"=75703208",GL155:GL160),2)</f>
        <v>0</v>
      </c>
      <c r="CA162" s="2">
        <f>ROUND(SUMIF(AA155:AA160,"=75703208",GM155:GM160),2)</f>
        <v>2111.0100000000002</v>
      </c>
      <c r="CB162" s="2">
        <f>ROUND(SUMIF(AA155:AA160,"=75703208",GN155:GN160),2)</f>
        <v>0</v>
      </c>
      <c r="CC162" s="2">
        <f>ROUND(SUMIF(AA155:AA160,"=75703208",GO155:GO160),2)</f>
        <v>0</v>
      </c>
      <c r="CD162" s="2">
        <f>ROUND(SUMIF(AA155:AA160,"=75703208",GP155:GP160),2)</f>
        <v>2111.0100000000002</v>
      </c>
      <c r="CE162" s="2">
        <f>AC162-BX162</f>
        <v>633.86</v>
      </c>
      <c r="CF162" s="2">
        <f>AC162-BY162</f>
        <v>633.86</v>
      </c>
      <c r="CG162" s="2">
        <f>BX162-BZ162</f>
        <v>0</v>
      </c>
      <c r="CH162" s="2">
        <f>AC162-BX162-BY162+BZ162</f>
        <v>633.86</v>
      </c>
      <c r="CI162" s="2">
        <f>BY162-BZ162</f>
        <v>0</v>
      </c>
      <c r="CJ162" s="2">
        <f>ROUND(SUMIF(AA155:AA160,"=75703208",GX155:GX160),2)</f>
        <v>0</v>
      </c>
      <c r="CK162" s="2">
        <f>ROUND(SUMIF(AA155:AA160,"=75703208",GY155:GY160),2)</f>
        <v>0</v>
      </c>
      <c r="CL162" s="2">
        <f>ROUND(SUMIF(AA155:AA160,"=75703208",GZ155:GZ160),2)</f>
        <v>0</v>
      </c>
      <c r="CM162" s="2">
        <f>ROUND(SUMIF(AA155:AA160,"=75703208",HD155:HD160),2)</f>
        <v>0</v>
      </c>
      <c r="CN162" s="2"/>
      <c r="CO162" s="2"/>
      <c r="CP162" s="2"/>
      <c r="CQ162" s="2"/>
      <c r="CR162" s="2"/>
      <c r="CS162" s="2"/>
      <c r="CT162" s="2"/>
      <c r="CU162" s="2"/>
      <c r="CV162" s="2"/>
      <c r="CW162" s="2"/>
      <c r="CX162" s="2"/>
      <c r="CY162" s="2"/>
      <c r="CZ162" s="2"/>
      <c r="DA162" s="2"/>
      <c r="DB162" s="2"/>
      <c r="DC162" s="2"/>
      <c r="DD162" s="2"/>
      <c r="DE162" s="2"/>
      <c r="DF162" s="2"/>
      <c r="DG162" s="3"/>
      <c r="DH162" s="3"/>
      <c r="DI162" s="3"/>
      <c r="DJ162" s="3"/>
      <c r="DK162" s="3"/>
      <c r="DL162" s="3"/>
      <c r="DM162" s="3"/>
      <c r="DN162" s="3"/>
      <c r="DO162" s="3"/>
      <c r="DP162" s="3"/>
      <c r="DQ162" s="3"/>
      <c r="DR162" s="3"/>
      <c r="DS162" s="3"/>
      <c r="DT162" s="3"/>
      <c r="DU162" s="3"/>
      <c r="DV162" s="3"/>
      <c r="DW162" s="3"/>
      <c r="DX162" s="3"/>
      <c r="DY162" s="3"/>
      <c r="DZ162" s="3"/>
      <c r="EA162" s="3"/>
      <c r="EB162" s="3"/>
      <c r="EC162" s="3"/>
      <c r="ED162" s="3"/>
      <c r="EE162" s="3"/>
      <c r="EF162" s="3"/>
      <c r="EG162" s="3"/>
      <c r="EH162" s="3"/>
      <c r="EI162" s="3"/>
      <c r="EJ162" s="3"/>
      <c r="EK162" s="3"/>
      <c r="EL162" s="3"/>
      <c r="EM162" s="3"/>
      <c r="EN162" s="3"/>
      <c r="EO162" s="3"/>
      <c r="EP162" s="3"/>
      <c r="EQ162" s="3"/>
      <c r="ER162" s="3"/>
      <c r="ES162" s="3"/>
      <c r="ET162" s="3"/>
      <c r="EU162" s="3"/>
      <c r="EV162" s="3"/>
      <c r="EW162" s="3"/>
      <c r="EX162" s="3"/>
      <c r="EY162" s="3"/>
      <c r="EZ162" s="3"/>
      <c r="FA162" s="3"/>
      <c r="FB162" s="3"/>
      <c r="FC162" s="3"/>
      <c r="FD162" s="3"/>
      <c r="FE162" s="3"/>
      <c r="FF162" s="3"/>
      <c r="FG162" s="3"/>
      <c r="FH162" s="3"/>
      <c r="FI162" s="3"/>
      <c r="FJ162" s="3"/>
      <c r="FK162" s="3"/>
      <c r="FL162" s="3"/>
      <c r="FM162" s="3"/>
      <c r="FN162" s="3"/>
      <c r="FO162" s="3"/>
      <c r="FP162" s="3"/>
      <c r="FQ162" s="3"/>
      <c r="FR162" s="3"/>
      <c r="FS162" s="3"/>
      <c r="FT162" s="3"/>
      <c r="FU162" s="3"/>
      <c r="FV162" s="3"/>
      <c r="FW162" s="3"/>
      <c r="FX162" s="3"/>
      <c r="FY162" s="3"/>
      <c r="FZ162" s="3"/>
      <c r="GA162" s="3"/>
      <c r="GB162" s="3"/>
      <c r="GC162" s="3"/>
      <c r="GD162" s="3"/>
      <c r="GE162" s="3"/>
      <c r="GF162" s="3"/>
      <c r="GG162" s="3"/>
      <c r="GH162" s="3"/>
      <c r="GI162" s="3"/>
      <c r="GJ162" s="3"/>
      <c r="GK162" s="3"/>
      <c r="GL162" s="3"/>
      <c r="GM162" s="3"/>
      <c r="GN162" s="3"/>
      <c r="GO162" s="3"/>
      <c r="GP162" s="3"/>
      <c r="GQ162" s="3"/>
      <c r="GR162" s="3"/>
      <c r="GS162" s="3"/>
      <c r="GT162" s="3"/>
      <c r="GU162" s="3"/>
      <c r="GV162" s="3"/>
      <c r="GW162" s="3"/>
      <c r="GX162" s="3">
        <v>0</v>
      </c>
    </row>
    <row r="164" spans="1:206" x14ac:dyDescent="0.2">
      <c r="A164" s="4">
        <v>50</v>
      </c>
      <c r="B164" s="4">
        <v>0</v>
      </c>
      <c r="C164" s="4">
        <v>0</v>
      </c>
      <c r="D164" s="4">
        <v>1</v>
      </c>
      <c r="E164" s="4">
        <v>201</v>
      </c>
      <c r="F164" s="4">
        <f>ROUND(Source!O162,O164)</f>
        <v>1454.5</v>
      </c>
      <c r="G164" s="4" t="s">
        <v>86</v>
      </c>
      <c r="H164" s="4" t="s">
        <v>87</v>
      </c>
      <c r="I164" s="4"/>
      <c r="J164" s="4"/>
      <c r="K164" s="4">
        <v>201</v>
      </c>
      <c r="L164" s="4">
        <v>1</v>
      </c>
      <c r="M164" s="4">
        <v>3</v>
      </c>
      <c r="N164" s="4" t="s">
        <v>3</v>
      </c>
      <c r="O164" s="4">
        <v>2</v>
      </c>
      <c r="P164" s="4"/>
      <c r="Q164" s="4"/>
      <c r="R164" s="4"/>
      <c r="S164" s="4"/>
      <c r="T164" s="4"/>
      <c r="U164" s="4"/>
      <c r="V164" s="4"/>
      <c r="W164" s="4">
        <v>1454.5</v>
      </c>
      <c r="X164" s="4">
        <v>1</v>
      </c>
      <c r="Y164" s="4">
        <v>1454.5</v>
      </c>
      <c r="Z164" s="4"/>
      <c r="AA164" s="4"/>
      <c r="AB164" s="4"/>
    </row>
    <row r="165" spans="1:206" x14ac:dyDescent="0.2">
      <c r="A165" s="4">
        <v>50</v>
      </c>
      <c r="B165" s="4">
        <v>0</v>
      </c>
      <c r="C165" s="4">
        <v>0</v>
      </c>
      <c r="D165" s="4">
        <v>1</v>
      </c>
      <c r="E165" s="4">
        <v>202</v>
      </c>
      <c r="F165" s="4">
        <f>ROUND(Source!P162,O165)</f>
        <v>633.86</v>
      </c>
      <c r="G165" s="4" t="s">
        <v>88</v>
      </c>
      <c r="H165" s="4" t="s">
        <v>89</v>
      </c>
      <c r="I165" s="4"/>
      <c r="J165" s="4"/>
      <c r="K165" s="4">
        <v>202</v>
      </c>
      <c r="L165" s="4">
        <v>2</v>
      </c>
      <c r="M165" s="4">
        <v>3</v>
      </c>
      <c r="N165" s="4" t="s">
        <v>3</v>
      </c>
      <c r="O165" s="4">
        <v>2</v>
      </c>
      <c r="P165" s="4"/>
      <c r="Q165" s="4"/>
      <c r="R165" s="4"/>
      <c r="S165" s="4"/>
      <c r="T165" s="4"/>
      <c r="U165" s="4"/>
      <c r="V165" s="4"/>
      <c r="W165" s="4">
        <v>633.86</v>
      </c>
      <c r="X165" s="4">
        <v>1</v>
      </c>
      <c r="Y165" s="4">
        <v>633.86</v>
      </c>
      <c r="Z165" s="4"/>
      <c r="AA165" s="4"/>
      <c r="AB165" s="4"/>
    </row>
    <row r="166" spans="1:206" x14ac:dyDescent="0.2">
      <c r="A166" s="4">
        <v>50</v>
      </c>
      <c r="B166" s="4">
        <v>0</v>
      </c>
      <c r="C166" s="4">
        <v>0</v>
      </c>
      <c r="D166" s="4">
        <v>1</v>
      </c>
      <c r="E166" s="4">
        <v>222</v>
      </c>
      <c r="F166" s="4">
        <f>ROUND(Source!AO162,O166)</f>
        <v>0</v>
      </c>
      <c r="G166" s="4" t="s">
        <v>90</v>
      </c>
      <c r="H166" s="4" t="s">
        <v>91</v>
      </c>
      <c r="I166" s="4"/>
      <c r="J166" s="4"/>
      <c r="K166" s="4">
        <v>222</v>
      </c>
      <c r="L166" s="4">
        <v>3</v>
      </c>
      <c r="M166" s="4">
        <v>3</v>
      </c>
      <c r="N166" s="4" t="s">
        <v>3</v>
      </c>
      <c r="O166" s="4">
        <v>2</v>
      </c>
      <c r="P166" s="4"/>
      <c r="Q166" s="4"/>
      <c r="R166" s="4"/>
      <c r="S166" s="4"/>
      <c r="T166" s="4"/>
      <c r="U166" s="4"/>
      <c r="V166" s="4"/>
      <c r="W166" s="4">
        <v>0</v>
      </c>
      <c r="X166" s="4">
        <v>1</v>
      </c>
      <c r="Y166" s="4">
        <v>0</v>
      </c>
      <c r="Z166" s="4"/>
      <c r="AA166" s="4"/>
      <c r="AB166" s="4"/>
    </row>
    <row r="167" spans="1:206" x14ac:dyDescent="0.2">
      <c r="A167" s="4">
        <v>50</v>
      </c>
      <c r="B167" s="4">
        <v>0</v>
      </c>
      <c r="C167" s="4">
        <v>0</v>
      </c>
      <c r="D167" s="4">
        <v>1</v>
      </c>
      <c r="E167" s="4">
        <v>225</v>
      </c>
      <c r="F167" s="4">
        <f>ROUND(Source!AV162,O167)</f>
        <v>633.86</v>
      </c>
      <c r="G167" s="4" t="s">
        <v>92</v>
      </c>
      <c r="H167" s="4" t="s">
        <v>93</v>
      </c>
      <c r="I167" s="4"/>
      <c r="J167" s="4"/>
      <c r="K167" s="4">
        <v>225</v>
      </c>
      <c r="L167" s="4">
        <v>4</v>
      </c>
      <c r="M167" s="4">
        <v>3</v>
      </c>
      <c r="N167" s="4" t="s">
        <v>3</v>
      </c>
      <c r="O167" s="4">
        <v>2</v>
      </c>
      <c r="P167" s="4"/>
      <c r="Q167" s="4"/>
      <c r="R167" s="4"/>
      <c r="S167" s="4"/>
      <c r="T167" s="4"/>
      <c r="U167" s="4"/>
      <c r="V167" s="4"/>
      <c r="W167" s="4">
        <v>633.86</v>
      </c>
      <c r="X167" s="4">
        <v>1</v>
      </c>
      <c r="Y167" s="4">
        <v>633.86</v>
      </c>
      <c r="Z167" s="4"/>
      <c r="AA167" s="4"/>
      <c r="AB167" s="4"/>
    </row>
    <row r="168" spans="1:206" x14ac:dyDescent="0.2">
      <c r="A168" s="4">
        <v>50</v>
      </c>
      <c r="B168" s="4">
        <v>0</v>
      </c>
      <c r="C168" s="4">
        <v>0</v>
      </c>
      <c r="D168" s="4">
        <v>1</v>
      </c>
      <c r="E168" s="4">
        <v>226</v>
      </c>
      <c r="F168" s="4">
        <f>ROUND(Source!AW162,O168)</f>
        <v>633.86</v>
      </c>
      <c r="G168" s="4" t="s">
        <v>94</v>
      </c>
      <c r="H168" s="4" t="s">
        <v>95</v>
      </c>
      <c r="I168" s="4"/>
      <c r="J168" s="4"/>
      <c r="K168" s="4">
        <v>226</v>
      </c>
      <c r="L168" s="4">
        <v>5</v>
      </c>
      <c r="M168" s="4">
        <v>3</v>
      </c>
      <c r="N168" s="4" t="s">
        <v>3</v>
      </c>
      <c r="O168" s="4">
        <v>2</v>
      </c>
      <c r="P168" s="4"/>
      <c r="Q168" s="4"/>
      <c r="R168" s="4"/>
      <c r="S168" s="4"/>
      <c r="T168" s="4"/>
      <c r="U168" s="4"/>
      <c r="V168" s="4"/>
      <c r="W168" s="4">
        <v>633.86</v>
      </c>
      <c r="X168" s="4">
        <v>1</v>
      </c>
      <c r="Y168" s="4">
        <v>633.86</v>
      </c>
      <c r="Z168" s="4"/>
      <c r="AA168" s="4"/>
      <c r="AB168" s="4"/>
    </row>
    <row r="169" spans="1:206" x14ac:dyDescent="0.2">
      <c r="A169" s="4">
        <v>50</v>
      </c>
      <c r="B169" s="4">
        <v>0</v>
      </c>
      <c r="C169" s="4">
        <v>0</v>
      </c>
      <c r="D169" s="4">
        <v>1</v>
      </c>
      <c r="E169" s="4">
        <v>227</v>
      </c>
      <c r="F169" s="4">
        <f>ROUND(Source!AX162,O169)</f>
        <v>0</v>
      </c>
      <c r="G169" s="4" t="s">
        <v>96</v>
      </c>
      <c r="H169" s="4" t="s">
        <v>97</v>
      </c>
      <c r="I169" s="4"/>
      <c r="J169" s="4"/>
      <c r="K169" s="4">
        <v>227</v>
      </c>
      <c r="L169" s="4">
        <v>6</v>
      </c>
      <c r="M169" s="4">
        <v>3</v>
      </c>
      <c r="N169" s="4" t="s">
        <v>3</v>
      </c>
      <c r="O169" s="4">
        <v>2</v>
      </c>
      <c r="P169" s="4"/>
      <c r="Q169" s="4"/>
      <c r="R169" s="4"/>
      <c r="S169" s="4"/>
      <c r="T169" s="4"/>
      <c r="U169" s="4"/>
      <c r="V169" s="4"/>
      <c r="W169" s="4">
        <v>0</v>
      </c>
      <c r="X169" s="4">
        <v>1</v>
      </c>
      <c r="Y169" s="4">
        <v>0</v>
      </c>
      <c r="Z169" s="4"/>
      <c r="AA169" s="4"/>
      <c r="AB169" s="4"/>
    </row>
    <row r="170" spans="1:206" x14ac:dyDescent="0.2">
      <c r="A170" s="4">
        <v>50</v>
      </c>
      <c r="B170" s="4">
        <v>0</v>
      </c>
      <c r="C170" s="4">
        <v>0</v>
      </c>
      <c r="D170" s="4">
        <v>1</v>
      </c>
      <c r="E170" s="4">
        <v>228</v>
      </c>
      <c r="F170" s="4">
        <f>ROUND(Source!AY162,O170)</f>
        <v>633.86</v>
      </c>
      <c r="G170" s="4" t="s">
        <v>98</v>
      </c>
      <c r="H170" s="4" t="s">
        <v>99</v>
      </c>
      <c r="I170" s="4"/>
      <c r="J170" s="4"/>
      <c r="K170" s="4">
        <v>228</v>
      </c>
      <c r="L170" s="4">
        <v>7</v>
      </c>
      <c r="M170" s="4">
        <v>3</v>
      </c>
      <c r="N170" s="4" t="s">
        <v>3</v>
      </c>
      <c r="O170" s="4">
        <v>2</v>
      </c>
      <c r="P170" s="4"/>
      <c r="Q170" s="4"/>
      <c r="R170" s="4"/>
      <c r="S170" s="4"/>
      <c r="T170" s="4"/>
      <c r="U170" s="4"/>
      <c r="V170" s="4"/>
      <c r="W170" s="4">
        <v>633.86</v>
      </c>
      <c r="X170" s="4">
        <v>1</v>
      </c>
      <c r="Y170" s="4">
        <v>633.86</v>
      </c>
      <c r="Z170" s="4"/>
      <c r="AA170" s="4"/>
      <c r="AB170" s="4"/>
    </row>
    <row r="171" spans="1:206" x14ac:dyDescent="0.2">
      <c r="A171" s="4">
        <v>50</v>
      </c>
      <c r="B171" s="4">
        <v>0</v>
      </c>
      <c r="C171" s="4">
        <v>0</v>
      </c>
      <c r="D171" s="4">
        <v>1</v>
      </c>
      <c r="E171" s="4">
        <v>216</v>
      </c>
      <c r="F171" s="4">
        <f>ROUND(Source!AP162,O171)</f>
        <v>0</v>
      </c>
      <c r="G171" s="4" t="s">
        <v>100</v>
      </c>
      <c r="H171" s="4" t="s">
        <v>101</v>
      </c>
      <c r="I171" s="4"/>
      <c r="J171" s="4"/>
      <c r="K171" s="4">
        <v>216</v>
      </c>
      <c r="L171" s="4">
        <v>8</v>
      </c>
      <c r="M171" s="4">
        <v>3</v>
      </c>
      <c r="N171" s="4" t="s">
        <v>3</v>
      </c>
      <c r="O171" s="4">
        <v>2</v>
      </c>
      <c r="P171" s="4"/>
      <c r="Q171" s="4"/>
      <c r="R171" s="4"/>
      <c r="S171" s="4"/>
      <c r="T171" s="4"/>
      <c r="U171" s="4"/>
      <c r="V171" s="4"/>
      <c r="W171" s="4">
        <v>0</v>
      </c>
      <c r="X171" s="4">
        <v>1</v>
      </c>
      <c r="Y171" s="4">
        <v>0</v>
      </c>
      <c r="Z171" s="4"/>
      <c r="AA171" s="4"/>
      <c r="AB171" s="4"/>
    </row>
    <row r="172" spans="1:206" x14ac:dyDescent="0.2">
      <c r="A172" s="4">
        <v>50</v>
      </c>
      <c r="B172" s="4">
        <v>0</v>
      </c>
      <c r="C172" s="4">
        <v>0</v>
      </c>
      <c r="D172" s="4">
        <v>1</v>
      </c>
      <c r="E172" s="4">
        <v>223</v>
      </c>
      <c r="F172" s="4">
        <f>ROUND(Source!AQ162,O172)</f>
        <v>0</v>
      </c>
      <c r="G172" s="4" t="s">
        <v>102</v>
      </c>
      <c r="H172" s="4" t="s">
        <v>103</v>
      </c>
      <c r="I172" s="4"/>
      <c r="J172" s="4"/>
      <c r="K172" s="4">
        <v>223</v>
      </c>
      <c r="L172" s="4">
        <v>9</v>
      </c>
      <c r="M172" s="4">
        <v>3</v>
      </c>
      <c r="N172" s="4" t="s">
        <v>3</v>
      </c>
      <c r="O172" s="4">
        <v>2</v>
      </c>
      <c r="P172" s="4"/>
      <c r="Q172" s="4"/>
      <c r="R172" s="4"/>
      <c r="S172" s="4"/>
      <c r="T172" s="4"/>
      <c r="U172" s="4"/>
      <c r="V172" s="4"/>
      <c r="W172" s="4">
        <v>0</v>
      </c>
      <c r="X172" s="4">
        <v>1</v>
      </c>
      <c r="Y172" s="4">
        <v>0</v>
      </c>
      <c r="Z172" s="4"/>
      <c r="AA172" s="4"/>
      <c r="AB172" s="4"/>
    </row>
    <row r="173" spans="1:206" x14ac:dyDescent="0.2">
      <c r="A173" s="4">
        <v>50</v>
      </c>
      <c r="B173" s="4">
        <v>0</v>
      </c>
      <c r="C173" s="4">
        <v>0</v>
      </c>
      <c r="D173" s="4">
        <v>1</v>
      </c>
      <c r="E173" s="4">
        <v>229</v>
      </c>
      <c r="F173" s="4">
        <f>ROUND(Source!AZ162,O173)</f>
        <v>0</v>
      </c>
      <c r="G173" s="4" t="s">
        <v>104</v>
      </c>
      <c r="H173" s="4" t="s">
        <v>105</v>
      </c>
      <c r="I173" s="4"/>
      <c r="J173" s="4"/>
      <c r="K173" s="4">
        <v>229</v>
      </c>
      <c r="L173" s="4">
        <v>10</v>
      </c>
      <c r="M173" s="4">
        <v>3</v>
      </c>
      <c r="N173" s="4" t="s">
        <v>3</v>
      </c>
      <c r="O173" s="4">
        <v>2</v>
      </c>
      <c r="P173" s="4"/>
      <c r="Q173" s="4"/>
      <c r="R173" s="4"/>
      <c r="S173" s="4"/>
      <c r="T173" s="4"/>
      <c r="U173" s="4"/>
      <c r="V173" s="4"/>
      <c r="W173" s="4">
        <v>0</v>
      </c>
      <c r="X173" s="4">
        <v>1</v>
      </c>
      <c r="Y173" s="4">
        <v>0</v>
      </c>
      <c r="Z173" s="4"/>
      <c r="AA173" s="4"/>
      <c r="AB173" s="4"/>
    </row>
    <row r="174" spans="1:206" x14ac:dyDescent="0.2">
      <c r="A174" s="4">
        <v>50</v>
      </c>
      <c r="B174" s="4">
        <v>0</v>
      </c>
      <c r="C174" s="4">
        <v>0</v>
      </c>
      <c r="D174" s="4">
        <v>1</v>
      </c>
      <c r="E174" s="4">
        <v>203</v>
      </c>
      <c r="F174" s="4">
        <f>ROUND(Source!Q162,O174)</f>
        <v>0</v>
      </c>
      <c r="G174" s="4" t="s">
        <v>106</v>
      </c>
      <c r="H174" s="4" t="s">
        <v>107</v>
      </c>
      <c r="I174" s="4"/>
      <c r="J174" s="4"/>
      <c r="K174" s="4">
        <v>203</v>
      </c>
      <c r="L174" s="4">
        <v>11</v>
      </c>
      <c r="M174" s="4">
        <v>3</v>
      </c>
      <c r="N174" s="4" t="s">
        <v>3</v>
      </c>
      <c r="O174" s="4">
        <v>2</v>
      </c>
      <c r="P174" s="4"/>
      <c r="Q174" s="4"/>
      <c r="R174" s="4"/>
      <c r="S174" s="4"/>
      <c r="T174" s="4"/>
      <c r="U174" s="4"/>
      <c r="V174" s="4"/>
      <c r="W174" s="4">
        <v>0</v>
      </c>
      <c r="X174" s="4">
        <v>1</v>
      </c>
      <c r="Y174" s="4">
        <v>0</v>
      </c>
      <c r="Z174" s="4"/>
      <c r="AA174" s="4"/>
      <c r="AB174" s="4"/>
    </row>
    <row r="175" spans="1:206" x14ac:dyDescent="0.2">
      <c r="A175" s="4">
        <v>50</v>
      </c>
      <c r="B175" s="4">
        <v>0</v>
      </c>
      <c r="C175" s="4">
        <v>0</v>
      </c>
      <c r="D175" s="4">
        <v>1</v>
      </c>
      <c r="E175" s="4">
        <v>231</v>
      </c>
      <c r="F175" s="4">
        <f>ROUND(Source!BB162,O175)</f>
        <v>0</v>
      </c>
      <c r="G175" s="4" t="s">
        <v>108</v>
      </c>
      <c r="H175" s="4" t="s">
        <v>109</v>
      </c>
      <c r="I175" s="4"/>
      <c r="J175" s="4"/>
      <c r="K175" s="4">
        <v>231</v>
      </c>
      <c r="L175" s="4">
        <v>12</v>
      </c>
      <c r="M175" s="4">
        <v>3</v>
      </c>
      <c r="N175" s="4" t="s">
        <v>3</v>
      </c>
      <c r="O175" s="4">
        <v>2</v>
      </c>
      <c r="P175" s="4"/>
      <c r="Q175" s="4"/>
      <c r="R175" s="4"/>
      <c r="S175" s="4"/>
      <c r="T175" s="4"/>
      <c r="U175" s="4"/>
      <c r="V175" s="4"/>
      <c r="W175" s="4">
        <v>0</v>
      </c>
      <c r="X175" s="4">
        <v>1</v>
      </c>
      <c r="Y175" s="4">
        <v>0</v>
      </c>
      <c r="Z175" s="4"/>
      <c r="AA175" s="4"/>
      <c r="AB175" s="4"/>
    </row>
    <row r="176" spans="1:206" x14ac:dyDescent="0.2">
      <c r="A176" s="4">
        <v>50</v>
      </c>
      <c r="B176" s="4">
        <v>0</v>
      </c>
      <c r="C176" s="4">
        <v>0</v>
      </c>
      <c r="D176" s="4">
        <v>1</v>
      </c>
      <c r="E176" s="4">
        <v>204</v>
      </c>
      <c r="F176" s="4">
        <f>ROUND(Source!R162,O176)</f>
        <v>0</v>
      </c>
      <c r="G176" s="4" t="s">
        <v>110</v>
      </c>
      <c r="H176" s="4" t="s">
        <v>111</v>
      </c>
      <c r="I176" s="4"/>
      <c r="J176" s="4"/>
      <c r="K176" s="4">
        <v>204</v>
      </c>
      <c r="L176" s="4">
        <v>13</v>
      </c>
      <c r="M176" s="4">
        <v>3</v>
      </c>
      <c r="N176" s="4" t="s">
        <v>3</v>
      </c>
      <c r="O176" s="4">
        <v>2</v>
      </c>
      <c r="P176" s="4"/>
      <c r="Q176" s="4"/>
      <c r="R176" s="4"/>
      <c r="S176" s="4"/>
      <c r="T176" s="4"/>
      <c r="U176" s="4"/>
      <c r="V176" s="4"/>
      <c r="W176" s="4">
        <v>0</v>
      </c>
      <c r="X176" s="4">
        <v>1</v>
      </c>
      <c r="Y176" s="4">
        <v>0</v>
      </c>
      <c r="Z176" s="4"/>
      <c r="AA176" s="4"/>
      <c r="AB176" s="4"/>
    </row>
    <row r="177" spans="1:88" x14ac:dyDescent="0.2">
      <c r="A177" s="4">
        <v>50</v>
      </c>
      <c r="B177" s="4">
        <v>0</v>
      </c>
      <c r="C177" s="4">
        <v>0</v>
      </c>
      <c r="D177" s="4">
        <v>1</v>
      </c>
      <c r="E177" s="4">
        <v>205</v>
      </c>
      <c r="F177" s="4">
        <f>ROUND(Source!S162,O177)</f>
        <v>820.64</v>
      </c>
      <c r="G177" s="4" t="s">
        <v>112</v>
      </c>
      <c r="H177" s="4" t="s">
        <v>113</v>
      </c>
      <c r="I177" s="4"/>
      <c r="J177" s="4"/>
      <c r="K177" s="4">
        <v>205</v>
      </c>
      <c r="L177" s="4">
        <v>14</v>
      </c>
      <c r="M177" s="4">
        <v>3</v>
      </c>
      <c r="N177" s="4" t="s">
        <v>3</v>
      </c>
      <c r="O177" s="4">
        <v>2</v>
      </c>
      <c r="P177" s="4"/>
      <c r="Q177" s="4"/>
      <c r="R177" s="4"/>
      <c r="S177" s="4"/>
      <c r="T177" s="4"/>
      <c r="U177" s="4"/>
      <c r="V177" s="4"/>
      <c r="W177" s="4">
        <v>820.64</v>
      </c>
      <c r="X177" s="4">
        <v>1</v>
      </c>
      <c r="Y177" s="4">
        <v>820.64</v>
      </c>
      <c r="Z177" s="4"/>
      <c r="AA177" s="4"/>
      <c r="AB177" s="4"/>
    </row>
    <row r="178" spans="1:88" x14ac:dyDescent="0.2">
      <c r="A178" s="4">
        <v>50</v>
      </c>
      <c r="B178" s="4">
        <v>0</v>
      </c>
      <c r="C178" s="4">
        <v>0</v>
      </c>
      <c r="D178" s="4">
        <v>1</v>
      </c>
      <c r="E178" s="4">
        <v>232</v>
      </c>
      <c r="F178" s="4">
        <f>ROUND(Source!BC162,O178)</f>
        <v>0</v>
      </c>
      <c r="G178" s="4" t="s">
        <v>114</v>
      </c>
      <c r="H178" s="4" t="s">
        <v>115</v>
      </c>
      <c r="I178" s="4"/>
      <c r="J178" s="4"/>
      <c r="K178" s="4">
        <v>232</v>
      </c>
      <c r="L178" s="4">
        <v>15</v>
      </c>
      <c r="M178" s="4">
        <v>3</v>
      </c>
      <c r="N178" s="4" t="s">
        <v>3</v>
      </c>
      <c r="O178" s="4">
        <v>2</v>
      </c>
      <c r="P178" s="4"/>
      <c r="Q178" s="4"/>
      <c r="R178" s="4"/>
      <c r="S178" s="4"/>
      <c r="T178" s="4"/>
      <c r="U178" s="4"/>
      <c r="V178" s="4"/>
      <c r="W178" s="4">
        <v>0</v>
      </c>
      <c r="X178" s="4">
        <v>1</v>
      </c>
      <c r="Y178" s="4">
        <v>0</v>
      </c>
      <c r="Z178" s="4"/>
      <c r="AA178" s="4"/>
      <c r="AB178" s="4"/>
    </row>
    <row r="179" spans="1:88" x14ac:dyDescent="0.2">
      <c r="A179" s="4">
        <v>50</v>
      </c>
      <c r="B179" s="4">
        <v>0</v>
      </c>
      <c r="C179" s="4">
        <v>0</v>
      </c>
      <c r="D179" s="4">
        <v>1</v>
      </c>
      <c r="E179" s="4">
        <v>214</v>
      </c>
      <c r="F179" s="4">
        <f>ROUND(Source!AS162,O179)</f>
        <v>0</v>
      </c>
      <c r="G179" s="4" t="s">
        <v>116</v>
      </c>
      <c r="H179" s="4" t="s">
        <v>117</v>
      </c>
      <c r="I179" s="4"/>
      <c r="J179" s="4"/>
      <c r="K179" s="4">
        <v>214</v>
      </c>
      <c r="L179" s="4">
        <v>16</v>
      </c>
      <c r="M179" s="4">
        <v>3</v>
      </c>
      <c r="N179" s="4" t="s">
        <v>3</v>
      </c>
      <c r="O179" s="4">
        <v>2</v>
      </c>
      <c r="P179" s="4"/>
      <c r="Q179" s="4"/>
      <c r="R179" s="4"/>
      <c r="S179" s="4"/>
      <c r="T179" s="4"/>
      <c r="U179" s="4"/>
      <c r="V179" s="4"/>
      <c r="W179" s="4">
        <v>0</v>
      </c>
      <c r="X179" s="4">
        <v>1</v>
      </c>
      <c r="Y179" s="4">
        <v>0</v>
      </c>
      <c r="Z179" s="4"/>
      <c r="AA179" s="4"/>
      <c r="AB179" s="4"/>
    </row>
    <row r="180" spans="1:88" x14ac:dyDescent="0.2">
      <c r="A180" s="4">
        <v>50</v>
      </c>
      <c r="B180" s="4">
        <v>0</v>
      </c>
      <c r="C180" s="4">
        <v>0</v>
      </c>
      <c r="D180" s="4">
        <v>1</v>
      </c>
      <c r="E180" s="4">
        <v>215</v>
      </c>
      <c r="F180" s="4">
        <f>ROUND(Source!AT162,O180)</f>
        <v>0</v>
      </c>
      <c r="G180" s="4" t="s">
        <v>118</v>
      </c>
      <c r="H180" s="4" t="s">
        <v>119</v>
      </c>
      <c r="I180" s="4"/>
      <c r="J180" s="4"/>
      <c r="K180" s="4">
        <v>215</v>
      </c>
      <c r="L180" s="4">
        <v>17</v>
      </c>
      <c r="M180" s="4">
        <v>3</v>
      </c>
      <c r="N180" s="4" t="s">
        <v>3</v>
      </c>
      <c r="O180" s="4">
        <v>2</v>
      </c>
      <c r="P180" s="4"/>
      <c r="Q180" s="4"/>
      <c r="R180" s="4"/>
      <c r="S180" s="4"/>
      <c r="T180" s="4"/>
      <c r="U180" s="4"/>
      <c r="V180" s="4"/>
      <c r="W180" s="4">
        <v>0</v>
      </c>
      <c r="X180" s="4">
        <v>1</v>
      </c>
      <c r="Y180" s="4">
        <v>0</v>
      </c>
      <c r="Z180" s="4"/>
      <c r="AA180" s="4"/>
      <c r="AB180" s="4"/>
    </row>
    <row r="181" spans="1:88" x14ac:dyDescent="0.2">
      <c r="A181" s="4">
        <v>50</v>
      </c>
      <c r="B181" s="4">
        <v>0</v>
      </c>
      <c r="C181" s="4">
        <v>0</v>
      </c>
      <c r="D181" s="4">
        <v>1</v>
      </c>
      <c r="E181" s="4">
        <v>217</v>
      </c>
      <c r="F181" s="4">
        <f>ROUND(Source!AU162,O181)</f>
        <v>2111.0100000000002</v>
      </c>
      <c r="G181" s="4" t="s">
        <v>120</v>
      </c>
      <c r="H181" s="4" t="s">
        <v>121</v>
      </c>
      <c r="I181" s="4"/>
      <c r="J181" s="4"/>
      <c r="K181" s="4">
        <v>217</v>
      </c>
      <c r="L181" s="4">
        <v>18</v>
      </c>
      <c r="M181" s="4">
        <v>3</v>
      </c>
      <c r="N181" s="4" t="s">
        <v>3</v>
      </c>
      <c r="O181" s="4">
        <v>2</v>
      </c>
      <c r="P181" s="4"/>
      <c r="Q181" s="4"/>
      <c r="R181" s="4"/>
      <c r="S181" s="4"/>
      <c r="T181" s="4"/>
      <c r="U181" s="4"/>
      <c r="V181" s="4"/>
      <c r="W181" s="4">
        <v>2111.0100000000002</v>
      </c>
      <c r="X181" s="4">
        <v>1</v>
      </c>
      <c r="Y181" s="4">
        <v>2111.0100000000002</v>
      </c>
      <c r="Z181" s="4"/>
      <c r="AA181" s="4"/>
      <c r="AB181" s="4"/>
    </row>
    <row r="182" spans="1:88" x14ac:dyDescent="0.2">
      <c r="A182" s="4">
        <v>50</v>
      </c>
      <c r="B182" s="4">
        <v>0</v>
      </c>
      <c r="C182" s="4">
        <v>0</v>
      </c>
      <c r="D182" s="4">
        <v>1</v>
      </c>
      <c r="E182" s="4">
        <v>230</v>
      </c>
      <c r="F182" s="4">
        <f>ROUND(Source!BA162,O182)</f>
        <v>0</v>
      </c>
      <c r="G182" s="4" t="s">
        <v>122</v>
      </c>
      <c r="H182" s="4" t="s">
        <v>123</v>
      </c>
      <c r="I182" s="4"/>
      <c r="J182" s="4"/>
      <c r="K182" s="4">
        <v>230</v>
      </c>
      <c r="L182" s="4">
        <v>19</v>
      </c>
      <c r="M182" s="4">
        <v>3</v>
      </c>
      <c r="N182" s="4" t="s">
        <v>3</v>
      </c>
      <c r="O182" s="4">
        <v>2</v>
      </c>
      <c r="P182" s="4"/>
      <c r="Q182" s="4"/>
      <c r="R182" s="4"/>
      <c r="S182" s="4"/>
      <c r="T182" s="4"/>
      <c r="U182" s="4"/>
      <c r="V182" s="4"/>
      <c r="W182" s="4">
        <v>0</v>
      </c>
      <c r="X182" s="4">
        <v>1</v>
      </c>
      <c r="Y182" s="4">
        <v>0</v>
      </c>
      <c r="Z182" s="4"/>
      <c r="AA182" s="4"/>
      <c r="AB182" s="4"/>
    </row>
    <row r="183" spans="1:88" x14ac:dyDescent="0.2">
      <c r="A183" s="4">
        <v>50</v>
      </c>
      <c r="B183" s="4">
        <v>0</v>
      </c>
      <c r="C183" s="4">
        <v>0</v>
      </c>
      <c r="D183" s="4">
        <v>1</v>
      </c>
      <c r="E183" s="4">
        <v>206</v>
      </c>
      <c r="F183" s="4">
        <f>ROUND(Source!T162,O183)</f>
        <v>0</v>
      </c>
      <c r="G183" s="4" t="s">
        <v>124</v>
      </c>
      <c r="H183" s="4" t="s">
        <v>125</v>
      </c>
      <c r="I183" s="4"/>
      <c r="J183" s="4"/>
      <c r="K183" s="4">
        <v>206</v>
      </c>
      <c r="L183" s="4">
        <v>20</v>
      </c>
      <c r="M183" s="4">
        <v>3</v>
      </c>
      <c r="N183" s="4" t="s">
        <v>3</v>
      </c>
      <c r="O183" s="4">
        <v>2</v>
      </c>
      <c r="P183" s="4"/>
      <c r="Q183" s="4"/>
      <c r="R183" s="4"/>
      <c r="S183" s="4"/>
      <c r="T183" s="4"/>
      <c r="U183" s="4"/>
      <c r="V183" s="4"/>
      <c r="W183" s="4">
        <v>0</v>
      </c>
      <c r="X183" s="4">
        <v>1</v>
      </c>
      <c r="Y183" s="4">
        <v>0</v>
      </c>
      <c r="Z183" s="4"/>
      <c r="AA183" s="4"/>
      <c r="AB183" s="4"/>
    </row>
    <row r="184" spans="1:88" x14ac:dyDescent="0.2">
      <c r="A184" s="4">
        <v>50</v>
      </c>
      <c r="B184" s="4">
        <v>0</v>
      </c>
      <c r="C184" s="4">
        <v>0</v>
      </c>
      <c r="D184" s="4">
        <v>1</v>
      </c>
      <c r="E184" s="4">
        <v>207</v>
      </c>
      <c r="F184" s="4">
        <f>Source!U162</f>
        <v>1.7834400000000001</v>
      </c>
      <c r="G184" s="4" t="s">
        <v>126</v>
      </c>
      <c r="H184" s="4" t="s">
        <v>127</v>
      </c>
      <c r="I184" s="4"/>
      <c r="J184" s="4"/>
      <c r="K184" s="4">
        <v>207</v>
      </c>
      <c r="L184" s="4">
        <v>21</v>
      </c>
      <c r="M184" s="4">
        <v>3</v>
      </c>
      <c r="N184" s="4" t="s">
        <v>3</v>
      </c>
      <c r="O184" s="4">
        <v>-1</v>
      </c>
      <c r="P184" s="4"/>
      <c r="Q184" s="4"/>
      <c r="R184" s="4"/>
      <c r="S184" s="4"/>
      <c r="T184" s="4"/>
      <c r="U184" s="4"/>
      <c r="V184" s="4"/>
      <c r="W184" s="4">
        <v>1.7834400000000001</v>
      </c>
      <c r="X184" s="4">
        <v>1</v>
      </c>
      <c r="Y184" s="4">
        <v>1.7834400000000001</v>
      </c>
      <c r="Z184" s="4"/>
      <c r="AA184" s="4"/>
      <c r="AB184" s="4"/>
    </row>
    <row r="185" spans="1:88" x14ac:dyDescent="0.2">
      <c r="A185" s="4">
        <v>50</v>
      </c>
      <c r="B185" s="4">
        <v>0</v>
      </c>
      <c r="C185" s="4">
        <v>0</v>
      </c>
      <c r="D185" s="4">
        <v>1</v>
      </c>
      <c r="E185" s="4">
        <v>208</v>
      </c>
      <c r="F185" s="4">
        <f>Source!V162</f>
        <v>0</v>
      </c>
      <c r="G185" s="4" t="s">
        <v>128</v>
      </c>
      <c r="H185" s="4" t="s">
        <v>129</v>
      </c>
      <c r="I185" s="4"/>
      <c r="J185" s="4"/>
      <c r="K185" s="4">
        <v>208</v>
      </c>
      <c r="L185" s="4">
        <v>22</v>
      </c>
      <c r="M185" s="4">
        <v>3</v>
      </c>
      <c r="N185" s="4" t="s">
        <v>3</v>
      </c>
      <c r="O185" s="4">
        <v>-1</v>
      </c>
      <c r="P185" s="4"/>
      <c r="Q185" s="4"/>
      <c r="R185" s="4"/>
      <c r="S185" s="4"/>
      <c r="T185" s="4"/>
      <c r="U185" s="4"/>
      <c r="V185" s="4"/>
      <c r="W185" s="4">
        <v>0</v>
      </c>
      <c r="X185" s="4">
        <v>1</v>
      </c>
      <c r="Y185" s="4">
        <v>0</v>
      </c>
      <c r="Z185" s="4"/>
      <c r="AA185" s="4"/>
      <c r="AB185" s="4"/>
    </row>
    <row r="186" spans="1:88" x14ac:dyDescent="0.2">
      <c r="A186" s="4">
        <v>50</v>
      </c>
      <c r="B186" s="4">
        <v>0</v>
      </c>
      <c r="C186" s="4">
        <v>0</v>
      </c>
      <c r="D186" s="4">
        <v>1</v>
      </c>
      <c r="E186" s="4">
        <v>209</v>
      </c>
      <c r="F186" s="4">
        <f>ROUND(Source!W162,O186)</f>
        <v>0</v>
      </c>
      <c r="G186" s="4" t="s">
        <v>130</v>
      </c>
      <c r="H186" s="4" t="s">
        <v>131</v>
      </c>
      <c r="I186" s="4"/>
      <c r="J186" s="4"/>
      <c r="K186" s="4">
        <v>209</v>
      </c>
      <c r="L186" s="4">
        <v>23</v>
      </c>
      <c r="M186" s="4">
        <v>3</v>
      </c>
      <c r="N186" s="4" t="s">
        <v>3</v>
      </c>
      <c r="O186" s="4">
        <v>2</v>
      </c>
      <c r="P186" s="4"/>
      <c r="Q186" s="4"/>
      <c r="R186" s="4"/>
      <c r="S186" s="4"/>
      <c r="T186" s="4"/>
      <c r="U186" s="4"/>
      <c r="V186" s="4"/>
      <c r="W186" s="4">
        <v>0</v>
      </c>
      <c r="X186" s="4">
        <v>1</v>
      </c>
      <c r="Y186" s="4">
        <v>0</v>
      </c>
      <c r="Z186" s="4"/>
      <c r="AA186" s="4"/>
      <c r="AB186" s="4"/>
    </row>
    <row r="187" spans="1:88" x14ac:dyDescent="0.2">
      <c r="A187" s="4">
        <v>50</v>
      </c>
      <c r="B187" s="4">
        <v>0</v>
      </c>
      <c r="C187" s="4">
        <v>0</v>
      </c>
      <c r="D187" s="4">
        <v>1</v>
      </c>
      <c r="E187" s="4">
        <v>233</v>
      </c>
      <c r="F187" s="4">
        <f>ROUND(Source!BD162,O187)</f>
        <v>0</v>
      </c>
      <c r="G187" s="4" t="s">
        <v>132</v>
      </c>
      <c r="H187" s="4" t="s">
        <v>133</v>
      </c>
      <c r="I187" s="4"/>
      <c r="J187" s="4"/>
      <c r="K187" s="4">
        <v>233</v>
      </c>
      <c r="L187" s="4">
        <v>24</v>
      </c>
      <c r="M187" s="4">
        <v>3</v>
      </c>
      <c r="N187" s="4" t="s">
        <v>3</v>
      </c>
      <c r="O187" s="4">
        <v>2</v>
      </c>
      <c r="P187" s="4"/>
      <c r="Q187" s="4"/>
      <c r="R187" s="4"/>
      <c r="S187" s="4"/>
      <c r="T187" s="4"/>
      <c r="U187" s="4"/>
      <c r="V187" s="4"/>
      <c r="W187" s="4">
        <v>0</v>
      </c>
      <c r="X187" s="4">
        <v>1</v>
      </c>
      <c r="Y187" s="4">
        <v>0</v>
      </c>
      <c r="Z187" s="4"/>
      <c r="AA187" s="4"/>
      <c r="AB187" s="4"/>
    </row>
    <row r="188" spans="1:88" x14ac:dyDescent="0.2">
      <c r="A188" s="4">
        <v>50</v>
      </c>
      <c r="B188" s="4">
        <v>0</v>
      </c>
      <c r="C188" s="4">
        <v>0</v>
      </c>
      <c r="D188" s="4">
        <v>1</v>
      </c>
      <c r="E188" s="4">
        <v>210</v>
      </c>
      <c r="F188" s="4">
        <f>ROUND(Source!X162,O188)</f>
        <v>574.45000000000005</v>
      </c>
      <c r="G188" s="4" t="s">
        <v>134</v>
      </c>
      <c r="H188" s="4" t="s">
        <v>135</v>
      </c>
      <c r="I188" s="4"/>
      <c r="J188" s="4"/>
      <c r="K188" s="4">
        <v>210</v>
      </c>
      <c r="L188" s="4">
        <v>25</v>
      </c>
      <c r="M188" s="4">
        <v>3</v>
      </c>
      <c r="N188" s="4" t="s">
        <v>3</v>
      </c>
      <c r="O188" s="4">
        <v>2</v>
      </c>
      <c r="P188" s="4"/>
      <c r="Q188" s="4"/>
      <c r="R188" s="4"/>
      <c r="S188" s="4"/>
      <c r="T188" s="4"/>
      <c r="U188" s="4"/>
      <c r="V188" s="4"/>
      <c r="W188" s="4">
        <v>574.45000000000005</v>
      </c>
      <c r="X188" s="4">
        <v>1</v>
      </c>
      <c r="Y188" s="4">
        <v>574.45000000000005</v>
      </c>
      <c r="Z188" s="4"/>
      <c r="AA188" s="4"/>
      <c r="AB188" s="4"/>
    </row>
    <row r="189" spans="1:88" x14ac:dyDescent="0.2">
      <c r="A189" s="4">
        <v>50</v>
      </c>
      <c r="B189" s="4">
        <v>0</v>
      </c>
      <c r="C189" s="4">
        <v>0</v>
      </c>
      <c r="D189" s="4">
        <v>1</v>
      </c>
      <c r="E189" s="4">
        <v>211</v>
      </c>
      <c r="F189" s="4">
        <f>ROUND(Source!Y162,O189)</f>
        <v>82.06</v>
      </c>
      <c r="G189" s="4" t="s">
        <v>136</v>
      </c>
      <c r="H189" s="4" t="s">
        <v>137</v>
      </c>
      <c r="I189" s="4"/>
      <c r="J189" s="4"/>
      <c r="K189" s="4">
        <v>211</v>
      </c>
      <c r="L189" s="4">
        <v>26</v>
      </c>
      <c r="M189" s="4">
        <v>3</v>
      </c>
      <c r="N189" s="4" t="s">
        <v>3</v>
      </c>
      <c r="O189" s="4">
        <v>2</v>
      </c>
      <c r="P189" s="4"/>
      <c r="Q189" s="4"/>
      <c r="R189" s="4"/>
      <c r="S189" s="4"/>
      <c r="T189" s="4"/>
      <c r="U189" s="4"/>
      <c r="V189" s="4"/>
      <c r="W189" s="4">
        <v>82.06</v>
      </c>
      <c r="X189" s="4">
        <v>1</v>
      </c>
      <c r="Y189" s="4">
        <v>82.06</v>
      </c>
      <c r="Z189" s="4"/>
      <c r="AA189" s="4"/>
      <c r="AB189" s="4"/>
    </row>
    <row r="190" spans="1:88" x14ac:dyDescent="0.2">
      <c r="A190" s="4">
        <v>50</v>
      </c>
      <c r="B190" s="4">
        <v>0</v>
      </c>
      <c r="C190" s="4">
        <v>0</v>
      </c>
      <c r="D190" s="4">
        <v>1</v>
      </c>
      <c r="E190" s="4">
        <v>224</v>
      </c>
      <c r="F190" s="4">
        <f>ROUND(Source!AR162,O190)</f>
        <v>2111.0100000000002</v>
      </c>
      <c r="G190" s="4" t="s">
        <v>138</v>
      </c>
      <c r="H190" s="4" t="s">
        <v>139</v>
      </c>
      <c r="I190" s="4"/>
      <c r="J190" s="4"/>
      <c r="K190" s="4">
        <v>224</v>
      </c>
      <c r="L190" s="4">
        <v>27</v>
      </c>
      <c r="M190" s="4">
        <v>3</v>
      </c>
      <c r="N190" s="4" t="s">
        <v>3</v>
      </c>
      <c r="O190" s="4">
        <v>2</v>
      </c>
      <c r="P190" s="4"/>
      <c r="Q190" s="4"/>
      <c r="R190" s="4"/>
      <c r="S190" s="4"/>
      <c r="T190" s="4"/>
      <c r="U190" s="4"/>
      <c r="V190" s="4"/>
      <c r="W190" s="4">
        <v>2111.0100000000002</v>
      </c>
      <c r="X190" s="4">
        <v>1</v>
      </c>
      <c r="Y190" s="4">
        <v>2111.0100000000002</v>
      </c>
      <c r="Z190" s="4"/>
      <c r="AA190" s="4"/>
      <c r="AB190" s="4"/>
    </row>
    <row r="192" spans="1:88" x14ac:dyDescent="0.2">
      <c r="A192" s="1">
        <v>5</v>
      </c>
      <c r="B192" s="1">
        <v>1</v>
      </c>
      <c r="C192" s="1"/>
      <c r="D192" s="1">
        <f>ROW(A210)</f>
        <v>210</v>
      </c>
      <c r="E192" s="1"/>
      <c r="F192" s="1" t="s">
        <v>15</v>
      </c>
      <c r="G192" s="1" t="s">
        <v>175</v>
      </c>
      <c r="H192" s="1" t="s">
        <v>3</v>
      </c>
      <c r="I192" s="1">
        <v>0</v>
      </c>
      <c r="J192" s="1"/>
      <c r="K192" s="1">
        <v>0</v>
      </c>
      <c r="L192" s="1"/>
      <c r="M192" s="1" t="s">
        <v>3</v>
      </c>
      <c r="N192" s="1"/>
      <c r="O192" s="1"/>
      <c r="P192" s="1"/>
      <c r="Q192" s="1"/>
      <c r="R192" s="1"/>
      <c r="S192" s="1">
        <v>0</v>
      </c>
      <c r="T192" s="1"/>
      <c r="U192" s="1" t="s">
        <v>3</v>
      </c>
      <c r="V192" s="1">
        <v>0</v>
      </c>
      <c r="W192" s="1"/>
      <c r="X192" s="1"/>
      <c r="Y192" s="1"/>
      <c r="Z192" s="1"/>
      <c r="AA192" s="1"/>
      <c r="AB192" s="1" t="s">
        <v>3</v>
      </c>
      <c r="AC192" s="1" t="s">
        <v>3</v>
      </c>
      <c r="AD192" s="1" t="s">
        <v>3</v>
      </c>
      <c r="AE192" s="1" t="s">
        <v>3</v>
      </c>
      <c r="AF192" s="1" t="s">
        <v>3</v>
      </c>
      <c r="AG192" s="1" t="s">
        <v>3</v>
      </c>
      <c r="AH192" s="1"/>
      <c r="AI192" s="1"/>
      <c r="AJ192" s="1"/>
      <c r="AK192" s="1"/>
      <c r="AL192" s="1"/>
      <c r="AM192" s="1"/>
      <c r="AN192" s="1"/>
      <c r="AO192" s="1"/>
      <c r="AP192" s="1" t="s">
        <v>3</v>
      </c>
      <c r="AQ192" s="1" t="s">
        <v>3</v>
      </c>
      <c r="AR192" s="1" t="s">
        <v>3</v>
      </c>
      <c r="AS192" s="1"/>
      <c r="AT192" s="1"/>
      <c r="AU192" s="1"/>
      <c r="AV192" s="1"/>
      <c r="AW192" s="1"/>
      <c r="AX192" s="1"/>
      <c r="AY192" s="1"/>
      <c r="AZ192" s="1" t="s">
        <v>3</v>
      </c>
      <c r="BA192" s="1"/>
      <c r="BB192" s="1" t="s">
        <v>3</v>
      </c>
      <c r="BC192" s="1" t="s">
        <v>3</v>
      </c>
      <c r="BD192" s="1" t="s">
        <v>3</v>
      </c>
      <c r="BE192" s="1" t="s">
        <v>3</v>
      </c>
      <c r="BF192" s="1" t="s">
        <v>3</v>
      </c>
      <c r="BG192" s="1" t="s">
        <v>3</v>
      </c>
      <c r="BH192" s="1" t="s">
        <v>3</v>
      </c>
      <c r="BI192" s="1" t="s">
        <v>3</v>
      </c>
      <c r="BJ192" s="1" t="s">
        <v>3</v>
      </c>
      <c r="BK192" s="1" t="s">
        <v>3</v>
      </c>
      <c r="BL192" s="1" t="s">
        <v>3</v>
      </c>
      <c r="BM192" s="1" t="s">
        <v>3</v>
      </c>
      <c r="BN192" s="1" t="s">
        <v>3</v>
      </c>
      <c r="BO192" s="1" t="s">
        <v>3</v>
      </c>
      <c r="BP192" s="1" t="s">
        <v>3</v>
      </c>
      <c r="BQ192" s="1"/>
      <c r="BR192" s="1"/>
      <c r="BS192" s="1"/>
      <c r="BT192" s="1"/>
      <c r="BU192" s="1"/>
      <c r="BV192" s="1"/>
      <c r="BW192" s="1"/>
      <c r="BX192" s="1">
        <v>0</v>
      </c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>
        <v>0</v>
      </c>
    </row>
    <row r="194" spans="1:245" x14ac:dyDescent="0.2">
      <c r="A194" s="2">
        <v>52</v>
      </c>
      <c r="B194" s="2">
        <f t="shared" ref="B194:G194" si="130">B210</f>
        <v>1</v>
      </c>
      <c r="C194" s="2">
        <f t="shared" si="130"/>
        <v>5</v>
      </c>
      <c r="D194" s="2">
        <f t="shared" si="130"/>
        <v>192</v>
      </c>
      <c r="E194" s="2">
        <f t="shared" si="130"/>
        <v>0</v>
      </c>
      <c r="F194" s="2" t="str">
        <f t="shared" si="130"/>
        <v>Новый подраздел</v>
      </c>
      <c r="G194" s="2" t="str">
        <f t="shared" si="130"/>
        <v>Инженерные сети</v>
      </c>
      <c r="H194" s="2"/>
      <c r="I194" s="2"/>
      <c r="J194" s="2"/>
      <c r="K194" s="2"/>
      <c r="L194" s="2"/>
      <c r="M194" s="2"/>
      <c r="N194" s="2"/>
      <c r="O194" s="2">
        <f t="shared" ref="O194:AT194" si="131">O210</f>
        <v>19529.349999999999</v>
      </c>
      <c r="P194" s="2">
        <f t="shared" si="131"/>
        <v>17171.68</v>
      </c>
      <c r="Q194" s="2">
        <f t="shared" si="131"/>
        <v>0.12</v>
      </c>
      <c r="R194" s="2">
        <f t="shared" si="131"/>
        <v>0.04</v>
      </c>
      <c r="S194" s="2">
        <f t="shared" si="131"/>
        <v>2357.5500000000002</v>
      </c>
      <c r="T194" s="2">
        <f t="shared" si="131"/>
        <v>0</v>
      </c>
      <c r="U194" s="2">
        <f t="shared" si="131"/>
        <v>4.7559200000000006</v>
      </c>
      <c r="V194" s="2">
        <f t="shared" si="131"/>
        <v>0</v>
      </c>
      <c r="W194" s="2">
        <f t="shared" si="131"/>
        <v>0</v>
      </c>
      <c r="X194" s="2">
        <f t="shared" si="131"/>
        <v>1650.3</v>
      </c>
      <c r="Y194" s="2">
        <f t="shared" si="131"/>
        <v>235.77</v>
      </c>
      <c r="Z194" s="2">
        <f t="shared" si="131"/>
        <v>0</v>
      </c>
      <c r="AA194" s="2">
        <f t="shared" si="131"/>
        <v>0</v>
      </c>
      <c r="AB194" s="2">
        <f t="shared" si="131"/>
        <v>19529.349999999999</v>
      </c>
      <c r="AC194" s="2">
        <f t="shared" si="131"/>
        <v>17171.68</v>
      </c>
      <c r="AD194" s="2">
        <f t="shared" si="131"/>
        <v>0.12</v>
      </c>
      <c r="AE194" s="2">
        <f t="shared" si="131"/>
        <v>0.04</v>
      </c>
      <c r="AF194" s="2">
        <f t="shared" si="131"/>
        <v>2357.5500000000002</v>
      </c>
      <c r="AG194" s="2">
        <f t="shared" si="131"/>
        <v>0</v>
      </c>
      <c r="AH194" s="2">
        <f t="shared" si="131"/>
        <v>4.7559200000000006</v>
      </c>
      <c r="AI194" s="2">
        <f t="shared" si="131"/>
        <v>0</v>
      </c>
      <c r="AJ194" s="2">
        <f t="shared" si="131"/>
        <v>0</v>
      </c>
      <c r="AK194" s="2">
        <f t="shared" si="131"/>
        <v>1650.3</v>
      </c>
      <c r="AL194" s="2">
        <f t="shared" si="131"/>
        <v>235.77</v>
      </c>
      <c r="AM194" s="2">
        <f t="shared" si="131"/>
        <v>0</v>
      </c>
      <c r="AN194" s="2">
        <f t="shared" si="131"/>
        <v>0</v>
      </c>
      <c r="AO194" s="2">
        <f t="shared" si="131"/>
        <v>0</v>
      </c>
      <c r="AP194" s="2">
        <f t="shared" si="131"/>
        <v>0</v>
      </c>
      <c r="AQ194" s="2">
        <f t="shared" si="131"/>
        <v>0</v>
      </c>
      <c r="AR194" s="2">
        <f t="shared" si="131"/>
        <v>21415.46</v>
      </c>
      <c r="AS194" s="2">
        <f t="shared" si="131"/>
        <v>0</v>
      </c>
      <c r="AT194" s="2">
        <f t="shared" si="131"/>
        <v>0</v>
      </c>
      <c r="AU194" s="2">
        <f t="shared" ref="AU194:BZ194" si="132">AU210</f>
        <v>21415.46</v>
      </c>
      <c r="AV194" s="2">
        <f t="shared" si="132"/>
        <v>17171.68</v>
      </c>
      <c r="AW194" s="2">
        <f t="shared" si="132"/>
        <v>17171.68</v>
      </c>
      <c r="AX194" s="2">
        <f t="shared" si="132"/>
        <v>0</v>
      </c>
      <c r="AY194" s="2">
        <f t="shared" si="132"/>
        <v>17171.68</v>
      </c>
      <c r="AZ194" s="2">
        <f t="shared" si="132"/>
        <v>0</v>
      </c>
      <c r="BA194" s="2">
        <f t="shared" si="132"/>
        <v>0</v>
      </c>
      <c r="BB194" s="2">
        <f t="shared" si="132"/>
        <v>0</v>
      </c>
      <c r="BC194" s="2">
        <f t="shared" si="132"/>
        <v>0</v>
      </c>
      <c r="BD194" s="2">
        <f t="shared" si="132"/>
        <v>0</v>
      </c>
      <c r="BE194" s="2">
        <f t="shared" si="132"/>
        <v>0</v>
      </c>
      <c r="BF194" s="2">
        <f t="shared" si="132"/>
        <v>0</v>
      </c>
      <c r="BG194" s="2">
        <f t="shared" si="132"/>
        <v>0</v>
      </c>
      <c r="BH194" s="2">
        <f t="shared" si="132"/>
        <v>0</v>
      </c>
      <c r="BI194" s="2">
        <f t="shared" si="132"/>
        <v>0</v>
      </c>
      <c r="BJ194" s="2">
        <f t="shared" si="132"/>
        <v>0</v>
      </c>
      <c r="BK194" s="2">
        <f t="shared" si="132"/>
        <v>0</v>
      </c>
      <c r="BL194" s="2">
        <f t="shared" si="132"/>
        <v>0</v>
      </c>
      <c r="BM194" s="2">
        <f t="shared" si="132"/>
        <v>0</v>
      </c>
      <c r="BN194" s="2">
        <f t="shared" si="132"/>
        <v>0</v>
      </c>
      <c r="BO194" s="2">
        <f t="shared" si="132"/>
        <v>0</v>
      </c>
      <c r="BP194" s="2">
        <f t="shared" si="132"/>
        <v>0</v>
      </c>
      <c r="BQ194" s="2">
        <f t="shared" si="132"/>
        <v>0</v>
      </c>
      <c r="BR194" s="2">
        <f t="shared" si="132"/>
        <v>0</v>
      </c>
      <c r="BS194" s="2">
        <f t="shared" si="132"/>
        <v>0</v>
      </c>
      <c r="BT194" s="2">
        <f t="shared" si="132"/>
        <v>0</v>
      </c>
      <c r="BU194" s="2">
        <f t="shared" si="132"/>
        <v>0</v>
      </c>
      <c r="BV194" s="2">
        <f t="shared" si="132"/>
        <v>0</v>
      </c>
      <c r="BW194" s="2">
        <f t="shared" si="132"/>
        <v>0</v>
      </c>
      <c r="BX194" s="2">
        <f t="shared" si="132"/>
        <v>0</v>
      </c>
      <c r="BY194" s="2">
        <f t="shared" si="132"/>
        <v>0</v>
      </c>
      <c r="BZ194" s="2">
        <f t="shared" si="132"/>
        <v>0</v>
      </c>
      <c r="CA194" s="2">
        <f t="shared" ref="CA194:DF194" si="133">CA210</f>
        <v>21415.46</v>
      </c>
      <c r="CB194" s="2">
        <f t="shared" si="133"/>
        <v>0</v>
      </c>
      <c r="CC194" s="2">
        <f t="shared" si="133"/>
        <v>0</v>
      </c>
      <c r="CD194" s="2">
        <f t="shared" si="133"/>
        <v>21415.46</v>
      </c>
      <c r="CE194" s="2">
        <f t="shared" si="133"/>
        <v>17171.68</v>
      </c>
      <c r="CF194" s="2">
        <f t="shared" si="133"/>
        <v>17171.68</v>
      </c>
      <c r="CG194" s="2">
        <f t="shared" si="133"/>
        <v>0</v>
      </c>
      <c r="CH194" s="2">
        <f t="shared" si="133"/>
        <v>17171.68</v>
      </c>
      <c r="CI194" s="2">
        <f t="shared" si="133"/>
        <v>0</v>
      </c>
      <c r="CJ194" s="2">
        <f t="shared" si="133"/>
        <v>0</v>
      </c>
      <c r="CK194" s="2">
        <f t="shared" si="133"/>
        <v>0</v>
      </c>
      <c r="CL194" s="2">
        <f t="shared" si="133"/>
        <v>0</v>
      </c>
      <c r="CM194" s="2">
        <f t="shared" si="133"/>
        <v>0</v>
      </c>
      <c r="CN194" s="2">
        <f t="shared" si="133"/>
        <v>0</v>
      </c>
      <c r="CO194" s="2">
        <f t="shared" si="133"/>
        <v>0</v>
      </c>
      <c r="CP194" s="2">
        <f t="shared" si="133"/>
        <v>0</v>
      </c>
      <c r="CQ194" s="2">
        <f t="shared" si="133"/>
        <v>0</v>
      </c>
      <c r="CR194" s="2">
        <f t="shared" si="133"/>
        <v>0</v>
      </c>
      <c r="CS194" s="2">
        <f t="shared" si="133"/>
        <v>0</v>
      </c>
      <c r="CT194" s="2">
        <f t="shared" si="133"/>
        <v>0</v>
      </c>
      <c r="CU194" s="2">
        <f t="shared" si="133"/>
        <v>0</v>
      </c>
      <c r="CV194" s="2">
        <f t="shared" si="133"/>
        <v>0</v>
      </c>
      <c r="CW194" s="2">
        <f t="shared" si="133"/>
        <v>0</v>
      </c>
      <c r="CX194" s="2">
        <f t="shared" si="133"/>
        <v>0</v>
      </c>
      <c r="CY194" s="2">
        <f t="shared" si="133"/>
        <v>0</v>
      </c>
      <c r="CZ194" s="2">
        <f t="shared" si="133"/>
        <v>0</v>
      </c>
      <c r="DA194" s="2">
        <f t="shared" si="133"/>
        <v>0</v>
      </c>
      <c r="DB194" s="2">
        <f t="shared" si="133"/>
        <v>0</v>
      </c>
      <c r="DC194" s="2">
        <f t="shared" si="133"/>
        <v>0</v>
      </c>
      <c r="DD194" s="2">
        <f t="shared" si="133"/>
        <v>0</v>
      </c>
      <c r="DE194" s="2">
        <f t="shared" si="133"/>
        <v>0</v>
      </c>
      <c r="DF194" s="2">
        <f t="shared" si="133"/>
        <v>0</v>
      </c>
      <c r="DG194" s="3">
        <f t="shared" ref="DG194:EL194" si="134">DG210</f>
        <v>0</v>
      </c>
      <c r="DH194" s="3">
        <f t="shared" si="134"/>
        <v>0</v>
      </c>
      <c r="DI194" s="3">
        <f t="shared" si="134"/>
        <v>0</v>
      </c>
      <c r="DJ194" s="3">
        <f t="shared" si="134"/>
        <v>0</v>
      </c>
      <c r="DK194" s="3">
        <f t="shared" si="134"/>
        <v>0</v>
      </c>
      <c r="DL194" s="3">
        <f t="shared" si="134"/>
        <v>0</v>
      </c>
      <c r="DM194" s="3">
        <f t="shared" si="134"/>
        <v>0</v>
      </c>
      <c r="DN194" s="3">
        <f t="shared" si="134"/>
        <v>0</v>
      </c>
      <c r="DO194" s="3">
        <f t="shared" si="134"/>
        <v>0</v>
      </c>
      <c r="DP194" s="3">
        <f t="shared" si="134"/>
        <v>0</v>
      </c>
      <c r="DQ194" s="3">
        <f t="shared" si="134"/>
        <v>0</v>
      </c>
      <c r="DR194" s="3">
        <f t="shared" si="134"/>
        <v>0</v>
      </c>
      <c r="DS194" s="3">
        <f t="shared" si="134"/>
        <v>0</v>
      </c>
      <c r="DT194" s="3">
        <f t="shared" si="134"/>
        <v>0</v>
      </c>
      <c r="DU194" s="3">
        <f t="shared" si="134"/>
        <v>0</v>
      </c>
      <c r="DV194" s="3">
        <f t="shared" si="134"/>
        <v>0</v>
      </c>
      <c r="DW194" s="3">
        <f t="shared" si="134"/>
        <v>0</v>
      </c>
      <c r="DX194" s="3">
        <f t="shared" si="134"/>
        <v>0</v>
      </c>
      <c r="DY194" s="3">
        <f t="shared" si="134"/>
        <v>0</v>
      </c>
      <c r="DZ194" s="3">
        <f t="shared" si="134"/>
        <v>0</v>
      </c>
      <c r="EA194" s="3">
        <f t="shared" si="134"/>
        <v>0</v>
      </c>
      <c r="EB194" s="3">
        <f t="shared" si="134"/>
        <v>0</v>
      </c>
      <c r="EC194" s="3">
        <f t="shared" si="134"/>
        <v>0</v>
      </c>
      <c r="ED194" s="3">
        <f t="shared" si="134"/>
        <v>0</v>
      </c>
      <c r="EE194" s="3">
        <f t="shared" si="134"/>
        <v>0</v>
      </c>
      <c r="EF194" s="3">
        <f t="shared" si="134"/>
        <v>0</v>
      </c>
      <c r="EG194" s="3">
        <f t="shared" si="134"/>
        <v>0</v>
      </c>
      <c r="EH194" s="3">
        <f t="shared" si="134"/>
        <v>0</v>
      </c>
      <c r="EI194" s="3">
        <f t="shared" si="134"/>
        <v>0</v>
      </c>
      <c r="EJ194" s="3">
        <f t="shared" si="134"/>
        <v>0</v>
      </c>
      <c r="EK194" s="3">
        <f t="shared" si="134"/>
        <v>0</v>
      </c>
      <c r="EL194" s="3">
        <f t="shared" si="134"/>
        <v>0</v>
      </c>
      <c r="EM194" s="3">
        <f t="shared" ref="EM194:FR194" si="135">EM210</f>
        <v>0</v>
      </c>
      <c r="EN194" s="3">
        <f t="shared" si="135"/>
        <v>0</v>
      </c>
      <c r="EO194" s="3">
        <f t="shared" si="135"/>
        <v>0</v>
      </c>
      <c r="EP194" s="3">
        <f t="shared" si="135"/>
        <v>0</v>
      </c>
      <c r="EQ194" s="3">
        <f t="shared" si="135"/>
        <v>0</v>
      </c>
      <c r="ER194" s="3">
        <f t="shared" si="135"/>
        <v>0</v>
      </c>
      <c r="ES194" s="3">
        <f t="shared" si="135"/>
        <v>0</v>
      </c>
      <c r="ET194" s="3">
        <f t="shared" si="135"/>
        <v>0</v>
      </c>
      <c r="EU194" s="3">
        <f t="shared" si="135"/>
        <v>0</v>
      </c>
      <c r="EV194" s="3">
        <f t="shared" si="135"/>
        <v>0</v>
      </c>
      <c r="EW194" s="3">
        <f t="shared" si="135"/>
        <v>0</v>
      </c>
      <c r="EX194" s="3">
        <f t="shared" si="135"/>
        <v>0</v>
      </c>
      <c r="EY194" s="3">
        <f t="shared" si="135"/>
        <v>0</v>
      </c>
      <c r="EZ194" s="3">
        <f t="shared" si="135"/>
        <v>0</v>
      </c>
      <c r="FA194" s="3">
        <f t="shared" si="135"/>
        <v>0</v>
      </c>
      <c r="FB194" s="3">
        <f t="shared" si="135"/>
        <v>0</v>
      </c>
      <c r="FC194" s="3">
        <f t="shared" si="135"/>
        <v>0</v>
      </c>
      <c r="FD194" s="3">
        <f t="shared" si="135"/>
        <v>0</v>
      </c>
      <c r="FE194" s="3">
        <f t="shared" si="135"/>
        <v>0</v>
      </c>
      <c r="FF194" s="3">
        <f t="shared" si="135"/>
        <v>0</v>
      </c>
      <c r="FG194" s="3">
        <f t="shared" si="135"/>
        <v>0</v>
      </c>
      <c r="FH194" s="3">
        <f t="shared" si="135"/>
        <v>0</v>
      </c>
      <c r="FI194" s="3">
        <f t="shared" si="135"/>
        <v>0</v>
      </c>
      <c r="FJ194" s="3">
        <f t="shared" si="135"/>
        <v>0</v>
      </c>
      <c r="FK194" s="3">
        <f t="shared" si="135"/>
        <v>0</v>
      </c>
      <c r="FL194" s="3">
        <f t="shared" si="135"/>
        <v>0</v>
      </c>
      <c r="FM194" s="3">
        <f t="shared" si="135"/>
        <v>0</v>
      </c>
      <c r="FN194" s="3">
        <f t="shared" si="135"/>
        <v>0</v>
      </c>
      <c r="FO194" s="3">
        <f t="shared" si="135"/>
        <v>0</v>
      </c>
      <c r="FP194" s="3">
        <f t="shared" si="135"/>
        <v>0</v>
      </c>
      <c r="FQ194" s="3">
        <f t="shared" si="135"/>
        <v>0</v>
      </c>
      <c r="FR194" s="3">
        <f t="shared" si="135"/>
        <v>0</v>
      </c>
      <c r="FS194" s="3">
        <f t="shared" ref="FS194:GX194" si="136">FS210</f>
        <v>0</v>
      </c>
      <c r="FT194" s="3">
        <f t="shared" si="136"/>
        <v>0</v>
      </c>
      <c r="FU194" s="3">
        <f t="shared" si="136"/>
        <v>0</v>
      </c>
      <c r="FV194" s="3">
        <f t="shared" si="136"/>
        <v>0</v>
      </c>
      <c r="FW194" s="3">
        <f t="shared" si="136"/>
        <v>0</v>
      </c>
      <c r="FX194" s="3">
        <f t="shared" si="136"/>
        <v>0</v>
      </c>
      <c r="FY194" s="3">
        <f t="shared" si="136"/>
        <v>0</v>
      </c>
      <c r="FZ194" s="3">
        <f t="shared" si="136"/>
        <v>0</v>
      </c>
      <c r="GA194" s="3">
        <f t="shared" si="136"/>
        <v>0</v>
      </c>
      <c r="GB194" s="3">
        <f t="shared" si="136"/>
        <v>0</v>
      </c>
      <c r="GC194" s="3">
        <f t="shared" si="136"/>
        <v>0</v>
      </c>
      <c r="GD194" s="3">
        <f t="shared" si="136"/>
        <v>0</v>
      </c>
      <c r="GE194" s="3">
        <f t="shared" si="136"/>
        <v>0</v>
      </c>
      <c r="GF194" s="3">
        <f t="shared" si="136"/>
        <v>0</v>
      </c>
      <c r="GG194" s="3">
        <f t="shared" si="136"/>
        <v>0</v>
      </c>
      <c r="GH194" s="3">
        <f t="shared" si="136"/>
        <v>0</v>
      </c>
      <c r="GI194" s="3">
        <f t="shared" si="136"/>
        <v>0</v>
      </c>
      <c r="GJ194" s="3">
        <f t="shared" si="136"/>
        <v>0</v>
      </c>
      <c r="GK194" s="3">
        <f t="shared" si="136"/>
        <v>0</v>
      </c>
      <c r="GL194" s="3">
        <f t="shared" si="136"/>
        <v>0</v>
      </c>
      <c r="GM194" s="3">
        <f t="shared" si="136"/>
        <v>0</v>
      </c>
      <c r="GN194" s="3">
        <f t="shared" si="136"/>
        <v>0</v>
      </c>
      <c r="GO194" s="3">
        <f t="shared" si="136"/>
        <v>0</v>
      </c>
      <c r="GP194" s="3">
        <f t="shared" si="136"/>
        <v>0</v>
      </c>
      <c r="GQ194" s="3">
        <f t="shared" si="136"/>
        <v>0</v>
      </c>
      <c r="GR194" s="3">
        <f t="shared" si="136"/>
        <v>0</v>
      </c>
      <c r="GS194" s="3">
        <f t="shared" si="136"/>
        <v>0</v>
      </c>
      <c r="GT194" s="3">
        <f t="shared" si="136"/>
        <v>0</v>
      </c>
      <c r="GU194" s="3">
        <f t="shared" si="136"/>
        <v>0</v>
      </c>
      <c r="GV194" s="3">
        <f t="shared" si="136"/>
        <v>0</v>
      </c>
      <c r="GW194" s="3">
        <f t="shared" si="136"/>
        <v>0</v>
      </c>
      <c r="GX194" s="3">
        <f t="shared" si="136"/>
        <v>0</v>
      </c>
    </row>
    <row r="196" spans="1:245" x14ac:dyDescent="0.2">
      <c r="A196">
        <v>17</v>
      </c>
      <c r="B196">
        <v>1</v>
      </c>
      <c r="C196">
        <f>ROW(SmtRes!A72)</f>
        <v>72</v>
      </c>
      <c r="D196">
        <f>ROW(EtalonRes!A70)</f>
        <v>70</v>
      </c>
      <c r="E196" t="s">
        <v>176</v>
      </c>
      <c r="F196" t="s">
        <v>177</v>
      </c>
      <c r="G196" t="s">
        <v>178</v>
      </c>
      <c r="H196" t="s">
        <v>179</v>
      </c>
      <c r="I196">
        <f>ROUND(1/100,9)</f>
        <v>0.01</v>
      </c>
      <c r="J196">
        <v>0</v>
      </c>
      <c r="K196">
        <f>ROUND(1/100,9)</f>
        <v>0.01</v>
      </c>
      <c r="O196">
        <f t="shared" ref="O196:O208" si="137">ROUND(CP196,2)</f>
        <v>276.27999999999997</v>
      </c>
      <c r="P196">
        <f t="shared" ref="P196:P208" si="138">ROUND(CQ196*I196,2)</f>
        <v>0</v>
      </c>
      <c r="Q196">
        <f t="shared" ref="Q196:Q208" si="139">ROUND(CR196*I196,2)</f>
        <v>0</v>
      </c>
      <c r="R196">
        <f t="shared" ref="R196:R208" si="140">ROUND(CS196*I196,2)</f>
        <v>0</v>
      </c>
      <c r="S196">
        <f t="shared" ref="S196:S208" si="141">ROUND(CT196*I196,2)</f>
        <v>276.27999999999997</v>
      </c>
      <c r="T196">
        <f t="shared" ref="T196:T208" si="142">ROUND(CU196*I196,2)</f>
        <v>0</v>
      </c>
      <c r="U196">
        <f t="shared" ref="U196:U208" si="143">CV196*I196</f>
        <v>0.60799999999999998</v>
      </c>
      <c r="V196">
        <f t="shared" ref="V196:V208" si="144">CW196*I196</f>
        <v>0</v>
      </c>
      <c r="W196">
        <f t="shared" ref="W196:W208" si="145">ROUND(CX196*I196,2)</f>
        <v>0</v>
      </c>
      <c r="X196">
        <f t="shared" ref="X196:X208" si="146">ROUND(CY196,2)</f>
        <v>193.4</v>
      </c>
      <c r="Y196">
        <f t="shared" ref="Y196:Y208" si="147">ROUND(CZ196,2)</f>
        <v>27.63</v>
      </c>
      <c r="AA196">
        <v>75703208</v>
      </c>
      <c r="AB196">
        <f t="shared" ref="AB196:AB208" si="148">ROUND((AC196+AD196+AF196),6)</f>
        <v>27627.52</v>
      </c>
      <c r="AC196">
        <f>ROUND((ES196),6)</f>
        <v>0</v>
      </c>
      <c r="AD196">
        <f>ROUND((((ET196)-(EU196))+AE196),6)</f>
        <v>0</v>
      </c>
      <c r="AE196">
        <f>ROUND((EU196),6)</f>
        <v>0</v>
      </c>
      <c r="AF196">
        <f>ROUND((EV196),6)</f>
        <v>27627.52</v>
      </c>
      <c r="AG196">
        <f t="shared" ref="AG196:AG208" si="149">ROUND((AP196),6)</f>
        <v>0</v>
      </c>
      <c r="AH196">
        <f>(EW196)</f>
        <v>60.8</v>
      </c>
      <c r="AI196">
        <f>(EX196)</f>
        <v>0</v>
      </c>
      <c r="AJ196">
        <f t="shared" ref="AJ196:AJ208" si="150">(AS196)</f>
        <v>0</v>
      </c>
      <c r="AK196">
        <v>27627.52</v>
      </c>
      <c r="AL196">
        <v>0</v>
      </c>
      <c r="AM196">
        <v>0</v>
      </c>
      <c r="AN196">
        <v>0</v>
      </c>
      <c r="AO196">
        <v>27627.52</v>
      </c>
      <c r="AP196">
        <v>0</v>
      </c>
      <c r="AQ196">
        <v>60.8</v>
      </c>
      <c r="AR196">
        <v>0</v>
      </c>
      <c r="AS196">
        <v>0</v>
      </c>
      <c r="AT196">
        <v>70</v>
      </c>
      <c r="AU196">
        <v>10</v>
      </c>
      <c r="AV196">
        <v>1</v>
      </c>
      <c r="AW196">
        <v>1</v>
      </c>
      <c r="AZ196">
        <v>1</v>
      </c>
      <c r="BA196">
        <v>1</v>
      </c>
      <c r="BB196">
        <v>1</v>
      </c>
      <c r="BC196">
        <v>1</v>
      </c>
      <c r="BD196" t="s">
        <v>3</v>
      </c>
      <c r="BE196" t="s">
        <v>3</v>
      </c>
      <c r="BF196" t="s">
        <v>3</v>
      </c>
      <c r="BG196" t="s">
        <v>3</v>
      </c>
      <c r="BH196">
        <v>0</v>
      </c>
      <c r="BI196">
        <v>4</v>
      </c>
      <c r="BJ196" t="s">
        <v>180</v>
      </c>
      <c r="BM196">
        <v>0</v>
      </c>
      <c r="BN196">
        <v>75371441</v>
      </c>
      <c r="BO196" t="s">
        <v>3</v>
      </c>
      <c r="BP196">
        <v>0</v>
      </c>
      <c r="BQ196">
        <v>1</v>
      </c>
      <c r="BR196">
        <v>0</v>
      </c>
      <c r="BS196">
        <v>1</v>
      </c>
      <c r="BT196">
        <v>1</v>
      </c>
      <c r="BU196">
        <v>1</v>
      </c>
      <c r="BV196">
        <v>1</v>
      </c>
      <c r="BW196">
        <v>1</v>
      </c>
      <c r="BX196">
        <v>1</v>
      </c>
      <c r="BY196" t="s">
        <v>3</v>
      </c>
      <c r="BZ196">
        <v>70</v>
      </c>
      <c r="CA196">
        <v>10</v>
      </c>
      <c r="CB196" t="s">
        <v>3</v>
      </c>
      <c r="CE196">
        <v>0</v>
      </c>
      <c r="CF196">
        <v>0</v>
      </c>
      <c r="CG196">
        <v>0</v>
      </c>
      <c r="CM196">
        <v>0</v>
      </c>
      <c r="CN196" t="s">
        <v>3</v>
      </c>
      <c r="CO196">
        <v>0</v>
      </c>
      <c r="CP196">
        <f t="shared" ref="CP196:CP208" si="151">(P196+Q196+S196)</f>
        <v>276.27999999999997</v>
      </c>
      <c r="CQ196">
        <f t="shared" ref="CQ196:CQ208" si="152">(AC196*BC196*AW196)</f>
        <v>0</v>
      </c>
      <c r="CR196">
        <f>((((ET196)*BB196-(EU196)*BS196)+AE196*BS196)*AV196)</f>
        <v>0</v>
      </c>
      <c r="CS196">
        <f t="shared" ref="CS196:CS208" si="153">(AE196*BS196*AV196)</f>
        <v>0</v>
      </c>
      <c r="CT196">
        <f t="shared" ref="CT196:CT208" si="154">(AF196*BA196*AV196)</f>
        <v>27627.52</v>
      </c>
      <c r="CU196">
        <f t="shared" ref="CU196:CU208" si="155">AG196</f>
        <v>0</v>
      </c>
      <c r="CV196">
        <f t="shared" ref="CV196:CV208" si="156">(AH196*AV196)</f>
        <v>60.8</v>
      </c>
      <c r="CW196">
        <f t="shared" ref="CW196:CW208" si="157">AI196</f>
        <v>0</v>
      </c>
      <c r="CX196">
        <f t="shared" ref="CX196:CX208" si="158">AJ196</f>
        <v>0</v>
      </c>
      <c r="CY196">
        <f t="shared" ref="CY196:CY208" si="159">((S196*BZ196)/100)</f>
        <v>193.39599999999999</v>
      </c>
      <c r="CZ196">
        <f t="shared" ref="CZ196:CZ208" si="160">((S196*CA196)/100)</f>
        <v>27.627999999999997</v>
      </c>
      <c r="DC196" t="s">
        <v>3</v>
      </c>
      <c r="DD196" t="s">
        <v>3</v>
      </c>
      <c r="DE196" t="s">
        <v>3</v>
      </c>
      <c r="DF196" t="s">
        <v>3</v>
      </c>
      <c r="DG196" t="s">
        <v>3</v>
      </c>
      <c r="DH196" t="s">
        <v>3</v>
      </c>
      <c r="DI196" t="s">
        <v>3</v>
      </c>
      <c r="DJ196" t="s">
        <v>3</v>
      </c>
      <c r="DK196" t="s">
        <v>3</v>
      </c>
      <c r="DL196" t="s">
        <v>3</v>
      </c>
      <c r="DM196" t="s">
        <v>3</v>
      </c>
      <c r="DN196">
        <v>0</v>
      </c>
      <c r="DO196">
        <v>0</v>
      </c>
      <c r="DP196">
        <v>1</v>
      </c>
      <c r="DQ196">
        <v>1</v>
      </c>
      <c r="DU196">
        <v>1013</v>
      </c>
      <c r="DV196" t="s">
        <v>179</v>
      </c>
      <c r="DW196" t="s">
        <v>179</v>
      </c>
      <c r="DX196">
        <v>1</v>
      </c>
      <c r="DZ196" t="s">
        <v>3</v>
      </c>
      <c r="EA196" t="s">
        <v>3</v>
      </c>
      <c r="EB196" t="s">
        <v>3</v>
      </c>
      <c r="EC196" t="s">
        <v>3</v>
      </c>
      <c r="EE196">
        <v>75371444</v>
      </c>
      <c r="EF196">
        <v>1</v>
      </c>
      <c r="EG196" t="s">
        <v>22</v>
      </c>
      <c r="EH196">
        <v>0</v>
      </c>
      <c r="EI196" t="s">
        <v>3</v>
      </c>
      <c r="EJ196">
        <v>4</v>
      </c>
      <c r="EK196">
        <v>0</v>
      </c>
      <c r="EL196" t="s">
        <v>23</v>
      </c>
      <c r="EM196" t="s">
        <v>24</v>
      </c>
      <c r="EO196" t="s">
        <v>3</v>
      </c>
      <c r="EQ196">
        <v>0</v>
      </c>
      <c r="ER196">
        <v>27627.52</v>
      </c>
      <c r="ES196">
        <v>0</v>
      </c>
      <c r="ET196">
        <v>0</v>
      </c>
      <c r="EU196">
        <v>0</v>
      </c>
      <c r="EV196">
        <v>27627.52</v>
      </c>
      <c r="EW196">
        <v>60.8</v>
      </c>
      <c r="EX196">
        <v>0</v>
      </c>
      <c r="EY196">
        <v>0</v>
      </c>
      <c r="FQ196">
        <v>0</v>
      </c>
      <c r="FR196">
        <f t="shared" ref="FR196:FR208" si="161">ROUND(IF(BI196=3,GM196,0),2)</f>
        <v>0</v>
      </c>
      <c r="FS196">
        <v>0</v>
      </c>
      <c r="FX196">
        <v>70</v>
      </c>
      <c r="FY196">
        <v>10</v>
      </c>
      <c r="GA196" t="s">
        <v>3</v>
      </c>
      <c r="GD196">
        <v>0</v>
      </c>
      <c r="GF196">
        <v>1450101547</v>
      </c>
      <c r="GG196">
        <v>2</v>
      </c>
      <c r="GH196">
        <v>1</v>
      </c>
      <c r="GI196">
        <v>-2</v>
      </c>
      <c r="GJ196">
        <v>0</v>
      </c>
      <c r="GK196">
        <f>ROUND(R196*(R12)/100,2)</f>
        <v>0</v>
      </c>
      <c r="GL196">
        <f t="shared" ref="GL196:GL208" si="162">ROUND(IF(AND(BH196=3,BI196=3,FS196&lt;&gt;0),P196,0),2)</f>
        <v>0</v>
      </c>
      <c r="GM196">
        <f t="shared" ref="GM196:GM208" si="163">ROUND(O196+X196+Y196+GK196,2)+GX196</f>
        <v>497.31</v>
      </c>
      <c r="GN196">
        <f t="shared" ref="GN196:GN208" si="164">IF(OR(BI196=0,BI196=1),GM196-GX196,0)</f>
        <v>0</v>
      </c>
      <c r="GO196">
        <f t="shared" ref="GO196:GO208" si="165">IF(BI196=2,GM196-GX196,0)</f>
        <v>0</v>
      </c>
      <c r="GP196">
        <f t="shared" ref="GP196:GP208" si="166">IF(BI196=4,GM196-GX196,0)</f>
        <v>497.31</v>
      </c>
      <c r="GR196">
        <v>0</v>
      </c>
      <c r="GS196">
        <v>3</v>
      </c>
      <c r="GT196">
        <v>0</v>
      </c>
      <c r="GU196" t="s">
        <v>3</v>
      </c>
      <c r="GV196">
        <f t="shared" ref="GV196:GV208" si="167">ROUND((GT196),6)</f>
        <v>0</v>
      </c>
      <c r="GW196">
        <v>1</v>
      </c>
      <c r="GX196">
        <f t="shared" ref="GX196:GX208" si="168">ROUND(HC196*I196,2)</f>
        <v>0</v>
      </c>
      <c r="HA196">
        <v>0</v>
      </c>
      <c r="HB196">
        <v>0</v>
      </c>
      <c r="HC196">
        <f t="shared" ref="HC196:HC208" si="169">GV196*GW196</f>
        <v>0</v>
      </c>
      <c r="HE196" t="s">
        <v>3</v>
      </c>
      <c r="HF196" t="s">
        <v>3</v>
      </c>
      <c r="HM196" t="s">
        <v>3</v>
      </c>
      <c r="HN196" t="s">
        <v>3</v>
      </c>
      <c r="HO196" t="s">
        <v>3</v>
      </c>
      <c r="HP196" t="s">
        <v>3</v>
      </c>
      <c r="HQ196" t="s">
        <v>3</v>
      </c>
      <c r="IK196">
        <v>0</v>
      </c>
    </row>
    <row r="197" spans="1:245" x14ac:dyDescent="0.2">
      <c r="A197">
        <v>17</v>
      </c>
      <c r="B197">
        <v>1</v>
      </c>
      <c r="C197">
        <f>ROW(SmtRes!A76)</f>
        <v>76</v>
      </c>
      <c r="D197">
        <f>ROW(EtalonRes!A74)</f>
        <v>74</v>
      </c>
      <c r="E197" t="s">
        <v>181</v>
      </c>
      <c r="F197" t="s">
        <v>182</v>
      </c>
      <c r="G197" t="s">
        <v>183</v>
      </c>
      <c r="H197" t="s">
        <v>184</v>
      </c>
      <c r="I197">
        <f>ROUND(1/100,9)</f>
        <v>0.01</v>
      </c>
      <c r="J197">
        <v>0</v>
      </c>
      <c r="K197">
        <f>ROUND(1/100,9)</f>
        <v>0.01</v>
      </c>
      <c r="O197">
        <f t="shared" si="137"/>
        <v>62.77</v>
      </c>
      <c r="P197">
        <f t="shared" si="138"/>
        <v>0</v>
      </c>
      <c r="Q197">
        <f t="shared" si="139"/>
        <v>0</v>
      </c>
      <c r="R197">
        <f t="shared" si="140"/>
        <v>0</v>
      </c>
      <c r="S197">
        <f t="shared" si="141"/>
        <v>62.77</v>
      </c>
      <c r="T197">
        <f t="shared" si="142"/>
        <v>0</v>
      </c>
      <c r="U197">
        <f t="shared" si="143"/>
        <v>0.15572000000000003</v>
      </c>
      <c r="V197">
        <f t="shared" si="144"/>
        <v>0</v>
      </c>
      <c r="W197">
        <f t="shared" si="145"/>
        <v>0</v>
      </c>
      <c r="X197">
        <f t="shared" si="146"/>
        <v>43.94</v>
      </c>
      <c r="Y197">
        <f t="shared" si="147"/>
        <v>6.28</v>
      </c>
      <c r="AA197">
        <v>75703208</v>
      </c>
      <c r="AB197">
        <f t="shared" si="148"/>
        <v>6277.0739999999996</v>
      </c>
      <c r="AC197">
        <f>ROUND(((ES197*0)),6)</f>
        <v>0</v>
      </c>
      <c r="AD197">
        <f>ROUND(((((ET197*0.2))-((EU197*0.2)))+AE197),6)</f>
        <v>0</v>
      </c>
      <c r="AE197">
        <f>ROUND(((EU197*0.2)),6)</f>
        <v>0</v>
      </c>
      <c r="AF197">
        <f>ROUND(((EV197*0.2)),6)</f>
        <v>6277.0739999999996</v>
      </c>
      <c r="AG197">
        <f t="shared" si="149"/>
        <v>0</v>
      </c>
      <c r="AH197">
        <f>((EW197*0.2))</f>
        <v>15.572000000000001</v>
      </c>
      <c r="AI197">
        <f>((EX197*0.2))</f>
        <v>0</v>
      </c>
      <c r="AJ197">
        <f t="shared" si="150"/>
        <v>0</v>
      </c>
      <c r="AK197">
        <v>46449.07</v>
      </c>
      <c r="AL197">
        <v>15063.7</v>
      </c>
      <c r="AM197">
        <v>0</v>
      </c>
      <c r="AN197">
        <v>0</v>
      </c>
      <c r="AO197">
        <v>31385.37</v>
      </c>
      <c r="AP197">
        <v>0</v>
      </c>
      <c r="AQ197">
        <v>77.86</v>
      </c>
      <c r="AR197">
        <v>0</v>
      </c>
      <c r="AS197">
        <v>0</v>
      </c>
      <c r="AT197">
        <v>70</v>
      </c>
      <c r="AU197">
        <v>10</v>
      </c>
      <c r="AV197">
        <v>1</v>
      </c>
      <c r="AW197">
        <v>1</v>
      </c>
      <c r="AZ197">
        <v>1</v>
      </c>
      <c r="BA197">
        <v>1</v>
      </c>
      <c r="BB197">
        <v>1</v>
      </c>
      <c r="BC197">
        <v>1</v>
      </c>
      <c r="BD197" t="s">
        <v>3</v>
      </c>
      <c r="BE197" t="s">
        <v>3</v>
      </c>
      <c r="BF197" t="s">
        <v>3</v>
      </c>
      <c r="BG197" t="s">
        <v>3</v>
      </c>
      <c r="BH197">
        <v>0</v>
      </c>
      <c r="BI197">
        <v>4</v>
      </c>
      <c r="BJ197" t="s">
        <v>185</v>
      </c>
      <c r="BM197">
        <v>0</v>
      </c>
      <c r="BN197">
        <v>75371441</v>
      </c>
      <c r="BO197" t="s">
        <v>3</v>
      </c>
      <c r="BP197">
        <v>0</v>
      </c>
      <c r="BQ197">
        <v>1</v>
      </c>
      <c r="BR197">
        <v>0</v>
      </c>
      <c r="BS197">
        <v>1</v>
      </c>
      <c r="BT197">
        <v>1</v>
      </c>
      <c r="BU197">
        <v>1</v>
      </c>
      <c r="BV197">
        <v>1</v>
      </c>
      <c r="BW197">
        <v>1</v>
      </c>
      <c r="BX197">
        <v>1</v>
      </c>
      <c r="BY197" t="s">
        <v>3</v>
      </c>
      <c r="BZ197">
        <v>70</v>
      </c>
      <c r="CA197">
        <v>10</v>
      </c>
      <c r="CB197" t="s">
        <v>3</v>
      </c>
      <c r="CE197">
        <v>0</v>
      </c>
      <c r="CF197">
        <v>0</v>
      </c>
      <c r="CG197">
        <v>0</v>
      </c>
      <c r="CM197">
        <v>0</v>
      </c>
      <c r="CN197" t="s">
        <v>416</v>
      </c>
      <c r="CO197">
        <v>0</v>
      </c>
      <c r="CP197">
        <f t="shared" si="151"/>
        <v>62.77</v>
      </c>
      <c r="CQ197">
        <f t="shared" si="152"/>
        <v>0</v>
      </c>
      <c r="CR197">
        <f>(((((ET197*0.2))*BB197-((EU197*0.2))*BS197)+AE197*BS197)*AV197)</f>
        <v>0</v>
      </c>
      <c r="CS197">
        <f t="shared" si="153"/>
        <v>0</v>
      </c>
      <c r="CT197">
        <f t="shared" si="154"/>
        <v>6277.0739999999996</v>
      </c>
      <c r="CU197">
        <f t="shared" si="155"/>
        <v>0</v>
      </c>
      <c r="CV197">
        <f t="shared" si="156"/>
        <v>15.572000000000001</v>
      </c>
      <c r="CW197">
        <f t="shared" si="157"/>
        <v>0</v>
      </c>
      <c r="CX197">
        <f t="shared" si="158"/>
        <v>0</v>
      </c>
      <c r="CY197">
        <f t="shared" si="159"/>
        <v>43.939000000000007</v>
      </c>
      <c r="CZ197">
        <f t="shared" si="160"/>
        <v>6.2770000000000001</v>
      </c>
      <c r="DC197" t="s">
        <v>3</v>
      </c>
      <c r="DD197" t="s">
        <v>186</v>
      </c>
      <c r="DE197" t="s">
        <v>187</v>
      </c>
      <c r="DF197" t="s">
        <v>187</v>
      </c>
      <c r="DG197" t="s">
        <v>187</v>
      </c>
      <c r="DH197" t="s">
        <v>3</v>
      </c>
      <c r="DI197" t="s">
        <v>187</v>
      </c>
      <c r="DJ197" t="s">
        <v>187</v>
      </c>
      <c r="DK197" t="s">
        <v>3</v>
      </c>
      <c r="DL197" t="s">
        <v>3</v>
      </c>
      <c r="DM197" t="s">
        <v>3</v>
      </c>
      <c r="DN197">
        <v>0</v>
      </c>
      <c r="DO197">
        <v>0</v>
      </c>
      <c r="DP197">
        <v>1</v>
      </c>
      <c r="DQ197">
        <v>1</v>
      </c>
      <c r="DU197">
        <v>1010</v>
      </c>
      <c r="DV197" t="s">
        <v>184</v>
      </c>
      <c r="DW197" t="s">
        <v>184</v>
      </c>
      <c r="DX197">
        <v>100</v>
      </c>
      <c r="DZ197" t="s">
        <v>3</v>
      </c>
      <c r="EA197" t="s">
        <v>3</v>
      </c>
      <c r="EB197" t="s">
        <v>3</v>
      </c>
      <c r="EC197" t="s">
        <v>3</v>
      </c>
      <c r="EE197">
        <v>75371444</v>
      </c>
      <c r="EF197">
        <v>1</v>
      </c>
      <c r="EG197" t="s">
        <v>22</v>
      </c>
      <c r="EH197">
        <v>0</v>
      </c>
      <c r="EI197" t="s">
        <v>3</v>
      </c>
      <c r="EJ197">
        <v>4</v>
      </c>
      <c r="EK197">
        <v>0</v>
      </c>
      <c r="EL197" t="s">
        <v>23</v>
      </c>
      <c r="EM197" t="s">
        <v>24</v>
      </c>
      <c r="EO197" t="s">
        <v>161</v>
      </c>
      <c r="EQ197">
        <v>0</v>
      </c>
      <c r="ER197">
        <v>46449.07</v>
      </c>
      <c r="ES197">
        <v>15063.7</v>
      </c>
      <c r="ET197">
        <v>0</v>
      </c>
      <c r="EU197">
        <v>0</v>
      </c>
      <c r="EV197">
        <v>31385.37</v>
      </c>
      <c r="EW197">
        <v>77.86</v>
      </c>
      <c r="EX197">
        <v>0</v>
      </c>
      <c r="EY197">
        <v>0</v>
      </c>
      <c r="FQ197">
        <v>0</v>
      </c>
      <c r="FR197">
        <f t="shared" si="161"/>
        <v>0</v>
      </c>
      <c r="FS197">
        <v>0</v>
      </c>
      <c r="FX197">
        <v>70</v>
      </c>
      <c r="FY197">
        <v>10</v>
      </c>
      <c r="GA197" t="s">
        <v>3</v>
      </c>
      <c r="GD197">
        <v>0</v>
      </c>
      <c r="GF197">
        <v>-497449691</v>
      </c>
      <c r="GG197">
        <v>2</v>
      </c>
      <c r="GH197">
        <v>1</v>
      </c>
      <c r="GI197">
        <v>-2</v>
      </c>
      <c r="GJ197">
        <v>0</v>
      </c>
      <c r="GK197">
        <f>ROUND(R197*(R12)/100,2)</f>
        <v>0</v>
      </c>
      <c r="GL197">
        <f t="shared" si="162"/>
        <v>0</v>
      </c>
      <c r="GM197">
        <f t="shared" si="163"/>
        <v>112.99</v>
      </c>
      <c r="GN197">
        <f t="shared" si="164"/>
        <v>0</v>
      </c>
      <c r="GO197">
        <f t="shared" si="165"/>
        <v>0</v>
      </c>
      <c r="GP197">
        <f t="shared" si="166"/>
        <v>112.99</v>
      </c>
      <c r="GR197">
        <v>0</v>
      </c>
      <c r="GS197">
        <v>3</v>
      </c>
      <c r="GT197">
        <v>0</v>
      </c>
      <c r="GU197" t="s">
        <v>3</v>
      </c>
      <c r="GV197">
        <f t="shared" si="167"/>
        <v>0</v>
      </c>
      <c r="GW197">
        <v>1</v>
      </c>
      <c r="GX197">
        <f t="shared" si="168"/>
        <v>0</v>
      </c>
      <c r="HA197">
        <v>0</v>
      </c>
      <c r="HB197">
        <v>0</v>
      </c>
      <c r="HC197">
        <f t="shared" si="169"/>
        <v>0</v>
      </c>
      <c r="HE197" t="s">
        <v>3</v>
      </c>
      <c r="HF197" t="s">
        <v>3</v>
      </c>
      <c r="HM197" t="s">
        <v>3</v>
      </c>
      <c r="HN197" t="s">
        <v>3</v>
      </c>
      <c r="HO197" t="s">
        <v>3</v>
      </c>
      <c r="HP197" t="s">
        <v>3</v>
      </c>
      <c r="HQ197" t="s">
        <v>3</v>
      </c>
      <c r="IK197">
        <v>0</v>
      </c>
    </row>
    <row r="198" spans="1:245" x14ac:dyDescent="0.2">
      <c r="A198">
        <v>17</v>
      </c>
      <c r="B198">
        <v>1</v>
      </c>
      <c r="C198">
        <f>ROW(SmtRes!A91)</f>
        <v>91</v>
      </c>
      <c r="D198">
        <f>ROW(EtalonRes!A87)</f>
        <v>87</v>
      </c>
      <c r="E198" t="s">
        <v>188</v>
      </c>
      <c r="F198" t="s">
        <v>189</v>
      </c>
      <c r="G198" t="s">
        <v>190</v>
      </c>
      <c r="H198" t="s">
        <v>191</v>
      </c>
      <c r="I198">
        <v>1</v>
      </c>
      <c r="J198">
        <v>0</v>
      </c>
      <c r="K198">
        <v>1</v>
      </c>
      <c r="O198">
        <f t="shared" si="137"/>
        <v>9103.32</v>
      </c>
      <c r="P198">
        <f t="shared" si="138"/>
        <v>7914.99</v>
      </c>
      <c r="Q198">
        <f t="shared" si="139"/>
        <v>0.12</v>
      </c>
      <c r="R198">
        <f t="shared" si="140"/>
        <v>0.04</v>
      </c>
      <c r="S198">
        <f t="shared" si="141"/>
        <v>1188.21</v>
      </c>
      <c r="T198">
        <f t="shared" si="142"/>
        <v>0</v>
      </c>
      <c r="U198">
        <f t="shared" si="143"/>
        <v>2.2400000000000002</v>
      </c>
      <c r="V198">
        <f t="shared" si="144"/>
        <v>0</v>
      </c>
      <c r="W198">
        <f t="shared" si="145"/>
        <v>0</v>
      </c>
      <c r="X198">
        <f t="shared" si="146"/>
        <v>831.75</v>
      </c>
      <c r="Y198">
        <f t="shared" si="147"/>
        <v>118.82</v>
      </c>
      <c r="AA198">
        <v>75703208</v>
      </c>
      <c r="AB198">
        <f t="shared" si="148"/>
        <v>9103.32</v>
      </c>
      <c r="AC198">
        <f t="shared" ref="AC198:AC208" si="170">ROUND((ES198),6)</f>
        <v>7914.99</v>
      </c>
      <c r="AD198">
        <f t="shared" ref="AD198:AD208" si="171">ROUND((((ET198)-(EU198))+AE198),6)</f>
        <v>0.12</v>
      </c>
      <c r="AE198">
        <f t="shared" ref="AE198:AE208" si="172">ROUND((EU198),6)</f>
        <v>0.04</v>
      </c>
      <c r="AF198">
        <f t="shared" ref="AF198:AF208" si="173">ROUND((EV198),6)</f>
        <v>1188.21</v>
      </c>
      <c r="AG198">
        <f t="shared" si="149"/>
        <v>0</v>
      </c>
      <c r="AH198">
        <f t="shared" ref="AH198:AH208" si="174">(EW198)</f>
        <v>2.2400000000000002</v>
      </c>
      <c r="AI198">
        <f t="shared" ref="AI198:AI208" si="175">(EX198)</f>
        <v>0</v>
      </c>
      <c r="AJ198">
        <f t="shared" si="150"/>
        <v>0</v>
      </c>
      <c r="AK198">
        <v>9103.32</v>
      </c>
      <c r="AL198">
        <v>7914.99</v>
      </c>
      <c r="AM198">
        <v>0.12</v>
      </c>
      <c r="AN198">
        <v>0.04</v>
      </c>
      <c r="AO198">
        <v>1188.21</v>
      </c>
      <c r="AP198">
        <v>0</v>
      </c>
      <c r="AQ198">
        <v>2.2400000000000002</v>
      </c>
      <c r="AR198">
        <v>0</v>
      </c>
      <c r="AS198">
        <v>0</v>
      </c>
      <c r="AT198">
        <v>70</v>
      </c>
      <c r="AU198">
        <v>10</v>
      </c>
      <c r="AV198">
        <v>1</v>
      </c>
      <c r="AW198">
        <v>1</v>
      </c>
      <c r="AZ198">
        <v>1</v>
      </c>
      <c r="BA198">
        <v>1</v>
      </c>
      <c r="BB198">
        <v>1</v>
      </c>
      <c r="BC198">
        <v>1</v>
      </c>
      <c r="BD198" t="s">
        <v>3</v>
      </c>
      <c r="BE198" t="s">
        <v>3</v>
      </c>
      <c r="BF198" t="s">
        <v>3</v>
      </c>
      <c r="BG198" t="s">
        <v>3</v>
      </c>
      <c r="BH198">
        <v>0</v>
      </c>
      <c r="BI198">
        <v>4</v>
      </c>
      <c r="BJ198" t="s">
        <v>192</v>
      </c>
      <c r="BM198">
        <v>0</v>
      </c>
      <c r="BN198">
        <v>75371441</v>
      </c>
      <c r="BO198" t="s">
        <v>3</v>
      </c>
      <c r="BP198">
        <v>0</v>
      </c>
      <c r="BQ198">
        <v>1</v>
      </c>
      <c r="BR198">
        <v>0</v>
      </c>
      <c r="BS198">
        <v>1</v>
      </c>
      <c r="BT198">
        <v>1</v>
      </c>
      <c r="BU198">
        <v>1</v>
      </c>
      <c r="BV198">
        <v>1</v>
      </c>
      <c r="BW198">
        <v>1</v>
      </c>
      <c r="BX198">
        <v>1</v>
      </c>
      <c r="BY198" t="s">
        <v>3</v>
      </c>
      <c r="BZ198">
        <v>70</v>
      </c>
      <c r="CA198">
        <v>10</v>
      </c>
      <c r="CB198" t="s">
        <v>3</v>
      </c>
      <c r="CE198">
        <v>0</v>
      </c>
      <c r="CF198">
        <v>0</v>
      </c>
      <c r="CG198">
        <v>0</v>
      </c>
      <c r="CM198">
        <v>0</v>
      </c>
      <c r="CN198" t="s">
        <v>3</v>
      </c>
      <c r="CO198">
        <v>0</v>
      </c>
      <c r="CP198">
        <f t="shared" si="151"/>
        <v>9103.32</v>
      </c>
      <c r="CQ198">
        <f t="shared" si="152"/>
        <v>7914.99</v>
      </c>
      <c r="CR198">
        <f t="shared" ref="CR198:CR208" si="176">((((ET198)*BB198-(EU198)*BS198)+AE198*BS198)*AV198)</f>
        <v>0.12</v>
      </c>
      <c r="CS198">
        <f t="shared" si="153"/>
        <v>0.04</v>
      </c>
      <c r="CT198">
        <f t="shared" si="154"/>
        <v>1188.21</v>
      </c>
      <c r="CU198">
        <f t="shared" si="155"/>
        <v>0</v>
      </c>
      <c r="CV198">
        <f t="shared" si="156"/>
        <v>2.2400000000000002</v>
      </c>
      <c r="CW198">
        <f t="shared" si="157"/>
        <v>0</v>
      </c>
      <c r="CX198">
        <f t="shared" si="158"/>
        <v>0</v>
      </c>
      <c r="CY198">
        <f t="shared" si="159"/>
        <v>831.74699999999996</v>
      </c>
      <c r="CZ198">
        <f t="shared" si="160"/>
        <v>118.821</v>
      </c>
      <c r="DC198" t="s">
        <v>3</v>
      </c>
      <c r="DD198" t="s">
        <v>3</v>
      </c>
      <c r="DE198" t="s">
        <v>3</v>
      </c>
      <c r="DF198" t="s">
        <v>3</v>
      </c>
      <c r="DG198" t="s">
        <v>3</v>
      </c>
      <c r="DH198" t="s">
        <v>3</v>
      </c>
      <c r="DI198" t="s">
        <v>3</v>
      </c>
      <c r="DJ198" t="s">
        <v>3</v>
      </c>
      <c r="DK198" t="s">
        <v>3</v>
      </c>
      <c r="DL198" t="s">
        <v>3</v>
      </c>
      <c r="DM198" t="s">
        <v>3</v>
      </c>
      <c r="DN198">
        <v>0</v>
      </c>
      <c r="DO198">
        <v>0</v>
      </c>
      <c r="DP198">
        <v>1</v>
      </c>
      <c r="DQ198">
        <v>1</v>
      </c>
      <c r="DU198">
        <v>1013</v>
      </c>
      <c r="DV198" t="s">
        <v>191</v>
      </c>
      <c r="DW198" t="s">
        <v>191</v>
      </c>
      <c r="DX198">
        <v>1</v>
      </c>
      <c r="DZ198" t="s">
        <v>3</v>
      </c>
      <c r="EA198" t="s">
        <v>3</v>
      </c>
      <c r="EB198" t="s">
        <v>3</v>
      </c>
      <c r="EC198" t="s">
        <v>3</v>
      </c>
      <c r="EE198">
        <v>75371444</v>
      </c>
      <c r="EF198">
        <v>1</v>
      </c>
      <c r="EG198" t="s">
        <v>22</v>
      </c>
      <c r="EH198">
        <v>0</v>
      </c>
      <c r="EI198" t="s">
        <v>3</v>
      </c>
      <c r="EJ198">
        <v>4</v>
      </c>
      <c r="EK198">
        <v>0</v>
      </c>
      <c r="EL198" t="s">
        <v>23</v>
      </c>
      <c r="EM198" t="s">
        <v>24</v>
      </c>
      <c r="EO198" t="s">
        <v>3</v>
      </c>
      <c r="EQ198">
        <v>0</v>
      </c>
      <c r="ER198">
        <v>9103.32</v>
      </c>
      <c r="ES198">
        <v>7914.99</v>
      </c>
      <c r="ET198">
        <v>0.12</v>
      </c>
      <c r="EU198">
        <v>0.04</v>
      </c>
      <c r="EV198">
        <v>1188.21</v>
      </c>
      <c r="EW198">
        <v>2.2400000000000002</v>
      </c>
      <c r="EX198">
        <v>0</v>
      </c>
      <c r="EY198">
        <v>0</v>
      </c>
      <c r="FQ198">
        <v>0</v>
      </c>
      <c r="FR198">
        <f t="shared" si="161"/>
        <v>0</v>
      </c>
      <c r="FS198">
        <v>0</v>
      </c>
      <c r="FX198">
        <v>70</v>
      </c>
      <c r="FY198">
        <v>10</v>
      </c>
      <c r="GA198" t="s">
        <v>3</v>
      </c>
      <c r="GD198">
        <v>0</v>
      </c>
      <c r="GF198">
        <v>-1808202667</v>
      </c>
      <c r="GG198">
        <v>2</v>
      </c>
      <c r="GH198">
        <v>1</v>
      </c>
      <c r="GI198">
        <v>-2</v>
      </c>
      <c r="GJ198">
        <v>0</v>
      </c>
      <c r="GK198">
        <f>ROUND(R198*(R12)/100,2)</f>
        <v>0.04</v>
      </c>
      <c r="GL198">
        <f t="shared" si="162"/>
        <v>0</v>
      </c>
      <c r="GM198">
        <f t="shared" si="163"/>
        <v>10053.93</v>
      </c>
      <c r="GN198">
        <f t="shared" si="164"/>
        <v>0</v>
      </c>
      <c r="GO198">
        <f t="shared" si="165"/>
        <v>0</v>
      </c>
      <c r="GP198">
        <f t="shared" si="166"/>
        <v>10053.93</v>
      </c>
      <c r="GR198">
        <v>0</v>
      </c>
      <c r="GS198">
        <v>3</v>
      </c>
      <c r="GT198">
        <v>0</v>
      </c>
      <c r="GU198" t="s">
        <v>3</v>
      </c>
      <c r="GV198">
        <f t="shared" si="167"/>
        <v>0</v>
      </c>
      <c r="GW198">
        <v>1</v>
      </c>
      <c r="GX198">
        <f t="shared" si="168"/>
        <v>0</v>
      </c>
      <c r="HA198">
        <v>0</v>
      </c>
      <c r="HB198">
        <v>0</v>
      </c>
      <c r="HC198">
        <f t="shared" si="169"/>
        <v>0</v>
      </c>
      <c r="HE198" t="s">
        <v>3</v>
      </c>
      <c r="HF198" t="s">
        <v>3</v>
      </c>
      <c r="HM198" t="s">
        <v>3</v>
      </c>
      <c r="HN198" t="s">
        <v>3</v>
      </c>
      <c r="HO198" t="s">
        <v>3</v>
      </c>
      <c r="HP198" t="s">
        <v>3</v>
      </c>
      <c r="HQ198" t="s">
        <v>3</v>
      </c>
      <c r="IK198">
        <v>0</v>
      </c>
    </row>
    <row r="199" spans="1:245" x14ac:dyDescent="0.2">
      <c r="A199">
        <v>18</v>
      </c>
      <c r="B199">
        <v>1</v>
      </c>
      <c r="C199">
        <v>89</v>
      </c>
      <c r="E199" t="s">
        <v>193</v>
      </c>
      <c r="F199" t="s">
        <v>194</v>
      </c>
      <c r="G199" t="s">
        <v>195</v>
      </c>
      <c r="H199" t="s">
        <v>196</v>
      </c>
      <c r="I199">
        <f>I198*J199</f>
        <v>1</v>
      </c>
      <c r="J199">
        <v>1</v>
      </c>
      <c r="K199">
        <v>1</v>
      </c>
      <c r="O199">
        <f t="shared" si="137"/>
        <v>5025.26</v>
      </c>
      <c r="P199">
        <f t="shared" si="138"/>
        <v>5025.26</v>
      </c>
      <c r="Q199">
        <f t="shared" si="139"/>
        <v>0</v>
      </c>
      <c r="R199">
        <f t="shared" si="140"/>
        <v>0</v>
      </c>
      <c r="S199">
        <f t="shared" si="141"/>
        <v>0</v>
      </c>
      <c r="T199">
        <f t="shared" si="142"/>
        <v>0</v>
      </c>
      <c r="U199">
        <f t="shared" si="143"/>
        <v>0</v>
      </c>
      <c r="V199">
        <f t="shared" si="144"/>
        <v>0</v>
      </c>
      <c r="W199">
        <f t="shared" si="145"/>
        <v>0</v>
      </c>
      <c r="X199">
        <f t="shared" si="146"/>
        <v>0</v>
      </c>
      <c r="Y199">
        <f t="shared" si="147"/>
        <v>0</v>
      </c>
      <c r="AA199">
        <v>75703208</v>
      </c>
      <c r="AB199">
        <f t="shared" si="148"/>
        <v>5025.26</v>
      </c>
      <c r="AC199">
        <f t="shared" si="170"/>
        <v>5025.26</v>
      </c>
      <c r="AD199">
        <f t="shared" si="171"/>
        <v>0</v>
      </c>
      <c r="AE199">
        <f t="shared" si="172"/>
        <v>0</v>
      </c>
      <c r="AF199">
        <f t="shared" si="173"/>
        <v>0</v>
      </c>
      <c r="AG199">
        <f t="shared" si="149"/>
        <v>0</v>
      </c>
      <c r="AH199">
        <f t="shared" si="174"/>
        <v>0</v>
      </c>
      <c r="AI199">
        <f t="shared" si="175"/>
        <v>0</v>
      </c>
      <c r="AJ199">
        <f t="shared" si="150"/>
        <v>0</v>
      </c>
      <c r="AK199">
        <v>5025.26</v>
      </c>
      <c r="AL199">
        <v>5025.26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70</v>
      </c>
      <c r="AU199">
        <v>10</v>
      </c>
      <c r="AV199">
        <v>1</v>
      </c>
      <c r="AW199">
        <v>1</v>
      </c>
      <c r="AZ199">
        <v>1</v>
      </c>
      <c r="BA199">
        <v>1</v>
      </c>
      <c r="BB199">
        <v>1</v>
      </c>
      <c r="BC199">
        <v>1</v>
      </c>
      <c r="BD199" t="s">
        <v>3</v>
      </c>
      <c r="BE199" t="s">
        <v>3</v>
      </c>
      <c r="BF199" t="s">
        <v>3</v>
      </c>
      <c r="BG199" t="s">
        <v>3</v>
      </c>
      <c r="BH199">
        <v>3</v>
      </c>
      <c r="BI199">
        <v>4</v>
      </c>
      <c r="BJ199" t="s">
        <v>197</v>
      </c>
      <c r="BM199">
        <v>0</v>
      </c>
      <c r="BN199">
        <v>75371441</v>
      </c>
      <c r="BO199" t="s">
        <v>3</v>
      </c>
      <c r="BP199">
        <v>0</v>
      </c>
      <c r="BQ199">
        <v>1</v>
      </c>
      <c r="BR199">
        <v>0</v>
      </c>
      <c r="BS199">
        <v>1</v>
      </c>
      <c r="BT199">
        <v>1</v>
      </c>
      <c r="BU199">
        <v>1</v>
      </c>
      <c r="BV199">
        <v>1</v>
      </c>
      <c r="BW199">
        <v>1</v>
      </c>
      <c r="BX199">
        <v>1</v>
      </c>
      <c r="BY199" t="s">
        <v>3</v>
      </c>
      <c r="BZ199">
        <v>70</v>
      </c>
      <c r="CA199">
        <v>10</v>
      </c>
      <c r="CB199" t="s">
        <v>3</v>
      </c>
      <c r="CE199">
        <v>0</v>
      </c>
      <c r="CF199">
        <v>0</v>
      </c>
      <c r="CG199">
        <v>0</v>
      </c>
      <c r="CM199">
        <v>0</v>
      </c>
      <c r="CN199" t="s">
        <v>3</v>
      </c>
      <c r="CO199">
        <v>0</v>
      </c>
      <c r="CP199">
        <f t="shared" si="151"/>
        <v>5025.26</v>
      </c>
      <c r="CQ199">
        <f t="shared" si="152"/>
        <v>5025.26</v>
      </c>
      <c r="CR199">
        <f t="shared" si="176"/>
        <v>0</v>
      </c>
      <c r="CS199">
        <f t="shared" si="153"/>
        <v>0</v>
      </c>
      <c r="CT199">
        <f t="shared" si="154"/>
        <v>0</v>
      </c>
      <c r="CU199">
        <f t="shared" si="155"/>
        <v>0</v>
      </c>
      <c r="CV199">
        <f t="shared" si="156"/>
        <v>0</v>
      </c>
      <c r="CW199">
        <f t="shared" si="157"/>
        <v>0</v>
      </c>
      <c r="CX199">
        <f t="shared" si="158"/>
        <v>0</v>
      </c>
      <c r="CY199">
        <f t="shared" si="159"/>
        <v>0</v>
      </c>
      <c r="CZ199">
        <f t="shared" si="160"/>
        <v>0</v>
      </c>
      <c r="DC199" t="s">
        <v>3</v>
      </c>
      <c r="DD199" t="s">
        <v>3</v>
      </c>
      <c r="DE199" t="s">
        <v>3</v>
      </c>
      <c r="DF199" t="s">
        <v>3</v>
      </c>
      <c r="DG199" t="s">
        <v>3</v>
      </c>
      <c r="DH199" t="s">
        <v>3</v>
      </c>
      <c r="DI199" t="s">
        <v>3</v>
      </c>
      <c r="DJ199" t="s">
        <v>3</v>
      </c>
      <c r="DK199" t="s">
        <v>3</v>
      </c>
      <c r="DL199" t="s">
        <v>3</v>
      </c>
      <c r="DM199" t="s">
        <v>3</v>
      </c>
      <c r="DN199">
        <v>0</v>
      </c>
      <c r="DO199">
        <v>0</v>
      </c>
      <c r="DP199">
        <v>1</v>
      </c>
      <c r="DQ199">
        <v>1</v>
      </c>
      <c r="DU199">
        <v>1010</v>
      </c>
      <c r="DV199" t="s">
        <v>196</v>
      </c>
      <c r="DW199" t="s">
        <v>196</v>
      </c>
      <c r="DX199">
        <v>1</v>
      </c>
      <c r="DZ199" t="s">
        <v>3</v>
      </c>
      <c r="EA199" t="s">
        <v>3</v>
      </c>
      <c r="EB199" t="s">
        <v>3</v>
      </c>
      <c r="EC199" t="s">
        <v>3</v>
      </c>
      <c r="EE199">
        <v>75371444</v>
      </c>
      <c r="EF199">
        <v>1</v>
      </c>
      <c r="EG199" t="s">
        <v>22</v>
      </c>
      <c r="EH199">
        <v>0</v>
      </c>
      <c r="EI199" t="s">
        <v>3</v>
      </c>
      <c r="EJ199">
        <v>4</v>
      </c>
      <c r="EK199">
        <v>0</v>
      </c>
      <c r="EL199" t="s">
        <v>23</v>
      </c>
      <c r="EM199" t="s">
        <v>24</v>
      </c>
      <c r="EO199" t="s">
        <v>3</v>
      </c>
      <c r="EQ199">
        <v>0</v>
      </c>
      <c r="ER199">
        <v>5025.26</v>
      </c>
      <c r="ES199">
        <v>5025.26</v>
      </c>
      <c r="ET199">
        <v>0</v>
      </c>
      <c r="EU199">
        <v>0</v>
      </c>
      <c r="EV199">
        <v>0</v>
      </c>
      <c r="EW199">
        <v>0</v>
      </c>
      <c r="EX199">
        <v>0</v>
      </c>
      <c r="FQ199">
        <v>0</v>
      </c>
      <c r="FR199">
        <f t="shared" si="161"/>
        <v>0</v>
      </c>
      <c r="FS199">
        <v>0</v>
      </c>
      <c r="FX199">
        <v>70</v>
      </c>
      <c r="FY199">
        <v>10</v>
      </c>
      <c r="GA199" t="s">
        <v>3</v>
      </c>
      <c r="GD199">
        <v>0</v>
      </c>
      <c r="GF199">
        <v>-125063506</v>
      </c>
      <c r="GG199">
        <v>2</v>
      </c>
      <c r="GH199">
        <v>1</v>
      </c>
      <c r="GI199">
        <v>-2</v>
      </c>
      <c r="GJ199">
        <v>0</v>
      </c>
      <c r="GK199">
        <f>ROUND(R199*(R12)/100,2)</f>
        <v>0</v>
      </c>
      <c r="GL199">
        <f t="shared" si="162"/>
        <v>0</v>
      </c>
      <c r="GM199">
        <f t="shared" si="163"/>
        <v>5025.26</v>
      </c>
      <c r="GN199">
        <f t="shared" si="164"/>
        <v>0</v>
      </c>
      <c r="GO199">
        <f t="shared" si="165"/>
        <v>0</v>
      </c>
      <c r="GP199">
        <f t="shared" si="166"/>
        <v>5025.26</v>
      </c>
      <c r="GR199">
        <v>0</v>
      </c>
      <c r="GS199">
        <v>3</v>
      </c>
      <c r="GT199">
        <v>0</v>
      </c>
      <c r="GU199" t="s">
        <v>3</v>
      </c>
      <c r="GV199">
        <f t="shared" si="167"/>
        <v>0</v>
      </c>
      <c r="GW199">
        <v>1</v>
      </c>
      <c r="GX199">
        <f t="shared" si="168"/>
        <v>0</v>
      </c>
      <c r="HA199">
        <v>0</v>
      </c>
      <c r="HB199">
        <v>0</v>
      </c>
      <c r="HC199">
        <f t="shared" si="169"/>
        <v>0</v>
      </c>
      <c r="HE199" t="s">
        <v>3</v>
      </c>
      <c r="HF199" t="s">
        <v>3</v>
      </c>
      <c r="HM199" t="s">
        <v>3</v>
      </c>
      <c r="HN199" t="s">
        <v>3</v>
      </c>
      <c r="HO199" t="s">
        <v>3</v>
      </c>
      <c r="HP199" t="s">
        <v>3</v>
      </c>
      <c r="HQ199" t="s">
        <v>3</v>
      </c>
      <c r="IK199">
        <v>0</v>
      </c>
    </row>
    <row r="200" spans="1:245" x14ac:dyDescent="0.2">
      <c r="A200">
        <v>18</v>
      </c>
      <c r="B200">
        <v>1</v>
      </c>
      <c r="C200">
        <v>91</v>
      </c>
      <c r="E200" t="s">
        <v>198</v>
      </c>
      <c r="F200" t="s">
        <v>199</v>
      </c>
      <c r="G200" t="s">
        <v>200</v>
      </c>
      <c r="H200" t="s">
        <v>196</v>
      </c>
      <c r="I200">
        <f>I198*J200</f>
        <v>1</v>
      </c>
      <c r="J200">
        <v>1</v>
      </c>
      <c r="K200">
        <v>1</v>
      </c>
      <c r="O200">
        <f t="shared" si="137"/>
        <v>37.5</v>
      </c>
      <c r="P200">
        <f t="shared" si="138"/>
        <v>37.5</v>
      </c>
      <c r="Q200">
        <f t="shared" si="139"/>
        <v>0</v>
      </c>
      <c r="R200">
        <f t="shared" si="140"/>
        <v>0</v>
      </c>
      <c r="S200">
        <f t="shared" si="141"/>
        <v>0</v>
      </c>
      <c r="T200">
        <f t="shared" si="142"/>
        <v>0</v>
      </c>
      <c r="U200">
        <f t="shared" si="143"/>
        <v>0</v>
      </c>
      <c r="V200">
        <f t="shared" si="144"/>
        <v>0</v>
      </c>
      <c r="W200">
        <f t="shared" si="145"/>
        <v>0</v>
      </c>
      <c r="X200">
        <f t="shared" si="146"/>
        <v>0</v>
      </c>
      <c r="Y200">
        <f t="shared" si="147"/>
        <v>0</v>
      </c>
      <c r="AA200">
        <v>75703208</v>
      </c>
      <c r="AB200">
        <f t="shared" si="148"/>
        <v>37.5</v>
      </c>
      <c r="AC200">
        <f t="shared" si="170"/>
        <v>37.5</v>
      </c>
      <c r="AD200">
        <f t="shared" si="171"/>
        <v>0</v>
      </c>
      <c r="AE200">
        <f t="shared" si="172"/>
        <v>0</v>
      </c>
      <c r="AF200">
        <f t="shared" si="173"/>
        <v>0</v>
      </c>
      <c r="AG200">
        <f t="shared" si="149"/>
        <v>0</v>
      </c>
      <c r="AH200">
        <f t="shared" si="174"/>
        <v>0</v>
      </c>
      <c r="AI200">
        <f t="shared" si="175"/>
        <v>0</v>
      </c>
      <c r="AJ200">
        <f t="shared" si="150"/>
        <v>0</v>
      </c>
      <c r="AK200">
        <v>37.5</v>
      </c>
      <c r="AL200">
        <v>37.5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70</v>
      </c>
      <c r="AU200">
        <v>10</v>
      </c>
      <c r="AV200">
        <v>1</v>
      </c>
      <c r="AW200">
        <v>1</v>
      </c>
      <c r="AZ200">
        <v>1</v>
      </c>
      <c r="BA200">
        <v>1</v>
      </c>
      <c r="BB200">
        <v>1</v>
      </c>
      <c r="BC200">
        <v>1</v>
      </c>
      <c r="BD200" t="s">
        <v>3</v>
      </c>
      <c r="BE200" t="s">
        <v>3</v>
      </c>
      <c r="BF200" t="s">
        <v>3</v>
      </c>
      <c r="BG200" t="s">
        <v>3</v>
      </c>
      <c r="BH200">
        <v>3</v>
      </c>
      <c r="BI200">
        <v>4</v>
      </c>
      <c r="BJ200" t="s">
        <v>3</v>
      </c>
      <c r="BM200">
        <v>0</v>
      </c>
      <c r="BN200">
        <v>0</v>
      </c>
      <c r="BO200" t="s">
        <v>3</v>
      </c>
      <c r="BP200">
        <v>0</v>
      </c>
      <c r="BQ200">
        <v>1</v>
      </c>
      <c r="BR200">
        <v>0</v>
      </c>
      <c r="BS200">
        <v>1</v>
      </c>
      <c r="BT200">
        <v>1</v>
      </c>
      <c r="BU200">
        <v>1</v>
      </c>
      <c r="BV200">
        <v>1</v>
      </c>
      <c r="BW200">
        <v>1</v>
      </c>
      <c r="BX200">
        <v>1</v>
      </c>
      <c r="BY200" t="s">
        <v>3</v>
      </c>
      <c r="BZ200">
        <v>70</v>
      </c>
      <c r="CA200">
        <v>10</v>
      </c>
      <c r="CB200" t="s">
        <v>3</v>
      </c>
      <c r="CE200">
        <v>0</v>
      </c>
      <c r="CF200">
        <v>0</v>
      </c>
      <c r="CG200">
        <v>0</v>
      </c>
      <c r="CM200">
        <v>0</v>
      </c>
      <c r="CN200" t="s">
        <v>3</v>
      </c>
      <c r="CO200">
        <v>0</v>
      </c>
      <c r="CP200">
        <f t="shared" si="151"/>
        <v>37.5</v>
      </c>
      <c r="CQ200">
        <f t="shared" si="152"/>
        <v>37.5</v>
      </c>
      <c r="CR200">
        <f t="shared" si="176"/>
        <v>0</v>
      </c>
      <c r="CS200">
        <f t="shared" si="153"/>
        <v>0</v>
      </c>
      <c r="CT200">
        <f t="shared" si="154"/>
        <v>0</v>
      </c>
      <c r="CU200">
        <f t="shared" si="155"/>
        <v>0</v>
      </c>
      <c r="CV200">
        <f t="shared" si="156"/>
        <v>0</v>
      </c>
      <c r="CW200">
        <f t="shared" si="157"/>
        <v>0</v>
      </c>
      <c r="CX200">
        <f t="shared" si="158"/>
        <v>0</v>
      </c>
      <c r="CY200">
        <f t="shared" si="159"/>
        <v>0</v>
      </c>
      <c r="CZ200">
        <f t="shared" si="160"/>
        <v>0</v>
      </c>
      <c r="DC200" t="s">
        <v>3</v>
      </c>
      <c r="DD200" t="s">
        <v>3</v>
      </c>
      <c r="DE200" t="s">
        <v>3</v>
      </c>
      <c r="DF200" t="s">
        <v>3</v>
      </c>
      <c r="DG200" t="s">
        <v>3</v>
      </c>
      <c r="DH200" t="s">
        <v>3</v>
      </c>
      <c r="DI200" t="s">
        <v>3</v>
      </c>
      <c r="DJ200" t="s">
        <v>3</v>
      </c>
      <c r="DK200" t="s">
        <v>3</v>
      </c>
      <c r="DL200" t="s">
        <v>3</v>
      </c>
      <c r="DM200" t="s">
        <v>3</v>
      </c>
      <c r="DN200">
        <v>0</v>
      </c>
      <c r="DO200">
        <v>0</v>
      </c>
      <c r="DP200">
        <v>1</v>
      </c>
      <c r="DQ200">
        <v>1</v>
      </c>
      <c r="DU200">
        <v>1010</v>
      </c>
      <c r="DV200" t="s">
        <v>196</v>
      </c>
      <c r="DW200" t="s">
        <v>196</v>
      </c>
      <c r="DX200">
        <v>1</v>
      </c>
      <c r="DZ200" t="s">
        <v>3</v>
      </c>
      <c r="EA200" t="s">
        <v>3</v>
      </c>
      <c r="EB200" t="s">
        <v>3</v>
      </c>
      <c r="EC200" t="s">
        <v>3</v>
      </c>
      <c r="EE200">
        <v>75371444</v>
      </c>
      <c r="EF200">
        <v>1</v>
      </c>
      <c r="EG200" t="s">
        <v>22</v>
      </c>
      <c r="EH200">
        <v>0</v>
      </c>
      <c r="EI200" t="s">
        <v>3</v>
      </c>
      <c r="EJ200">
        <v>4</v>
      </c>
      <c r="EK200">
        <v>0</v>
      </c>
      <c r="EL200" t="s">
        <v>23</v>
      </c>
      <c r="EM200" t="s">
        <v>24</v>
      </c>
      <c r="EO200" t="s">
        <v>3</v>
      </c>
      <c r="EQ200">
        <v>0</v>
      </c>
      <c r="ER200">
        <v>37.5</v>
      </c>
      <c r="ES200">
        <v>37.5</v>
      </c>
      <c r="ET200">
        <v>0</v>
      </c>
      <c r="EU200">
        <v>0</v>
      </c>
      <c r="EV200">
        <v>0</v>
      </c>
      <c r="EW200">
        <v>0</v>
      </c>
      <c r="EX200">
        <v>0</v>
      </c>
      <c r="EZ200">
        <v>5</v>
      </c>
      <c r="FC200">
        <v>1</v>
      </c>
      <c r="FD200">
        <v>18</v>
      </c>
      <c r="FF200">
        <v>45</v>
      </c>
      <c r="FQ200">
        <v>0</v>
      </c>
      <c r="FR200">
        <f t="shared" si="161"/>
        <v>0</v>
      </c>
      <c r="FS200">
        <v>0</v>
      </c>
      <c r="FX200">
        <v>70</v>
      </c>
      <c r="FY200">
        <v>10</v>
      </c>
      <c r="GA200" t="s">
        <v>201</v>
      </c>
      <c r="GD200">
        <v>0</v>
      </c>
      <c r="GF200">
        <v>1407851726</v>
      </c>
      <c r="GG200">
        <v>2</v>
      </c>
      <c r="GH200">
        <v>3</v>
      </c>
      <c r="GI200">
        <v>-2</v>
      </c>
      <c r="GJ200">
        <v>0</v>
      </c>
      <c r="GK200">
        <f>ROUND(R200*(R12)/100,2)</f>
        <v>0</v>
      </c>
      <c r="GL200">
        <f t="shared" si="162"/>
        <v>0</v>
      </c>
      <c r="GM200">
        <f t="shared" si="163"/>
        <v>37.5</v>
      </c>
      <c r="GN200">
        <f t="shared" si="164"/>
        <v>0</v>
      </c>
      <c r="GO200">
        <f t="shared" si="165"/>
        <v>0</v>
      </c>
      <c r="GP200">
        <f t="shared" si="166"/>
        <v>37.5</v>
      </c>
      <c r="GR200">
        <v>1</v>
      </c>
      <c r="GS200">
        <v>1</v>
      </c>
      <c r="GT200">
        <v>0</v>
      </c>
      <c r="GU200" t="s">
        <v>3</v>
      </c>
      <c r="GV200">
        <f t="shared" si="167"/>
        <v>0</v>
      </c>
      <c r="GW200">
        <v>1</v>
      </c>
      <c r="GX200">
        <f t="shared" si="168"/>
        <v>0</v>
      </c>
      <c r="HA200">
        <v>0</v>
      </c>
      <c r="HB200">
        <v>0</v>
      </c>
      <c r="HC200">
        <f t="shared" si="169"/>
        <v>0</v>
      </c>
      <c r="HE200" t="s">
        <v>38</v>
      </c>
      <c r="HF200" t="s">
        <v>38</v>
      </c>
      <c r="HM200" t="s">
        <v>3</v>
      </c>
      <c r="HN200" t="s">
        <v>3</v>
      </c>
      <c r="HO200" t="s">
        <v>3</v>
      </c>
      <c r="HP200" t="s">
        <v>3</v>
      </c>
      <c r="HQ200" t="s">
        <v>3</v>
      </c>
      <c r="IK200">
        <v>0</v>
      </c>
    </row>
    <row r="201" spans="1:245" x14ac:dyDescent="0.2">
      <c r="A201">
        <v>18</v>
      </c>
      <c r="B201">
        <v>1</v>
      </c>
      <c r="C201">
        <v>90</v>
      </c>
      <c r="E201" t="s">
        <v>202</v>
      </c>
      <c r="F201" t="s">
        <v>194</v>
      </c>
      <c r="G201" t="s">
        <v>195</v>
      </c>
      <c r="H201" t="s">
        <v>196</v>
      </c>
      <c r="I201">
        <f>I198*J201</f>
        <v>-1</v>
      </c>
      <c r="J201">
        <v>-1</v>
      </c>
      <c r="K201">
        <v>-1</v>
      </c>
      <c r="O201">
        <f t="shared" si="137"/>
        <v>-5025.26</v>
      </c>
      <c r="P201">
        <f t="shared" si="138"/>
        <v>-5025.26</v>
      </c>
      <c r="Q201">
        <f t="shared" si="139"/>
        <v>0</v>
      </c>
      <c r="R201">
        <f t="shared" si="140"/>
        <v>0</v>
      </c>
      <c r="S201">
        <f t="shared" si="141"/>
        <v>0</v>
      </c>
      <c r="T201">
        <f t="shared" si="142"/>
        <v>0</v>
      </c>
      <c r="U201">
        <f t="shared" si="143"/>
        <v>0</v>
      </c>
      <c r="V201">
        <f t="shared" si="144"/>
        <v>0</v>
      </c>
      <c r="W201">
        <f t="shared" si="145"/>
        <v>0</v>
      </c>
      <c r="X201">
        <f t="shared" si="146"/>
        <v>0</v>
      </c>
      <c r="Y201">
        <f t="shared" si="147"/>
        <v>0</v>
      </c>
      <c r="AA201">
        <v>75703208</v>
      </c>
      <c r="AB201">
        <f t="shared" si="148"/>
        <v>5025.26</v>
      </c>
      <c r="AC201">
        <f t="shared" si="170"/>
        <v>5025.26</v>
      </c>
      <c r="AD201">
        <f t="shared" si="171"/>
        <v>0</v>
      </c>
      <c r="AE201">
        <f t="shared" si="172"/>
        <v>0</v>
      </c>
      <c r="AF201">
        <f t="shared" si="173"/>
        <v>0</v>
      </c>
      <c r="AG201">
        <f t="shared" si="149"/>
        <v>0</v>
      </c>
      <c r="AH201">
        <f t="shared" si="174"/>
        <v>0</v>
      </c>
      <c r="AI201">
        <f t="shared" si="175"/>
        <v>0</v>
      </c>
      <c r="AJ201">
        <f t="shared" si="150"/>
        <v>0</v>
      </c>
      <c r="AK201">
        <v>5025.26</v>
      </c>
      <c r="AL201">
        <v>5025.26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70</v>
      </c>
      <c r="AU201">
        <v>10</v>
      </c>
      <c r="AV201">
        <v>1</v>
      </c>
      <c r="AW201">
        <v>1</v>
      </c>
      <c r="AZ201">
        <v>1</v>
      </c>
      <c r="BA201">
        <v>1</v>
      </c>
      <c r="BB201">
        <v>1</v>
      </c>
      <c r="BC201">
        <v>1</v>
      </c>
      <c r="BD201" t="s">
        <v>3</v>
      </c>
      <c r="BE201" t="s">
        <v>3</v>
      </c>
      <c r="BF201" t="s">
        <v>3</v>
      </c>
      <c r="BG201" t="s">
        <v>3</v>
      </c>
      <c r="BH201">
        <v>3</v>
      </c>
      <c r="BI201">
        <v>4</v>
      </c>
      <c r="BJ201" t="s">
        <v>197</v>
      </c>
      <c r="BM201">
        <v>0</v>
      </c>
      <c r="BN201">
        <v>75371441</v>
      </c>
      <c r="BO201" t="s">
        <v>3</v>
      </c>
      <c r="BP201">
        <v>0</v>
      </c>
      <c r="BQ201">
        <v>1</v>
      </c>
      <c r="BR201">
        <v>1</v>
      </c>
      <c r="BS201">
        <v>1</v>
      </c>
      <c r="BT201">
        <v>1</v>
      </c>
      <c r="BU201">
        <v>1</v>
      </c>
      <c r="BV201">
        <v>1</v>
      </c>
      <c r="BW201">
        <v>1</v>
      </c>
      <c r="BX201">
        <v>1</v>
      </c>
      <c r="BY201" t="s">
        <v>3</v>
      </c>
      <c r="BZ201">
        <v>70</v>
      </c>
      <c r="CA201">
        <v>10</v>
      </c>
      <c r="CB201" t="s">
        <v>3</v>
      </c>
      <c r="CE201">
        <v>0</v>
      </c>
      <c r="CF201">
        <v>0</v>
      </c>
      <c r="CG201">
        <v>0</v>
      </c>
      <c r="CM201">
        <v>0</v>
      </c>
      <c r="CN201" t="s">
        <v>3</v>
      </c>
      <c r="CO201">
        <v>0</v>
      </c>
      <c r="CP201">
        <f t="shared" si="151"/>
        <v>-5025.26</v>
      </c>
      <c r="CQ201">
        <f t="shared" si="152"/>
        <v>5025.26</v>
      </c>
      <c r="CR201">
        <f t="shared" si="176"/>
        <v>0</v>
      </c>
      <c r="CS201">
        <f t="shared" si="153"/>
        <v>0</v>
      </c>
      <c r="CT201">
        <f t="shared" si="154"/>
        <v>0</v>
      </c>
      <c r="CU201">
        <f t="shared" si="155"/>
        <v>0</v>
      </c>
      <c r="CV201">
        <f t="shared" si="156"/>
        <v>0</v>
      </c>
      <c r="CW201">
        <f t="shared" si="157"/>
        <v>0</v>
      </c>
      <c r="CX201">
        <f t="shared" si="158"/>
        <v>0</v>
      </c>
      <c r="CY201">
        <f t="shared" si="159"/>
        <v>0</v>
      </c>
      <c r="CZ201">
        <f t="shared" si="160"/>
        <v>0</v>
      </c>
      <c r="DC201" t="s">
        <v>3</v>
      </c>
      <c r="DD201" t="s">
        <v>3</v>
      </c>
      <c r="DE201" t="s">
        <v>3</v>
      </c>
      <c r="DF201" t="s">
        <v>3</v>
      </c>
      <c r="DG201" t="s">
        <v>3</v>
      </c>
      <c r="DH201" t="s">
        <v>3</v>
      </c>
      <c r="DI201" t="s">
        <v>3</v>
      </c>
      <c r="DJ201" t="s">
        <v>3</v>
      </c>
      <c r="DK201" t="s">
        <v>3</v>
      </c>
      <c r="DL201" t="s">
        <v>3</v>
      </c>
      <c r="DM201" t="s">
        <v>3</v>
      </c>
      <c r="DN201">
        <v>0</v>
      </c>
      <c r="DO201">
        <v>0</v>
      </c>
      <c r="DP201">
        <v>1</v>
      </c>
      <c r="DQ201">
        <v>1</v>
      </c>
      <c r="DU201">
        <v>1010</v>
      </c>
      <c r="DV201" t="s">
        <v>196</v>
      </c>
      <c r="DW201" t="s">
        <v>196</v>
      </c>
      <c r="DX201">
        <v>1</v>
      </c>
      <c r="DZ201" t="s">
        <v>3</v>
      </c>
      <c r="EA201" t="s">
        <v>3</v>
      </c>
      <c r="EB201" t="s">
        <v>3</v>
      </c>
      <c r="EC201" t="s">
        <v>3</v>
      </c>
      <c r="EE201">
        <v>75371444</v>
      </c>
      <c r="EF201">
        <v>1</v>
      </c>
      <c r="EG201" t="s">
        <v>22</v>
      </c>
      <c r="EH201">
        <v>0</v>
      </c>
      <c r="EI201" t="s">
        <v>3</v>
      </c>
      <c r="EJ201">
        <v>4</v>
      </c>
      <c r="EK201">
        <v>0</v>
      </c>
      <c r="EL201" t="s">
        <v>23</v>
      </c>
      <c r="EM201" t="s">
        <v>24</v>
      </c>
      <c r="EO201" t="s">
        <v>3</v>
      </c>
      <c r="EQ201">
        <v>32768</v>
      </c>
      <c r="ER201">
        <v>5025.26</v>
      </c>
      <c r="ES201">
        <v>5025.26</v>
      </c>
      <c r="ET201">
        <v>0</v>
      </c>
      <c r="EU201">
        <v>0</v>
      </c>
      <c r="EV201">
        <v>0</v>
      </c>
      <c r="EW201">
        <v>0</v>
      </c>
      <c r="EX201">
        <v>0</v>
      </c>
      <c r="FQ201">
        <v>0</v>
      </c>
      <c r="FR201">
        <f t="shared" si="161"/>
        <v>0</v>
      </c>
      <c r="FS201">
        <v>0</v>
      </c>
      <c r="FX201">
        <v>70</v>
      </c>
      <c r="FY201">
        <v>10</v>
      </c>
      <c r="GA201" t="s">
        <v>3</v>
      </c>
      <c r="GD201">
        <v>0</v>
      </c>
      <c r="GF201">
        <v>-125063506</v>
      </c>
      <c r="GG201">
        <v>2</v>
      </c>
      <c r="GH201">
        <v>1</v>
      </c>
      <c r="GI201">
        <v>-2</v>
      </c>
      <c r="GJ201">
        <v>0</v>
      </c>
      <c r="GK201">
        <f>ROUND(R201*(R12)/100,2)</f>
        <v>0</v>
      </c>
      <c r="GL201">
        <f t="shared" si="162"/>
        <v>0</v>
      </c>
      <c r="GM201">
        <f t="shared" si="163"/>
        <v>-5025.26</v>
      </c>
      <c r="GN201">
        <f t="shared" si="164"/>
        <v>0</v>
      </c>
      <c r="GO201">
        <f t="shared" si="165"/>
        <v>0</v>
      </c>
      <c r="GP201">
        <f t="shared" si="166"/>
        <v>-5025.26</v>
      </c>
      <c r="GR201">
        <v>0</v>
      </c>
      <c r="GS201">
        <v>3</v>
      </c>
      <c r="GT201">
        <v>0</v>
      </c>
      <c r="GU201" t="s">
        <v>3</v>
      </c>
      <c r="GV201">
        <f t="shared" si="167"/>
        <v>0</v>
      </c>
      <c r="GW201">
        <v>1</v>
      </c>
      <c r="GX201">
        <f t="shared" si="168"/>
        <v>0</v>
      </c>
      <c r="HA201">
        <v>0</v>
      </c>
      <c r="HB201">
        <v>0</v>
      </c>
      <c r="HC201">
        <f t="shared" si="169"/>
        <v>0</v>
      </c>
      <c r="HE201" t="s">
        <v>3</v>
      </c>
      <c r="HF201" t="s">
        <v>3</v>
      </c>
      <c r="HM201" t="s">
        <v>3</v>
      </c>
      <c r="HN201" t="s">
        <v>3</v>
      </c>
      <c r="HO201" t="s">
        <v>3</v>
      </c>
      <c r="HP201" t="s">
        <v>3</v>
      </c>
      <c r="HQ201" t="s">
        <v>3</v>
      </c>
      <c r="IK201">
        <v>0</v>
      </c>
    </row>
    <row r="202" spans="1:245" x14ac:dyDescent="0.2">
      <c r="A202">
        <v>18</v>
      </c>
      <c r="B202">
        <v>1</v>
      </c>
      <c r="C202">
        <v>86</v>
      </c>
      <c r="E202" t="s">
        <v>203</v>
      </c>
      <c r="F202" t="s">
        <v>204</v>
      </c>
      <c r="G202" t="s">
        <v>205</v>
      </c>
      <c r="H202" t="s">
        <v>196</v>
      </c>
      <c r="I202">
        <f>I198*J202</f>
        <v>-1</v>
      </c>
      <c r="J202">
        <v>-1</v>
      </c>
      <c r="K202">
        <v>-1</v>
      </c>
      <c r="O202">
        <f t="shared" si="137"/>
        <v>-1624.55</v>
      </c>
      <c r="P202">
        <f t="shared" si="138"/>
        <v>-1624.55</v>
      </c>
      <c r="Q202">
        <f t="shared" si="139"/>
        <v>0</v>
      </c>
      <c r="R202">
        <f t="shared" si="140"/>
        <v>0</v>
      </c>
      <c r="S202">
        <f t="shared" si="141"/>
        <v>0</v>
      </c>
      <c r="T202">
        <f t="shared" si="142"/>
        <v>0</v>
      </c>
      <c r="U202">
        <f t="shared" si="143"/>
        <v>0</v>
      </c>
      <c r="V202">
        <f t="shared" si="144"/>
        <v>0</v>
      </c>
      <c r="W202">
        <f t="shared" si="145"/>
        <v>0</v>
      </c>
      <c r="X202">
        <f t="shared" si="146"/>
        <v>0</v>
      </c>
      <c r="Y202">
        <f t="shared" si="147"/>
        <v>0</v>
      </c>
      <c r="AA202">
        <v>75703208</v>
      </c>
      <c r="AB202">
        <f t="shared" si="148"/>
        <v>1624.55</v>
      </c>
      <c r="AC202">
        <f t="shared" si="170"/>
        <v>1624.55</v>
      </c>
      <c r="AD202">
        <f t="shared" si="171"/>
        <v>0</v>
      </c>
      <c r="AE202">
        <f t="shared" si="172"/>
        <v>0</v>
      </c>
      <c r="AF202">
        <f t="shared" si="173"/>
        <v>0</v>
      </c>
      <c r="AG202">
        <f t="shared" si="149"/>
        <v>0</v>
      </c>
      <c r="AH202">
        <f t="shared" si="174"/>
        <v>0</v>
      </c>
      <c r="AI202">
        <f t="shared" si="175"/>
        <v>0</v>
      </c>
      <c r="AJ202">
        <f t="shared" si="150"/>
        <v>0</v>
      </c>
      <c r="AK202">
        <v>1624.55</v>
      </c>
      <c r="AL202">
        <v>1624.55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70</v>
      </c>
      <c r="AU202">
        <v>10</v>
      </c>
      <c r="AV202">
        <v>1</v>
      </c>
      <c r="AW202">
        <v>1</v>
      </c>
      <c r="AZ202">
        <v>1</v>
      </c>
      <c r="BA202">
        <v>1</v>
      </c>
      <c r="BB202">
        <v>1</v>
      </c>
      <c r="BC202">
        <v>1</v>
      </c>
      <c r="BD202" t="s">
        <v>3</v>
      </c>
      <c r="BE202" t="s">
        <v>3</v>
      </c>
      <c r="BF202" t="s">
        <v>3</v>
      </c>
      <c r="BG202" t="s">
        <v>3</v>
      </c>
      <c r="BH202">
        <v>3</v>
      </c>
      <c r="BI202">
        <v>4</v>
      </c>
      <c r="BJ202" t="s">
        <v>206</v>
      </c>
      <c r="BM202">
        <v>0</v>
      </c>
      <c r="BN202">
        <v>75371441</v>
      </c>
      <c r="BO202" t="s">
        <v>3</v>
      </c>
      <c r="BP202">
        <v>0</v>
      </c>
      <c r="BQ202">
        <v>1</v>
      </c>
      <c r="BR202">
        <v>1</v>
      </c>
      <c r="BS202">
        <v>1</v>
      </c>
      <c r="BT202">
        <v>1</v>
      </c>
      <c r="BU202">
        <v>1</v>
      </c>
      <c r="BV202">
        <v>1</v>
      </c>
      <c r="BW202">
        <v>1</v>
      </c>
      <c r="BX202">
        <v>1</v>
      </c>
      <c r="BY202" t="s">
        <v>3</v>
      </c>
      <c r="BZ202">
        <v>70</v>
      </c>
      <c r="CA202">
        <v>10</v>
      </c>
      <c r="CB202" t="s">
        <v>3</v>
      </c>
      <c r="CE202">
        <v>0</v>
      </c>
      <c r="CF202">
        <v>0</v>
      </c>
      <c r="CG202">
        <v>0</v>
      </c>
      <c r="CM202">
        <v>0</v>
      </c>
      <c r="CN202" t="s">
        <v>3</v>
      </c>
      <c r="CO202">
        <v>0</v>
      </c>
      <c r="CP202">
        <f t="shared" si="151"/>
        <v>-1624.55</v>
      </c>
      <c r="CQ202">
        <f t="shared" si="152"/>
        <v>1624.55</v>
      </c>
      <c r="CR202">
        <f t="shared" si="176"/>
        <v>0</v>
      </c>
      <c r="CS202">
        <f t="shared" si="153"/>
        <v>0</v>
      </c>
      <c r="CT202">
        <f t="shared" si="154"/>
        <v>0</v>
      </c>
      <c r="CU202">
        <f t="shared" si="155"/>
        <v>0</v>
      </c>
      <c r="CV202">
        <f t="shared" si="156"/>
        <v>0</v>
      </c>
      <c r="CW202">
        <f t="shared" si="157"/>
        <v>0</v>
      </c>
      <c r="CX202">
        <f t="shared" si="158"/>
        <v>0</v>
      </c>
      <c r="CY202">
        <f t="shared" si="159"/>
        <v>0</v>
      </c>
      <c r="CZ202">
        <f t="shared" si="160"/>
        <v>0</v>
      </c>
      <c r="DC202" t="s">
        <v>3</v>
      </c>
      <c r="DD202" t="s">
        <v>3</v>
      </c>
      <c r="DE202" t="s">
        <v>3</v>
      </c>
      <c r="DF202" t="s">
        <v>3</v>
      </c>
      <c r="DG202" t="s">
        <v>3</v>
      </c>
      <c r="DH202" t="s">
        <v>3</v>
      </c>
      <c r="DI202" t="s">
        <v>3</v>
      </c>
      <c r="DJ202" t="s">
        <v>3</v>
      </c>
      <c r="DK202" t="s">
        <v>3</v>
      </c>
      <c r="DL202" t="s">
        <v>3</v>
      </c>
      <c r="DM202" t="s">
        <v>3</v>
      </c>
      <c r="DN202">
        <v>0</v>
      </c>
      <c r="DO202">
        <v>0</v>
      </c>
      <c r="DP202">
        <v>1</v>
      </c>
      <c r="DQ202">
        <v>1</v>
      </c>
      <c r="DU202">
        <v>1010</v>
      </c>
      <c r="DV202" t="s">
        <v>196</v>
      </c>
      <c r="DW202" t="s">
        <v>196</v>
      </c>
      <c r="DX202">
        <v>1</v>
      </c>
      <c r="DZ202" t="s">
        <v>3</v>
      </c>
      <c r="EA202" t="s">
        <v>3</v>
      </c>
      <c r="EB202" t="s">
        <v>3</v>
      </c>
      <c r="EC202" t="s">
        <v>3</v>
      </c>
      <c r="EE202">
        <v>75371444</v>
      </c>
      <c r="EF202">
        <v>1</v>
      </c>
      <c r="EG202" t="s">
        <v>22</v>
      </c>
      <c r="EH202">
        <v>0</v>
      </c>
      <c r="EI202" t="s">
        <v>3</v>
      </c>
      <c r="EJ202">
        <v>4</v>
      </c>
      <c r="EK202">
        <v>0</v>
      </c>
      <c r="EL202" t="s">
        <v>23</v>
      </c>
      <c r="EM202" t="s">
        <v>24</v>
      </c>
      <c r="EO202" t="s">
        <v>3</v>
      </c>
      <c r="EQ202">
        <v>32768</v>
      </c>
      <c r="ER202">
        <v>1624.55</v>
      </c>
      <c r="ES202">
        <v>1624.55</v>
      </c>
      <c r="ET202">
        <v>0</v>
      </c>
      <c r="EU202">
        <v>0</v>
      </c>
      <c r="EV202">
        <v>0</v>
      </c>
      <c r="EW202">
        <v>0</v>
      </c>
      <c r="EX202">
        <v>0</v>
      </c>
      <c r="FQ202">
        <v>0</v>
      </c>
      <c r="FR202">
        <f t="shared" si="161"/>
        <v>0</v>
      </c>
      <c r="FS202">
        <v>0</v>
      </c>
      <c r="FX202">
        <v>70</v>
      </c>
      <c r="FY202">
        <v>10</v>
      </c>
      <c r="GA202" t="s">
        <v>3</v>
      </c>
      <c r="GD202">
        <v>0</v>
      </c>
      <c r="GF202">
        <v>-2016625611</v>
      </c>
      <c r="GG202">
        <v>2</v>
      </c>
      <c r="GH202">
        <v>1</v>
      </c>
      <c r="GI202">
        <v>-2</v>
      </c>
      <c r="GJ202">
        <v>0</v>
      </c>
      <c r="GK202">
        <f>ROUND(R202*(R12)/100,2)</f>
        <v>0</v>
      </c>
      <c r="GL202">
        <f t="shared" si="162"/>
        <v>0</v>
      </c>
      <c r="GM202">
        <f t="shared" si="163"/>
        <v>-1624.55</v>
      </c>
      <c r="GN202">
        <f t="shared" si="164"/>
        <v>0</v>
      </c>
      <c r="GO202">
        <f t="shared" si="165"/>
        <v>0</v>
      </c>
      <c r="GP202">
        <f t="shared" si="166"/>
        <v>-1624.55</v>
      </c>
      <c r="GR202">
        <v>0</v>
      </c>
      <c r="GS202">
        <v>3</v>
      </c>
      <c r="GT202">
        <v>0</v>
      </c>
      <c r="GU202" t="s">
        <v>3</v>
      </c>
      <c r="GV202">
        <f t="shared" si="167"/>
        <v>0</v>
      </c>
      <c r="GW202">
        <v>1</v>
      </c>
      <c r="GX202">
        <f t="shared" si="168"/>
        <v>0</v>
      </c>
      <c r="HA202">
        <v>0</v>
      </c>
      <c r="HB202">
        <v>0</v>
      </c>
      <c r="HC202">
        <f t="shared" si="169"/>
        <v>0</v>
      </c>
      <c r="HE202" t="s">
        <v>3</v>
      </c>
      <c r="HF202" t="s">
        <v>3</v>
      </c>
      <c r="HM202" t="s">
        <v>3</v>
      </c>
      <c r="HN202" t="s">
        <v>3</v>
      </c>
      <c r="HO202" t="s">
        <v>3</v>
      </c>
      <c r="HP202" t="s">
        <v>3</v>
      </c>
      <c r="HQ202" t="s">
        <v>3</v>
      </c>
      <c r="IK202">
        <v>0</v>
      </c>
    </row>
    <row r="203" spans="1:245" x14ac:dyDescent="0.2">
      <c r="A203">
        <v>17</v>
      </c>
      <c r="B203">
        <v>1</v>
      </c>
      <c r="C203">
        <f>ROW(SmtRes!A96)</f>
        <v>96</v>
      </c>
      <c r="D203">
        <f>ROW(EtalonRes!A91)</f>
        <v>91</v>
      </c>
      <c r="E203" t="s">
        <v>207</v>
      </c>
      <c r="F203" t="s">
        <v>182</v>
      </c>
      <c r="G203" t="s">
        <v>208</v>
      </c>
      <c r="H203" t="s">
        <v>184</v>
      </c>
      <c r="I203">
        <f>ROUND(1/100,9)</f>
        <v>0.01</v>
      </c>
      <c r="J203">
        <v>0</v>
      </c>
      <c r="K203">
        <f>ROUND(1/100,9)</f>
        <v>0.01</v>
      </c>
      <c r="O203">
        <f t="shared" si="137"/>
        <v>464.49</v>
      </c>
      <c r="P203">
        <f t="shared" si="138"/>
        <v>150.63999999999999</v>
      </c>
      <c r="Q203">
        <f t="shared" si="139"/>
        <v>0</v>
      </c>
      <c r="R203">
        <f t="shared" si="140"/>
        <v>0</v>
      </c>
      <c r="S203">
        <f t="shared" si="141"/>
        <v>313.85000000000002</v>
      </c>
      <c r="T203">
        <f t="shared" si="142"/>
        <v>0</v>
      </c>
      <c r="U203">
        <f t="shared" si="143"/>
        <v>0.77859999999999996</v>
      </c>
      <c r="V203">
        <f t="shared" si="144"/>
        <v>0</v>
      </c>
      <c r="W203">
        <f t="shared" si="145"/>
        <v>0</v>
      </c>
      <c r="X203">
        <f t="shared" si="146"/>
        <v>219.7</v>
      </c>
      <c r="Y203">
        <f t="shared" si="147"/>
        <v>31.39</v>
      </c>
      <c r="AA203">
        <v>75703208</v>
      </c>
      <c r="AB203">
        <f t="shared" si="148"/>
        <v>46449.07</v>
      </c>
      <c r="AC203">
        <f t="shared" si="170"/>
        <v>15063.7</v>
      </c>
      <c r="AD203">
        <f t="shared" si="171"/>
        <v>0</v>
      </c>
      <c r="AE203">
        <f t="shared" si="172"/>
        <v>0</v>
      </c>
      <c r="AF203">
        <f t="shared" si="173"/>
        <v>31385.37</v>
      </c>
      <c r="AG203">
        <f t="shared" si="149"/>
        <v>0</v>
      </c>
      <c r="AH203">
        <f t="shared" si="174"/>
        <v>77.86</v>
      </c>
      <c r="AI203">
        <f t="shared" si="175"/>
        <v>0</v>
      </c>
      <c r="AJ203">
        <f t="shared" si="150"/>
        <v>0</v>
      </c>
      <c r="AK203">
        <v>46449.07</v>
      </c>
      <c r="AL203">
        <v>15063.7</v>
      </c>
      <c r="AM203">
        <v>0</v>
      </c>
      <c r="AN203">
        <v>0</v>
      </c>
      <c r="AO203">
        <v>31385.37</v>
      </c>
      <c r="AP203">
        <v>0</v>
      </c>
      <c r="AQ203">
        <v>77.86</v>
      </c>
      <c r="AR203">
        <v>0</v>
      </c>
      <c r="AS203">
        <v>0</v>
      </c>
      <c r="AT203">
        <v>70</v>
      </c>
      <c r="AU203">
        <v>10</v>
      </c>
      <c r="AV203">
        <v>1</v>
      </c>
      <c r="AW203">
        <v>1</v>
      </c>
      <c r="AZ203">
        <v>1</v>
      </c>
      <c r="BA203">
        <v>1</v>
      </c>
      <c r="BB203">
        <v>1</v>
      </c>
      <c r="BC203">
        <v>1</v>
      </c>
      <c r="BD203" t="s">
        <v>3</v>
      </c>
      <c r="BE203" t="s">
        <v>3</v>
      </c>
      <c r="BF203" t="s">
        <v>3</v>
      </c>
      <c r="BG203" t="s">
        <v>3</v>
      </c>
      <c r="BH203">
        <v>0</v>
      </c>
      <c r="BI203">
        <v>4</v>
      </c>
      <c r="BJ203" t="s">
        <v>185</v>
      </c>
      <c r="BM203">
        <v>0</v>
      </c>
      <c r="BN203">
        <v>75371441</v>
      </c>
      <c r="BO203" t="s">
        <v>3</v>
      </c>
      <c r="BP203">
        <v>0</v>
      </c>
      <c r="BQ203">
        <v>1</v>
      </c>
      <c r="BR203">
        <v>0</v>
      </c>
      <c r="BS203">
        <v>1</v>
      </c>
      <c r="BT203">
        <v>1</v>
      </c>
      <c r="BU203">
        <v>1</v>
      </c>
      <c r="BV203">
        <v>1</v>
      </c>
      <c r="BW203">
        <v>1</v>
      </c>
      <c r="BX203">
        <v>1</v>
      </c>
      <c r="BY203" t="s">
        <v>3</v>
      </c>
      <c r="BZ203">
        <v>70</v>
      </c>
      <c r="CA203">
        <v>10</v>
      </c>
      <c r="CB203" t="s">
        <v>3</v>
      </c>
      <c r="CE203">
        <v>0</v>
      </c>
      <c r="CF203">
        <v>0</v>
      </c>
      <c r="CG203">
        <v>0</v>
      </c>
      <c r="CM203">
        <v>0</v>
      </c>
      <c r="CN203" t="s">
        <v>3</v>
      </c>
      <c r="CO203">
        <v>0</v>
      </c>
      <c r="CP203">
        <f t="shared" si="151"/>
        <v>464.49</v>
      </c>
      <c r="CQ203">
        <f t="shared" si="152"/>
        <v>15063.7</v>
      </c>
      <c r="CR203">
        <f t="shared" si="176"/>
        <v>0</v>
      </c>
      <c r="CS203">
        <f t="shared" si="153"/>
        <v>0</v>
      </c>
      <c r="CT203">
        <f t="shared" si="154"/>
        <v>31385.37</v>
      </c>
      <c r="CU203">
        <f t="shared" si="155"/>
        <v>0</v>
      </c>
      <c r="CV203">
        <f t="shared" si="156"/>
        <v>77.86</v>
      </c>
      <c r="CW203">
        <f t="shared" si="157"/>
        <v>0</v>
      </c>
      <c r="CX203">
        <f t="shared" si="158"/>
        <v>0</v>
      </c>
      <c r="CY203">
        <f t="shared" si="159"/>
        <v>219.69499999999999</v>
      </c>
      <c r="CZ203">
        <f t="shared" si="160"/>
        <v>31.385000000000002</v>
      </c>
      <c r="DC203" t="s">
        <v>3</v>
      </c>
      <c r="DD203" t="s">
        <v>3</v>
      </c>
      <c r="DE203" t="s">
        <v>3</v>
      </c>
      <c r="DF203" t="s">
        <v>3</v>
      </c>
      <c r="DG203" t="s">
        <v>3</v>
      </c>
      <c r="DH203" t="s">
        <v>3</v>
      </c>
      <c r="DI203" t="s">
        <v>3</v>
      </c>
      <c r="DJ203" t="s">
        <v>3</v>
      </c>
      <c r="DK203" t="s">
        <v>3</v>
      </c>
      <c r="DL203" t="s">
        <v>3</v>
      </c>
      <c r="DM203" t="s">
        <v>3</v>
      </c>
      <c r="DN203">
        <v>0</v>
      </c>
      <c r="DO203">
        <v>0</v>
      </c>
      <c r="DP203">
        <v>1</v>
      </c>
      <c r="DQ203">
        <v>1</v>
      </c>
      <c r="DU203">
        <v>1010</v>
      </c>
      <c r="DV203" t="s">
        <v>184</v>
      </c>
      <c r="DW203" t="s">
        <v>184</v>
      </c>
      <c r="DX203">
        <v>100</v>
      </c>
      <c r="DZ203" t="s">
        <v>3</v>
      </c>
      <c r="EA203" t="s">
        <v>3</v>
      </c>
      <c r="EB203" t="s">
        <v>3</v>
      </c>
      <c r="EC203" t="s">
        <v>3</v>
      </c>
      <c r="EE203">
        <v>75371444</v>
      </c>
      <c r="EF203">
        <v>1</v>
      </c>
      <c r="EG203" t="s">
        <v>22</v>
      </c>
      <c r="EH203">
        <v>0</v>
      </c>
      <c r="EI203" t="s">
        <v>3</v>
      </c>
      <c r="EJ203">
        <v>4</v>
      </c>
      <c r="EK203">
        <v>0</v>
      </c>
      <c r="EL203" t="s">
        <v>23</v>
      </c>
      <c r="EM203" t="s">
        <v>24</v>
      </c>
      <c r="EO203" t="s">
        <v>3</v>
      </c>
      <c r="EQ203">
        <v>0</v>
      </c>
      <c r="ER203">
        <v>46449.07</v>
      </c>
      <c r="ES203">
        <v>15063.7</v>
      </c>
      <c r="ET203">
        <v>0</v>
      </c>
      <c r="EU203">
        <v>0</v>
      </c>
      <c r="EV203">
        <v>31385.37</v>
      </c>
      <c r="EW203">
        <v>77.86</v>
      </c>
      <c r="EX203">
        <v>0</v>
      </c>
      <c r="EY203">
        <v>0</v>
      </c>
      <c r="FQ203">
        <v>0</v>
      </c>
      <c r="FR203">
        <f t="shared" si="161"/>
        <v>0</v>
      </c>
      <c r="FS203">
        <v>0</v>
      </c>
      <c r="FX203">
        <v>70</v>
      </c>
      <c r="FY203">
        <v>10</v>
      </c>
      <c r="GA203" t="s">
        <v>3</v>
      </c>
      <c r="GD203">
        <v>0</v>
      </c>
      <c r="GF203">
        <v>-479591771</v>
      </c>
      <c r="GG203">
        <v>2</v>
      </c>
      <c r="GH203">
        <v>1</v>
      </c>
      <c r="GI203">
        <v>-2</v>
      </c>
      <c r="GJ203">
        <v>0</v>
      </c>
      <c r="GK203">
        <f>ROUND(R203*(R12)/100,2)</f>
        <v>0</v>
      </c>
      <c r="GL203">
        <f t="shared" si="162"/>
        <v>0</v>
      </c>
      <c r="GM203">
        <f t="shared" si="163"/>
        <v>715.58</v>
      </c>
      <c r="GN203">
        <f t="shared" si="164"/>
        <v>0</v>
      </c>
      <c r="GO203">
        <f t="shared" si="165"/>
        <v>0</v>
      </c>
      <c r="GP203">
        <f t="shared" si="166"/>
        <v>715.58</v>
      </c>
      <c r="GR203">
        <v>0</v>
      </c>
      <c r="GS203">
        <v>3</v>
      </c>
      <c r="GT203">
        <v>0</v>
      </c>
      <c r="GU203" t="s">
        <v>3</v>
      </c>
      <c r="GV203">
        <f t="shared" si="167"/>
        <v>0</v>
      </c>
      <c r="GW203">
        <v>1</v>
      </c>
      <c r="GX203">
        <f t="shared" si="168"/>
        <v>0</v>
      </c>
      <c r="HA203">
        <v>0</v>
      </c>
      <c r="HB203">
        <v>0</v>
      </c>
      <c r="HC203">
        <f t="shared" si="169"/>
        <v>0</v>
      </c>
      <c r="HE203" t="s">
        <v>3</v>
      </c>
      <c r="HF203" t="s">
        <v>3</v>
      </c>
      <c r="HM203" t="s">
        <v>3</v>
      </c>
      <c r="HN203" t="s">
        <v>3</v>
      </c>
      <c r="HO203" t="s">
        <v>3</v>
      </c>
      <c r="HP203" t="s">
        <v>3</v>
      </c>
      <c r="HQ203" t="s">
        <v>3</v>
      </c>
      <c r="IK203">
        <v>0</v>
      </c>
    </row>
    <row r="204" spans="1:245" x14ac:dyDescent="0.2">
      <c r="A204">
        <v>18</v>
      </c>
      <c r="B204">
        <v>1</v>
      </c>
      <c r="C204">
        <v>96</v>
      </c>
      <c r="E204" t="s">
        <v>209</v>
      </c>
      <c r="F204" t="s">
        <v>199</v>
      </c>
      <c r="G204" t="s">
        <v>210</v>
      </c>
      <c r="H204" t="s">
        <v>196</v>
      </c>
      <c r="I204">
        <f>I203*J204</f>
        <v>1</v>
      </c>
      <c r="J204">
        <v>100</v>
      </c>
      <c r="K204">
        <v>1</v>
      </c>
      <c r="O204">
        <f t="shared" si="137"/>
        <v>10050.83</v>
      </c>
      <c r="P204">
        <f t="shared" si="138"/>
        <v>10050.83</v>
      </c>
      <c r="Q204">
        <f t="shared" si="139"/>
        <v>0</v>
      </c>
      <c r="R204">
        <f t="shared" si="140"/>
        <v>0</v>
      </c>
      <c r="S204">
        <f t="shared" si="141"/>
        <v>0</v>
      </c>
      <c r="T204">
        <f t="shared" si="142"/>
        <v>0</v>
      </c>
      <c r="U204">
        <f t="shared" si="143"/>
        <v>0</v>
      </c>
      <c r="V204">
        <f t="shared" si="144"/>
        <v>0</v>
      </c>
      <c r="W204">
        <f t="shared" si="145"/>
        <v>0</v>
      </c>
      <c r="X204">
        <f t="shared" si="146"/>
        <v>0</v>
      </c>
      <c r="Y204">
        <f t="shared" si="147"/>
        <v>0</v>
      </c>
      <c r="AA204">
        <v>75703208</v>
      </c>
      <c r="AB204">
        <f t="shared" si="148"/>
        <v>10050.83</v>
      </c>
      <c r="AC204">
        <f t="shared" si="170"/>
        <v>10050.83</v>
      </c>
      <c r="AD204">
        <f t="shared" si="171"/>
        <v>0</v>
      </c>
      <c r="AE204">
        <f t="shared" si="172"/>
        <v>0</v>
      </c>
      <c r="AF204">
        <f t="shared" si="173"/>
        <v>0</v>
      </c>
      <c r="AG204">
        <f t="shared" si="149"/>
        <v>0</v>
      </c>
      <c r="AH204">
        <f t="shared" si="174"/>
        <v>0</v>
      </c>
      <c r="AI204">
        <f t="shared" si="175"/>
        <v>0</v>
      </c>
      <c r="AJ204">
        <f t="shared" si="150"/>
        <v>0</v>
      </c>
      <c r="AK204">
        <v>10050.83</v>
      </c>
      <c r="AL204">
        <v>10050.83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70</v>
      </c>
      <c r="AU204">
        <v>10</v>
      </c>
      <c r="AV204">
        <v>1</v>
      </c>
      <c r="AW204">
        <v>1</v>
      </c>
      <c r="AZ204">
        <v>1</v>
      </c>
      <c r="BA204">
        <v>1</v>
      </c>
      <c r="BB204">
        <v>1</v>
      </c>
      <c r="BC204">
        <v>1</v>
      </c>
      <c r="BD204" t="s">
        <v>3</v>
      </c>
      <c r="BE204" t="s">
        <v>3</v>
      </c>
      <c r="BF204" t="s">
        <v>3</v>
      </c>
      <c r="BG204" t="s">
        <v>3</v>
      </c>
      <c r="BH204">
        <v>3</v>
      </c>
      <c r="BI204">
        <v>4</v>
      </c>
      <c r="BJ204" t="s">
        <v>3</v>
      </c>
      <c r="BM204">
        <v>0</v>
      </c>
      <c r="BN204">
        <v>0</v>
      </c>
      <c r="BO204" t="s">
        <v>3</v>
      </c>
      <c r="BP204">
        <v>0</v>
      </c>
      <c r="BQ204">
        <v>1</v>
      </c>
      <c r="BR204">
        <v>0</v>
      </c>
      <c r="BS204">
        <v>1</v>
      </c>
      <c r="BT204">
        <v>1</v>
      </c>
      <c r="BU204">
        <v>1</v>
      </c>
      <c r="BV204">
        <v>1</v>
      </c>
      <c r="BW204">
        <v>1</v>
      </c>
      <c r="BX204">
        <v>1</v>
      </c>
      <c r="BY204" t="s">
        <v>3</v>
      </c>
      <c r="BZ204">
        <v>70</v>
      </c>
      <c r="CA204">
        <v>10</v>
      </c>
      <c r="CB204" t="s">
        <v>3</v>
      </c>
      <c r="CE204">
        <v>0</v>
      </c>
      <c r="CF204">
        <v>0</v>
      </c>
      <c r="CG204">
        <v>0</v>
      </c>
      <c r="CM204">
        <v>0</v>
      </c>
      <c r="CN204" t="s">
        <v>3</v>
      </c>
      <c r="CO204">
        <v>0</v>
      </c>
      <c r="CP204">
        <f t="shared" si="151"/>
        <v>10050.83</v>
      </c>
      <c r="CQ204">
        <f t="shared" si="152"/>
        <v>10050.83</v>
      </c>
      <c r="CR204">
        <f t="shared" si="176"/>
        <v>0</v>
      </c>
      <c r="CS204">
        <f t="shared" si="153"/>
        <v>0</v>
      </c>
      <c r="CT204">
        <f t="shared" si="154"/>
        <v>0</v>
      </c>
      <c r="CU204">
        <f t="shared" si="155"/>
        <v>0</v>
      </c>
      <c r="CV204">
        <f t="shared" si="156"/>
        <v>0</v>
      </c>
      <c r="CW204">
        <f t="shared" si="157"/>
        <v>0</v>
      </c>
      <c r="CX204">
        <f t="shared" si="158"/>
        <v>0</v>
      </c>
      <c r="CY204">
        <f t="shared" si="159"/>
        <v>0</v>
      </c>
      <c r="CZ204">
        <f t="shared" si="160"/>
        <v>0</v>
      </c>
      <c r="DC204" t="s">
        <v>3</v>
      </c>
      <c r="DD204" t="s">
        <v>3</v>
      </c>
      <c r="DE204" t="s">
        <v>3</v>
      </c>
      <c r="DF204" t="s">
        <v>3</v>
      </c>
      <c r="DG204" t="s">
        <v>3</v>
      </c>
      <c r="DH204" t="s">
        <v>3</v>
      </c>
      <c r="DI204" t="s">
        <v>3</v>
      </c>
      <c r="DJ204" t="s">
        <v>3</v>
      </c>
      <c r="DK204" t="s">
        <v>3</v>
      </c>
      <c r="DL204" t="s">
        <v>3</v>
      </c>
      <c r="DM204" t="s">
        <v>3</v>
      </c>
      <c r="DN204">
        <v>0</v>
      </c>
      <c r="DO204">
        <v>0</v>
      </c>
      <c r="DP204">
        <v>1</v>
      </c>
      <c r="DQ204">
        <v>1</v>
      </c>
      <c r="DU204">
        <v>1010</v>
      </c>
      <c r="DV204" t="s">
        <v>196</v>
      </c>
      <c r="DW204" t="s">
        <v>196</v>
      </c>
      <c r="DX204">
        <v>1</v>
      </c>
      <c r="DZ204" t="s">
        <v>3</v>
      </c>
      <c r="EA204" t="s">
        <v>3</v>
      </c>
      <c r="EB204" t="s">
        <v>3</v>
      </c>
      <c r="EC204" t="s">
        <v>3</v>
      </c>
      <c r="EE204">
        <v>75371444</v>
      </c>
      <c r="EF204">
        <v>1</v>
      </c>
      <c r="EG204" t="s">
        <v>22</v>
      </c>
      <c r="EH204">
        <v>0</v>
      </c>
      <c r="EI204" t="s">
        <v>3</v>
      </c>
      <c r="EJ204">
        <v>4</v>
      </c>
      <c r="EK204">
        <v>0</v>
      </c>
      <c r="EL204" t="s">
        <v>23</v>
      </c>
      <c r="EM204" t="s">
        <v>24</v>
      </c>
      <c r="EO204" t="s">
        <v>3</v>
      </c>
      <c r="EQ204">
        <v>0</v>
      </c>
      <c r="ER204">
        <v>10050.83</v>
      </c>
      <c r="ES204">
        <v>10050.83</v>
      </c>
      <c r="ET204">
        <v>0</v>
      </c>
      <c r="EU204">
        <v>0</v>
      </c>
      <c r="EV204">
        <v>0</v>
      </c>
      <c r="EW204">
        <v>0</v>
      </c>
      <c r="EX204">
        <v>0</v>
      </c>
      <c r="EZ204">
        <v>5</v>
      </c>
      <c r="FC204">
        <v>1</v>
      </c>
      <c r="FD204">
        <v>18</v>
      </c>
      <c r="FF204">
        <v>12061</v>
      </c>
      <c r="FQ204">
        <v>0</v>
      </c>
      <c r="FR204">
        <f t="shared" si="161"/>
        <v>0</v>
      </c>
      <c r="FS204">
        <v>0</v>
      </c>
      <c r="FX204">
        <v>70</v>
      </c>
      <c r="FY204">
        <v>10</v>
      </c>
      <c r="GA204" t="s">
        <v>211</v>
      </c>
      <c r="GD204">
        <v>0</v>
      </c>
      <c r="GF204">
        <v>-541391768</v>
      </c>
      <c r="GG204">
        <v>2</v>
      </c>
      <c r="GH204">
        <v>3</v>
      </c>
      <c r="GI204">
        <v>-2</v>
      </c>
      <c r="GJ204">
        <v>0</v>
      </c>
      <c r="GK204">
        <f>ROUND(R204*(R12)/100,2)</f>
        <v>0</v>
      </c>
      <c r="GL204">
        <f t="shared" si="162"/>
        <v>0</v>
      </c>
      <c r="GM204">
        <f t="shared" si="163"/>
        <v>10050.83</v>
      </c>
      <c r="GN204">
        <f t="shared" si="164"/>
        <v>0</v>
      </c>
      <c r="GO204">
        <f t="shared" si="165"/>
        <v>0</v>
      </c>
      <c r="GP204">
        <f t="shared" si="166"/>
        <v>10050.83</v>
      </c>
      <c r="GR204">
        <v>1</v>
      </c>
      <c r="GS204">
        <v>1</v>
      </c>
      <c r="GT204">
        <v>0</v>
      </c>
      <c r="GU204" t="s">
        <v>3</v>
      </c>
      <c r="GV204">
        <f t="shared" si="167"/>
        <v>0</v>
      </c>
      <c r="GW204">
        <v>1</v>
      </c>
      <c r="GX204">
        <f t="shared" si="168"/>
        <v>0</v>
      </c>
      <c r="HA204">
        <v>0</v>
      </c>
      <c r="HB204">
        <v>0</v>
      </c>
      <c r="HC204">
        <f t="shared" si="169"/>
        <v>0</v>
      </c>
      <c r="HE204" t="s">
        <v>38</v>
      </c>
      <c r="HF204" t="s">
        <v>38</v>
      </c>
      <c r="HM204" t="s">
        <v>3</v>
      </c>
      <c r="HN204" t="s">
        <v>3</v>
      </c>
      <c r="HO204" t="s">
        <v>3</v>
      </c>
      <c r="HP204" t="s">
        <v>3</v>
      </c>
      <c r="HQ204" t="s">
        <v>3</v>
      </c>
      <c r="IK204">
        <v>0</v>
      </c>
    </row>
    <row r="205" spans="1:245" x14ac:dyDescent="0.2">
      <c r="A205">
        <v>17</v>
      </c>
      <c r="B205">
        <v>1</v>
      </c>
      <c r="C205">
        <f>ROW(SmtRes!A98)</f>
        <v>98</v>
      </c>
      <c r="D205">
        <f>ROW(EtalonRes!A93)</f>
        <v>93</v>
      </c>
      <c r="E205" t="s">
        <v>212</v>
      </c>
      <c r="F205" t="s">
        <v>213</v>
      </c>
      <c r="G205" t="s">
        <v>214</v>
      </c>
      <c r="H205" t="s">
        <v>20</v>
      </c>
      <c r="I205">
        <f>ROUND(1/100,9)</f>
        <v>0.01</v>
      </c>
      <c r="J205">
        <v>0</v>
      </c>
      <c r="K205">
        <f>ROUND(1/100,9)</f>
        <v>0.01</v>
      </c>
      <c r="O205">
        <f t="shared" si="137"/>
        <v>470.2</v>
      </c>
      <c r="P205">
        <f t="shared" si="138"/>
        <v>264.60000000000002</v>
      </c>
      <c r="Q205">
        <f t="shared" si="139"/>
        <v>0</v>
      </c>
      <c r="R205">
        <f t="shared" si="140"/>
        <v>0</v>
      </c>
      <c r="S205">
        <f t="shared" si="141"/>
        <v>205.6</v>
      </c>
      <c r="T205">
        <f t="shared" si="142"/>
        <v>0</v>
      </c>
      <c r="U205">
        <f t="shared" si="143"/>
        <v>0.3876</v>
      </c>
      <c r="V205">
        <f t="shared" si="144"/>
        <v>0</v>
      </c>
      <c r="W205">
        <f t="shared" si="145"/>
        <v>0</v>
      </c>
      <c r="X205">
        <f t="shared" si="146"/>
        <v>143.91999999999999</v>
      </c>
      <c r="Y205">
        <f t="shared" si="147"/>
        <v>20.56</v>
      </c>
      <c r="AA205">
        <v>75703208</v>
      </c>
      <c r="AB205">
        <f t="shared" si="148"/>
        <v>47020.24</v>
      </c>
      <c r="AC205">
        <f t="shared" si="170"/>
        <v>26460</v>
      </c>
      <c r="AD205">
        <f t="shared" si="171"/>
        <v>0</v>
      </c>
      <c r="AE205">
        <f t="shared" si="172"/>
        <v>0</v>
      </c>
      <c r="AF205">
        <f t="shared" si="173"/>
        <v>20560.240000000002</v>
      </c>
      <c r="AG205">
        <f t="shared" si="149"/>
        <v>0</v>
      </c>
      <c r="AH205">
        <f t="shared" si="174"/>
        <v>38.76</v>
      </c>
      <c r="AI205">
        <f t="shared" si="175"/>
        <v>0</v>
      </c>
      <c r="AJ205">
        <f t="shared" si="150"/>
        <v>0</v>
      </c>
      <c r="AK205">
        <v>47020.24</v>
      </c>
      <c r="AL205">
        <v>26460</v>
      </c>
      <c r="AM205">
        <v>0</v>
      </c>
      <c r="AN205">
        <v>0</v>
      </c>
      <c r="AO205">
        <v>20560.240000000002</v>
      </c>
      <c r="AP205">
        <v>0</v>
      </c>
      <c r="AQ205">
        <v>38.76</v>
      </c>
      <c r="AR205">
        <v>0</v>
      </c>
      <c r="AS205">
        <v>0</v>
      </c>
      <c r="AT205">
        <v>70</v>
      </c>
      <c r="AU205">
        <v>10</v>
      </c>
      <c r="AV205">
        <v>1</v>
      </c>
      <c r="AW205">
        <v>1</v>
      </c>
      <c r="AZ205">
        <v>1</v>
      </c>
      <c r="BA205">
        <v>1</v>
      </c>
      <c r="BB205">
        <v>1</v>
      </c>
      <c r="BC205">
        <v>1</v>
      </c>
      <c r="BD205" t="s">
        <v>3</v>
      </c>
      <c r="BE205" t="s">
        <v>3</v>
      </c>
      <c r="BF205" t="s">
        <v>3</v>
      </c>
      <c r="BG205" t="s">
        <v>3</v>
      </c>
      <c r="BH205">
        <v>0</v>
      </c>
      <c r="BI205">
        <v>4</v>
      </c>
      <c r="BJ205" t="s">
        <v>215</v>
      </c>
      <c r="BM205">
        <v>0</v>
      </c>
      <c r="BN205">
        <v>75371441</v>
      </c>
      <c r="BO205" t="s">
        <v>3</v>
      </c>
      <c r="BP205">
        <v>0</v>
      </c>
      <c r="BQ205">
        <v>1</v>
      </c>
      <c r="BR205">
        <v>0</v>
      </c>
      <c r="BS205">
        <v>1</v>
      </c>
      <c r="BT205">
        <v>1</v>
      </c>
      <c r="BU205">
        <v>1</v>
      </c>
      <c r="BV205">
        <v>1</v>
      </c>
      <c r="BW205">
        <v>1</v>
      </c>
      <c r="BX205">
        <v>1</v>
      </c>
      <c r="BY205" t="s">
        <v>3</v>
      </c>
      <c r="BZ205">
        <v>70</v>
      </c>
      <c r="CA205">
        <v>10</v>
      </c>
      <c r="CB205" t="s">
        <v>3</v>
      </c>
      <c r="CE205">
        <v>0</v>
      </c>
      <c r="CF205">
        <v>0</v>
      </c>
      <c r="CG205">
        <v>0</v>
      </c>
      <c r="CM205">
        <v>0</v>
      </c>
      <c r="CN205" t="s">
        <v>3</v>
      </c>
      <c r="CO205">
        <v>0</v>
      </c>
      <c r="CP205">
        <f t="shared" si="151"/>
        <v>470.20000000000005</v>
      </c>
      <c r="CQ205">
        <f t="shared" si="152"/>
        <v>26460</v>
      </c>
      <c r="CR205">
        <f t="shared" si="176"/>
        <v>0</v>
      </c>
      <c r="CS205">
        <f t="shared" si="153"/>
        <v>0</v>
      </c>
      <c r="CT205">
        <f t="shared" si="154"/>
        <v>20560.240000000002</v>
      </c>
      <c r="CU205">
        <f t="shared" si="155"/>
        <v>0</v>
      </c>
      <c r="CV205">
        <f t="shared" si="156"/>
        <v>38.76</v>
      </c>
      <c r="CW205">
        <f t="shared" si="157"/>
        <v>0</v>
      </c>
      <c r="CX205">
        <f t="shared" si="158"/>
        <v>0</v>
      </c>
      <c r="CY205">
        <f t="shared" si="159"/>
        <v>143.91999999999999</v>
      </c>
      <c r="CZ205">
        <f t="shared" si="160"/>
        <v>20.56</v>
      </c>
      <c r="DC205" t="s">
        <v>3</v>
      </c>
      <c r="DD205" t="s">
        <v>3</v>
      </c>
      <c r="DE205" t="s">
        <v>3</v>
      </c>
      <c r="DF205" t="s">
        <v>3</v>
      </c>
      <c r="DG205" t="s">
        <v>3</v>
      </c>
      <c r="DH205" t="s">
        <v>3</v>
      </c>
      <c r="DI205" t="s">
        <v>3</v>
      </c>
      <c r="DJ205" t="s">
        <v>3</v>
      </c>
      <c r="DK205" t="s">
        <v>3</v>
      </c>
      <c r="DL205" t="s">
        <v>3</v>
      </c>
      <c r="DM205" t="s">
        <v>3</v>
      </c>
      <c r="DN205">
        <v>0</v>
      </c>
      <c r="DO205">
        <v>0</v>
      </c>
      <c r="DP205">
        <v>1</v>
      </c>
      <c r="DQ205">
        <v>1</v>
      </c>
      <c r="DU205">
        <v>1003</v>
      </c>
      <c r="DV205" t="s">
        <v>20</v>
      </c>
      <c r="DW205" t="s">
        <v>20</v>
      </c>
      <c r="DX205">
        <v>100</v>
      </c>
      <c r="DZ205" t="s">
        <v>3</v>
      </c>
      <c r="EA205" t="s">
        <v>3</v>
      </c>
      <c r="EB205" t="s">
        <v>3</v>
      </c>
      <c r="EC205" t="s">
        <v>3</v>
      </c>
      <c r="EE205">
        <v>75371444</v>
      </c>
      <c r="EF205">
        <v>1</v>
      </c>
      <c r="EG205" t="s">
        <v>22</v>
      </c>
      <c r="EH205">
        <v>0</v>
      </c>
      <c r="EI205" t="s">
        <v>3</v>
      </c>
      <c r="EJ205">
        <v>4</v>
      </c>
      <c r="EK205">
        <v>0</v>
      </c>
      <c r="EL205" t="s">
        <v>23</v>
      </c>
      <c r="EM205" t="s">
        <v>24</v>
      </c>
      <c r="EO205" t="s">
        <v>3</v>
      </c>
      <c r="EQ205">
        <v>0</v>
      </c>
      <c r="ER205">
        <v>47020.24</v>
      </c>
      <c r="ES205">
        <v>26460</v>
      </c>
      <c r="ET205">
        <v>0</v>
      </c>
      <c r="EU205">
        <v>0</v>
      </c>
      <c r="EV205">
        <v>20560.240000000002</v>
      </c>
      <c r="EW205">
        <v>38.76</v>
      </c>
      <c r="EX205">
        <v>0</v>
      </c>
      <c r="EY205">
        <v>0</v>
      </c>
      <c r="FQ205">
        <v>0</v>
      </c>
      <c r="FR205">
        <f t="shared" si="161"/>
        <v>0</v>
      </c>
      <c r="FS205">
        <v>0</v>
      </c>
      <c r="FX205">
        <v>70</v>
      </c>
      <c r="FY205">
        <v>10</v>
      </c>
      <c r="GA205" t="s">
        <v>3</v>
      </c>
      <c r="GD205">
        <v>0</v>
      </c>
      <c r="GF205">
        <v>-1291364735</v>
      </c>
      <c r="GG205">
        <v>2</v>
      </c>
      <c r="GH205">
        <v>1</v>
      </c>
      <c r="GI205">
        <v>-2</v>
      </c>
      <c r="GJ205">
        <v>0</v>
      </c>
      <c r="GK205">
        <f>ROUND(R205*(R12)/100,2)</f>
        <v>0</v>
      </c>
      <c r="GL205">
        <f t="shared" si="162"/>
        <v>0</v>
      </c>
      <c r="GM205">
        <f t="shared" si="163"/>
        <v>634.67999999999995</v>
      </c>
      <c r="GN205">
        <f t="shared" si="164"/>
        <v>0</v>
      </c>
      <c r="GO205">
        <f t="shared" si="165"/>
        <v>0</v>
      </c>
      <c r="GP205">
        <f t="shared" si="166"/>
        <v>634.67999999999995</v>
      </c>
      <c r="GR205">
        <v>0</v>
      </c>
      <c r="GS205">
        <v>3</v>
      </c>
      <c r="GT205">
        <v>0</v>
      </c>
      <c r="GU205" t="s">
        <v>3</v>
      </c>
      <c r="GV205">
        <f t="shared" si="167"/>
        <v>0</v>
      </c>
      <c r="GW205">
        <v>1</v>
      </c>
      <c r="GX205">
        <f t="shared" si="168"/>
        <v>0</v>
      </c>
      <c r="HA205">
        <v>0</v>
      </c>
      <c r="HB205">
        <v>0</v>
      </c>
      <c r="HC205">
        <f t="shared" si="169"/>
        <v>0</v>
      </c>
      <c r="HE205" t="s">
        <v>3</v>
      </c>
      <c r="HF205" t="s">
        <v>3</v>
      </c>
      <c r="HM205" t="s">
        <v>3</v>
      </c>
      <c r="HN205" t="s">
        <v>3</v>
      </c>
      <c r="HO205" t="s">
        <v>3</v>
      </c>
      <c r="HP205" t="s">
        <v>3</v>
      </c>
      <c r="HQ205" t="s">
        <v>3</v>
      </c>
      <c r="IK205">
        <v>0</v>
      </c>
    </row>
    <row r="206" spans="1:245" x14ac:dyDescent="0.2">
      <c r="A206">
        <v>17</v>
      </c>
      <c r="B206">
        <v>1</v>
      </c>
      <c r="C206">
        <f>ROW(SmtRes!A99)</f>
        <v>99</v>
      </c>
      <c r="D206">
        <f>ROW(EtalonRes!A94)</f>
        <v>94</v>
      </c>
      <c r="E206" t="s">
        <v>216</v>
      </c>
      <c r="F206" t="s">
        <v>217</v>
      </c>
      <c r="G206" t="s">
        <v>218</v>
      </c>
      <c r="H206" t="s">
        <v>219</v>
      </c>
      <c r="I206">
        <f>ROUND(2/10,9)</f>
        <v>0.2</v>
      </c>
      <c r="J206">
        <v>0</v>
      </c>
      <c r="K206">
        <f>ROUND(2/10,9)</f>
        <v>0.2</v>
      </c>
      <c r="O206">
        <f t="shared" si="137"/>
        <v>128.37</v>
      </c>
      <c r="P206">
        <f t="shared" si="138"/>
        <v>0</v>
      </c>
      <c r="Q206">
        <f t="shared" si="139"/>
        <v>0</v>
      </c>
      <c r="R206">
        <f t="shared" si="140"/>
        <v>0</v>
      </c>
      <c r="S206">
        <f t="shared" si="141"/>
        <v>128.37</v>
      </c>
      <c r="T206">
        <f t="shared" si="142"/>
        <v>0</v>
      </c>
      <c r="U206">
        <f t="shared" si="143"/>
        <v>0.24199999999999999</v>
      </c>
      <c r="V206">
        <f t="shared" si="144"/>
        <v>0</v>
      </c>
      <c r="W206">
        <f t="shared" si="145"/>
        <v>0</v>
      </c>
      <c r="X206">
        <f t="shared" si="146"/>
        <v>89.86</v>
      </c>
      <c r="Y206">
        <f t="shared" si="147"/>
        <v>12.84</v>
      </c>
      <c r="AA206">
        <v>75703208</v>
      </c>
      <c r="AB206">
        <f t="shared" si="148"/>
        <v>641.84</v>
      </c>
      <c r="AC206">
        <f t="shared" si="170"/>
        <v>0</v>
      </c>
      <c r="AD206">
        <f t="shared" si="171"/>
        <v>0</v>
      </c>
      <c r="AE206">
        <f t="shared" si="172"/>
        <v>0</v>
      </c>
      <c r="AF206">
        <f t="shared" si="173"/>
        <v>641.84</v>
      </c>
      <c r="AG206">
        <f t="shared" si="149"/>
        <v>0</v>
      </c>
      <c r="AH206">
        <f t="shared" si="174"/>
        <v>1.21</v>
      </c>
      <c r="AI206">
        <f t="shared" si="175"/>
        <v>0</v>
      </c>
      <c r="AJ206">
        <f t="shared" si="150"/>
        <v>0</v>
      </c>
      <c r="AK206">
        <v>641.84</v>
      </c>
      <c r="AL206">
        <v>0</v>
      </c>
      <c r="AM206">
        <v>0</v>
      </c>
      <c r="AN206">
        <v>0</v>
      </c>
      <c r="AO206">
        <v>641.84</v>
      </c>
      <c r="AP206">
        <v>0</v>
      </c>
      <c r="AQ206">
        <v>1.21</v>
      </c>
      <c r="AR206">
        <v>0</v>
      </c>
      <c r="AS206">
        <v>0</v>
      </c>
      <c r="AT206">
        <v>70</v>
      </c>
      <c r="AU206">
        <v>10</v>
      </c>
      <c r="AV206">
        <v>1</v>
      </c>
      <c r="AW206">
        <v>1</v>
      </c>
      <c r="AZ206">
        <v>1</v>
      </c>
      <c r="BA206">
        <v>1</v>
      </c>
      <c r="BB206">
        <v>1</v>
      </c>
      <c r="BC206">
        <v>1</v>
      </c>
      <c r="BD206" t="s">
        <v>3</v>
      </c>
      <c r="BE206" t="s">
        <v>3</v>
      </c>
      <c r="BF206" t="s">
        <v>3</v>
      </c>
      <c r="BG206" t="s">
        <v>3</v>
      </c>
      <c r="BH206">
        <v>0</v>
      </c>
      <c r="BI206">
        <v>4</v>
      </c>
      <c r="BJ206" t="s">
        <v>220</v>
      </c>
      <c r="BM206">
        <v>0</v>
      </c>
      <c r="BN206">
        <v>75371441</v>
      </c>
      <c r="BO206" t="s">
        <v>3</v>
      </c>
      <c r="BP206">
        <v>0</v>
      </c>
      <c r="BQ206">
        <v>1</v>
      </c>
      <c r="BR206">
        <v>0</v>
      </c>
      <c r="BS206">
        <v>1</v>
      </c>
      <c r="BT206">
        <v>1</v>
      </c>
      <c r="BU206">
        <v>1</v>
      </c>
      <c r="BV206">
        <v>1</v>
      </c>
      <c r="BW206">
        <v>1</v>
      </c>
      <c r="BX206">
        <v>1</v>
      </c>
      <c r="BY206" t="s">
        <v>3</v>
      </c>
      <c r="BZ206">
        <v>70</v>
      </c>
      <c r="CA206">
        <v>10</v>
      </c>
      <c r="CB206" t="s">
        <v>3</v>
      </c>
      <c r="CE206">
        <v>0</v>
      </c>
      <c r="CF206">
        <v>0</v>
      </c>
      <c r="CG206">
        <v>0</v>
      </c>
      <c r="CM206">
        <v>0</v>
      </c>
      <c r="CN206" t="s">
        <v>3</v>
      </c>
      <c r="CO206">
        <v>0</v>
      </c>
      <c r="CP206">
        <f t="shared" si="151"/>
        <v>128.37</v>
      </c>
      <c r="CQ206">
        <f t="shared" si="152"/>
        <v>0</v>
      </c>
      <c r="CR206">
        <f t="shared" si="176"/>
        <v>0</v>
      </c>
      <c r="CS206">
        <f t="shared" si="153"/>
        <v>0</v>
      </c>
      <c r="CT206">
        <f t="shared" si="154"/>
        <v>641.84</v>
      </c>
      <c r="CU206">
        <f t="shared" si="155"/>
        <v>0</v>
      </c>
      <c r="CV206">
        <f t="shared" si="156"/>
        <v>1.21</v>
      </c>
      <c r="CW206">
        <f t="shared" si="157"/>
        <v>0</v>
      </c>
      <c r="CX206">
        <f t="shared" si="158"/>
        <v>0</v>
      </c>
      <c r="CY206">
        <f t="shared" si="159"/>
        <v>89.858999999999995</v>
      </c>
      <c r="CZ206">
        <f t="shared" si="160"/>
        <v>12.837</v>
      </c>
      <c r="DC206" t="s">
        <v>3</v>
      </c>
      <c r="DD206" t="s">
        <v>3</v>
      </c>
      <c r="DE206" t="s">
        <v>3</v>
      </c>
      <c r="DF206" t="s">
        <v>3</v>
      </c>
      <c r="DG206" t="s">
        <v>3</v>
      </c>
      <c r="DH206" t="s">
        <v>3</v>
      </c>
      <c r="DI206" t="s">
        <v>3</v>
      </c>
      <c r="DJ206" t="s">
        <v>3</v>
      </c>
      <c r="DK206" t="s">
        <v>3</v>
      </c>
      <c r="DL206" t="s">
        <v>3</v>
      </c>
      <c r="DM206" t="s">
        <v>3</v>
      </c>
      <c r="DN206">
        <v>0</v>
      </c>
      <c r="DO206">
        <v>0</v>
      </c>
      <c r="DP206">
        <v>1</v>
      </c>
      <c r="DQ206">
        <v>1</v>
      </c>
      <c r="DU206">
        <v>1010</v>
      </c>
      <c r="DV206" t="s">
        <v>219</v>
      </c>
      <c r="DW206" t="s">
        <v>219</v>
      </c>
      <c r="DX206">
        <v>10</v>
      </c>
      <c r="DZ206" t="s">
        <v>3</v>
      </c>
      <c r="EA206" t="s">
        <v>3</v>
      </c>
      <c r="EB206" t="s">
        <v>3</v>
      </c>
      <c r="EC206" t="s">
        <v>3</v>
      </c>
      <c r="EE206">
        <v>75371444</v>
      </c>
      <c r="EF206">
        <v>1</v>
      </c>
      <c r="EG206" t="s">
        <v>22</v>
      </c>
      <c r="EH206">
        <v>0</v>
      </c>
      <c r="EI206" t="s">
        <v>3</v>
      </c>
      <c r="EJ206">
        <v>4</v>
      </c>
      <c r="EK206">
        <v>0</v>
      </c>
      <c r="EL206" t="s">
        <v>23</v>
      </c>
      <c r="EM206" t="s">
        <v>24</v>
      </c>
      <c r="EO206" t="s">
        <v>3</v>
      </c>
      <c r="EQ206">
        <v>0</v>
      </c>
      <c r="ER206">
        <v>641.84</v>
      </c>
      <c r="ES206">
        <v>0</v>
      </c>
      <c r="ET206">
        <v>0</v>
      </c>
      <c r="EU206">
        <v>0</v>
      </c>
      <c r="EV206">
        <v>641.84</v>
      </c>
      <c r="EW206">
        <v>1.21</v>
      </c>
      <c r="EX206">
        <v>0</v>
      </c>
      <c r="EY206">
        <v>0</v>
      </c>
      <c r="FQ206">
        <v>0</v>
      </c>
      <c r="FR206">
        <f t="shared" si="161"/>
        <v>0</v>
      </c>
      <c r="FS206">
        <v>0</v>
      </c>
      <c r="FX206">
        <v>70</v>
      </c>
      <c r="FY206">
        <v>10</v>
      </c>
      <c r="GA206" t="s">
        <v>3</v>
      </c>
      <c r="GD206">
        <v>0</v>
      </c>
      <c r="GF206">
        <v>1393993943</v>
      </c>
      <c r="GG206">
        <v>2</v>
      </c>
      <c r="GH206">
        <v>1</v>
      </c>
      <c r="GI206">
        <v>-2</v>
      </c>
      <c r="GJ206">
        <v>0</v>
      </c>
      <c r="GK206">
        <f>ROUND(R206*(R12)/100,2)</f>
        <v>0</v>
      </c>
      <c r="GL206">
        <f t="shared" si="162"/>
        <v>0</v>
      </c>
      <c r="GM206">
        <f t="shared" si="163"/>
        <v>231.07</v>
      </c>
      <c r="GN206">
        <f t="shared" si="164"/>
        <v>0</v>
      </c>
      <c r="GO206">
        <f t="shared" si="165"/>
        <v>0</v>
      </c>
      <c r="GP206">
        <f t="shared" si="166"/>
        <v>231.07</v>
      </c>
      <c r="GR206">
        <v>0</v>
      </c>
      <c r="GS206">
        <v>3</v>
      </c>
      <c r="GT206">
        <v>0</v>
      </c>
      <c r="GU206" t="s">
        <v>3</v>
      </c>
      <c r="GV206">
        <f t="shared" si="167"/>
        <v>0</v>
      </c>
      <c r="GW206">
        <v>1</v>
      </c>
      <c r="GX206">
        <f t="shared" si="168"/>
        <v>0</v>
      </c>
      <c r="HA206">
        <v>0</v>
      </c>
      <c r="HB206">
        <v>0</v>
      </c>
      <c r="HC206">
        <f t="shared" si="169"/>
        <v>0</v>
      </c>
      <c r="HE206" t="s">
        <v>3</v>
      </c>
      <c r="HF206" t="s">
        <v>3</v>
      </c>
      <c r="HM206" t="s">
        <v>3</v>
      </c>
      <c r="HN206" t="s">
        <v>3</v>
      </c>
      <c r="HO206" t="s">
        <v>3</v>
      </c>
      <c r="HP206" t="s">
        <v>3</v>
      </c>
      <c r="HQ206" t="s">
        <v>3</v>
      </c>
      <c r="IK206">
        <v>0</v>
      </c>
    </row>
    <row r="207" spans="1:245" x14ac:dyDescent="0.2">
      <c r="A207">
        <v>17</v>
      </c>
      <c r="B207">
        <v>1</v>
      </c>
      <c r="C207">
        <f>ROW(SmtRes!A104)</f>
        <v>104</v>
      </c>
      <c r="D207">
        <f>ROW(EtalonRes!A98)</f>
        <v>98</v>
      </c>
      <c r="E207" t="s">
        <v>221</v>
      </c>
      <c r="F207" t="s">
        <v>222</v>
      </c>
      <c r="G207" t="s">
        <v>223</v>
      </c>
      <c r="H207" t="s">
        <v>219</v>
      </c>
      <c r="I207">
        <f>ROUND(2/10,9)</f>
        <v>0.2</v>
      </c>
      <c r="J207">
        <v>0</v>
      </c>
      <c r="K207">
        <f>ROUND(2/10,9)</f>
        <v>0.2</v>
      </c>
      <c r="O207">
        <f t="shared" si="137"/>
        <v>194.38</v>
      </c>
      <c r="P207">
        <f t="shared" si="138"/>
        <v>11.91</v>
      </c>
      <c r="Q207">
        <f t="shared" si="139"/>
        <v>0</v>
      </c>
      <c r="R207">
        <f t="shared" si="140"/>
        <v>0</v>
      </c>
      <c r="S207">
        <f t="shared" si="141"/>
        <v>182.47</v>
      </c>
      <c r="T207">
        <f t="shared" si="142"/>
        <v>0</v>
      </c>
      <c r="U207">
        <f t="shared" si="143"/>
        <v>0.34400000000000003</v>
      </c>
      <c r="V207">
        <f t="shared" si="144"/>
        <v>0</v>
      </c>
      <c r="W207">
        <f t="shared" si="145"/>
        <v>0</v>
      </c>
      <c r="X207">
        <f t="shared" si="146"/>
        <v>127.73</v>
      </c>
      <c r="Y207">
        <f t="shared" si="147"/>
        <v>18.25</v>
      </c>
      <c r="AA207">
        <v>75703208</v>
      </c>
      <c r="AB207">
        <f t="shared" si="148"/>
        <v>971.91</v>
      </c>
      <c r="AC207">
        <f t="shared" si="170"/>
        <v>59.54</v>
      </c>
      <c r="AD207">
        <f t="shared" si="171"/>
        <v>0</v>
      </c>
      <c r="AE207">
        <f t="shared" si="172"/>
        <v>0</v>
      </c>
      <c r="AF207">
        <f t="shared" si="173"/>
        <v>912.37</v>
      </c>
      <c r="AG207">
        <f t="shared" si="149"/>
        <v>0</v>
      </c>
      <c r="AH207">
        <f t="shared" si="174"/>
        <v>1.72</v>
      </c>
      <c r="AI207">
        <f t="shared" si="175"/>
        <v>0</v>
      </c>
      <c r="AJ207">
        <f t="shared" si="150"/>
        <v>0</v>
      </c>
      <c r="AK207">
        <v>971.91</v>
      </c>
      <c r="AL207">
        <v>59.54</v>
      </c>
      <c r="AM207">
        <v>0</v>
      </c>
      <c r="AN207">
        <v>0</v>
      </c>
      <c r="AO207">
        <v>912.37</v>
      </c>
      <c r="AP207">
        <v>0</v>
      </c>
      <c r="AQ207">
        <v>1.72</v>
      </c>
      <c r="AR207">
        <v>0</v>
      </c>
      <c r="AS207">
        <v>0</v>
      </c>
      <c r="AT207">
        <v>70</v>
      </c>
      <c r="AU207">
        <v>10</v>
      </c>
      <c r="AV207">
        <v>1</v>
      </c>
      <c r="AW207">
        <v>1</v>
      </c>
      <c r="AZ207">
        <v>1</v>
      </c>
      <c r="BA207">
        <v>1</v>
      </c>
      <c r="BB207">
        <v>1</v>
      </c>
      <c r="BC207">
        <v>1</v>
      </c>
      <c r="BD207" t="s">
        <v>3</v>
      </c>
      <c r="BE207" t="s">
        <v>3</v>
      </c>
      <c r="BF207" t="s">
        <v>3</v>
      </c>
      <c r="BG207" t="s">
        <v>3</v>
      </c>
      <c r="BH207">
        <v>0</v>
      </c>
      <c r="BI207">
        <v>4</v>
      </c>
      <c r="BJ207" t="s">
        <v>224</v>
      </c>
      <c r="BM207">
        <v>0</v>
      </c>
      <c r="BN207">
        <v>75371441</v>
      </c>
      <c r="BO207" t="s">
        <v>3</v>
      </c>
      <c r="BP207">
        <v>0</v>
      </c>
      <c r="BQ207">
        <v>1</v>
      </c>
      <c r="BR207">
        <v>0</v>
      </c>
      <c r="BS207">
        <v>1</v>
      </c>
      <c r="BT207">
        <v>1</v>
      </c>
      <c r="BU207">
        <v>1</v>
      </c>
      <c r="BV207">
        <v>1</v>
      </c>
      <c r="BW207">
        <v>1</v>
      </c>
      <c r="BX207">
        <v>1</v>
      </c>
      <c r="BY207" t="s">
        <v>3</v>
      </c>
      <c r="BZ207">
        <v>70</v>
      </c>
      <c r="CA207">
        <v>10</v>
      </c>
      <c r="CB207" t="s">
        <v>3</v>
      </c>
      <c r="CE207">
        <v>0</v>
      </c>
      <c r="CF207">
        <v>0</v>
      </c>
      <c r="CG207">
        <v>0</v>
      </c>
      <c r="CM207">
        <v>0</v>
      </c>
      <c r="CN207" t="s">
        <v>3</v>
      </c>
      <c r="CO207">
        <v>0</v>
      </c>
      <c r="CP207">
        <f t="shared" si="151"/>
        <v>194.38</v>
      </c>
      <c r="CQ207">
        <f t="shared" si="152"/>
        <v>59.54</v>
      </c>
      <c r="CR207">
        <f t="shared" si="176"/>
        <v>0</v>
      </c>
      <c r="CS207">
        <f t="shared" si="153"/>
        <v>0</v>
      </c>
      <c r="CT207">
        <f t="shared" si="154"/>
        <v>912.37</v>
      </c>
      <c r="CU207">
        <f t="shared" si="155"/>
        <v>0</v>
      </c>
      <c r="CV207">
        <f t="shared" si="156"/>
        <v>1.72</v>
      </c>
      <c r="CW207">
        <f t="shared" si="157"/>
        <v>0</v>
      </c>
      <c r="CX207">
        <f t="shared" si="158"/>
        <v>0</v>
      </c>
      <c r="CY207">
        <f t="shared" si="159"/>
        <v>127.729</v>
      </c>
      <c r="CZ207">
        <f t="shared" si="160"/>
        <v>18.247</v>
      </c>
      <c r="DC207" t="s">
        <v>3</v>
      </c>
      <c r="DD207" t="s">
        <v>3</v>
      </c>
      <c r="DE207" t="s">
        <v>3</v>
      </c>
      <c r="DF207" t="s">
        <v>3</v>
      </c>
      <c r="DG207" t="s">
        <v>3</v>
      </c>
      <c r="DH207" t="s">
        <v>3</v>
      </c>
      <c r="DI207" t="s">
        <v>3</v>
      </c>
      <c r="DJ207" t="s">
        <v>3</v>
      </c>
      <c r="DK207" t="s">
        <v>3</v>
      </c>
      <c r="DL207" t="s">
        <v>3</v>
      </c>
      <c r="DM207" t="s">
        <v>3</v>
      </c>
      <c r="DN207">
        <v>0</v>
      </c>
      <c r="DO207">
        <v>0</v>
      </c>
      <c r="DP207">
        <v>1</v>
      </c>
      <c r="DQ207">
        <v>1</v>
      </c>
      <c r="DU207">
        <v>1010</v>
      </c>
      <c r="DV207" t="s">
        <v>219</v>
      </c>
      <c r="DW207" t="s">
        <v>219</v>
      </c>
      <c r="DX207">
        <v>10</v>
      </c>
      <c r="DZ207" t="s">
        <v>3</v>
      </c>
      <c r="EA207" t="s">
        <v>3</v>
      </c>
      <c r="EB207" t="s">
        <v>3</v>
      </c>
      <c r="EC207" t="s">
        <v>3</v>
      </c>
      <c r="EE207">
        <v>75371444</v>
      </c>
      <c r="EF207">
        <v>1</v>
      </c>
      <c r="EG207" t="s">
        <v>22</v>
      </c>
      <c r="EH207">
        <v>0</v>
      </c>
      <c r="EI207" t="s">
        <v>3</v>
      </c>
      <c r="EJ207">
        <v>4</v>
      </c>
      <c r="EK207">
        <v>0</v>
      </c>
      <c r="EL207" t="s">
        <v>23</v>
      </c>
      <c r="EM207" t="s">
        <v>24</v>
      </c>
      <c r="EO207" t="s">
        <v>3</v>
      </c>
      <c r="EQ207">
        <v>0</v>
      </c>
      <c r="ER207">
        <v>971.91</v>
      </c>
      <c r="ES207">
        <v>59.54</v>
      </c>
      <c r="ET207">
        <v>0</v>
      </c>
      <c r="EU207">
        <v>0</v>
      </c>
      <c r="EV207">
        <v>912.37</v>
      </c>
      <c r="EW207">
        <v>1.72</v>
      </c>
      <c r="EX207">
        <v>0</v>
      </c>
      <c r="EY207">
        <v>0</v>
      </c>
      <c r="FQ207">
        <v>0</v>
      </c>
      <c r="FR207">
        <f t="shared" si="161"/>
        <v>0</v>
      </c>
      <c r="FS207">
        <v>0</v>
      </c>
      <c r="FX207">
        <v>70</v>
      </c>
      <c r="FY207">
        <v>10</v>
      </c>
      <c r="GA207" t="s">
        <v>3</v>
      </c>
      <c r="GD207">
        <v>0</v>
      </c>
      <c r="GF207">
        <v>-1108274012</v>
      </c>
      <c r="GG207">
        <v>2</v>
      </c>
      <c r="GH207">
        <v>1</v>
      </c>
      <c r="GI207">
        <v>-2</v>
      </c>
      <c r="GJ207">
        <v>0</v>
      </c>
      <c r="GK207">
        <f>ROUND(R207*(R12)/100,2)</f>
        <v>0</v>
      </c>
      <c r="GL207">
        <f t="shared" si="162"/>
        <v>0</v>
      </c>
      <c r="GM207">
        <f t="shared" si="163"/>
        <v>340.36</v>
      </c>
      <c r="GN207">
        <f t="shared" si="164"/>
        <v>0</v>
      </c>
      <c r="GO207">
        <f t="shared" si="165"/>
        <v>0</v>
      </c>
      <c r="GP207">
        <f t="shared" si="166"/>
        <v>340.36</v>
      </c>
      <c r="GR207">
        <v>0</v>
      </c>
      <c r="GS207">
        <v>3</v>
      </c>
      <c r="GT207">
        <v>0</v>
      </c>
      <c r="GU207" t="s">
        <v>3</v>
      </c>
      <c r="GV207">
        <f t="shared" si="167"/>
        <v>0</v>
      </c>
      <c r="GW207">
        <v>1</v>
      </c>
      <c r="GX207">
        <f t="shared" si="168"/>
        <v>0</v>
      </c>
      <c r="HA207">
        <v>0</v>
      </c>
      <c r="HB207">
        <v>0</v>
      </c>
      <c r="HC207">
        <f t="shared" si="169"/>
        <v>0</v>
      </c>
      <c r="HE207" t="s">
        <v>3</v>
      </c>
      <c r="HF207" t="s">
        <v>3</v>
      </c>
      <c r="HM207" t="s">
        <v>3</v>
      </c>
      <c r="HN207" t="s">
        <v>3</v>
      </c>
      <c r="HO207" t="s">
        <v>3</v>
      </c>
      <c r="HP207" t="s">
        <v>3</v>
      </c>
      <c r="HQ207" t="s">
        <v>3</v>
      </c>
      <c r="IK207">
        <v>0</v>
      </c>
    </row>
    <row r="208" spans="1:245" x14ac:dyDescent="0.2">
      <c r="A208">
        <v>18</v>
      </c>
      <c r="B208">
        <v>1</v>
      </c>
      <c r="C208">
        <v>102</v>
      </c>
      <c r="E208" t="s">
        <v>225</v>
      </c>
      <c r="F208" t="s">
        <v>226</v>
      </c>
      <c r="G208" t="s">
        <v>227</v>
      </c>
      <c r="H208" t="s">
        <v>196</v>
      </c>
      <c r="I208">
        <f>I207*J208</f>
        <v>2</v>
      </c>
      <c r="J208">
        <v>10</v>
      </c>
      <c r="K208">
        <v>10</v>
      </c>
      <c r="O208">
        <f t="shared" si="137"/>
        <v>365.76</v>
      </c>
      <c r="P208">
        <f t="shared" si="138"/>
        <v>365.76</v>
      </c>
      <c r="Q208">
        <f t="shared" si="139"/>
        <v>0</v>
      </c>
      <c r="R208">
        <f t="shared" si="140"/>
        <v>0</v>
      </c>
      <c r="S208">
        <f t="shared" si="141"/>
        <v>0</v>
      </c>
      <c r="T208">
        <f t="shared" si="142"/>
        <v>0</v>
      </c>
      <c r="U208">
        <f t="shared" si="143"/>
        <v>0</v>
      </c>
      <c r="V208">
        <f t="shared" si="144"/>
        <v>0</v>
      </c>
      <c r="W208">
        <f t="shared" si="145"/>
        <v>0</v>
      </c>
      <c r="X208">
        <f t="shared" si="146"/>
        <v>0</v>
      </c>
      <c r="Y208">
        <f t="shared" si="147"/>
        <v>0</v>
      </c>
      <c r="AA208">
        <v>75703208</v>
      </c>
      <c r="AB208">
        <f t="shared" si="148"/>
        <v>182.88</v>
      </c>
      <c r="AC208">
        <f t="shared" si="170"/>
        <v>182.88</v>
      </c>
      <c r="AD208">
        <f t="shared" si="171"/>
        <v>0</v>
      </c>
      <c r="AE208">
        <f t="shared" si="172"/>
        <v>0</v>
      </c>
      <c r="AF208">
        <f t="shared" si="173"/>
        <v>0</v>
      </c>
      <c r="AG208">
        <f t="shared" si="149"/>
        <v>0</v>
      </c>
      <c r="AH208">
        <f t="shared" si="174"/>
        <v>0</v>
      </c>
      <c r="AI208">
        <f t="shared" si="175"/>
        <v>0</v>
      </c>
      <c r="AJ208">
        <f t="shared" si="150"/>
        <v>0</v>
      </c>
      <c r="AK208">
        <v>182.88</v>
      </c>
      <c r="AL208">
        <v>182.88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70</v>
      </c>
      <c r="AU208">
        <v>10</v>
      </c>
      <c r="AV208">
        <v>1</v>
      </c>
      <c r="AW208">
        <v>1</v>
      </c>
      <c r="AZ208">
        <v>1</v>
      </c>
      <c r="BA208">
        <v>1</v>
      </c>
      <c r="BB208">
        <v>1</v>
      </c>
      <c r="BC208">
        <v>1</v>
      </c>
      <c r="BD208" t="s">
        <v>3</v>
      </c>
      <c r="BE208" t="s">
        <v>3</v>
      </c>
      <c r="BF208" t="s">
        <v>3</v>
      </c>
      <c r="BG208" t="s">
        <v>3</v>
      </c>
      <c r="BH208">
        <v>3</v>
      </c>
      <c r="BI208">
        <v>4</v>
      </c>
      <c r="BJ208" t="s">
        <v>228</v>
      </c>
      <c r="BM208">
        <v>0</v>
      </c>
      <c r="BN208">
        <v>75371441</v>
      </c>
      <c r="BO208" t="s">
        <v>3</v>
      </c>
      <c r="BP208">
        <v>0</v>
      </c>
      <c r="BQ208">
        <v>1</v>
      </c>
      <c r="BR208">
        <v>0</v>
      </c>
      <c r="BS208">
        <v>1</v>
      </c>
      <c r="BT208">
        <v>1</v>
      </c>
      <c r="BU208">
        <v>1</v>
      </c>
      <c r="BV208">
        <v>1</v>
      </c>
      <c r="BW208">
        <v>1</v>
      </c>
      <c r="BX208">
        <v>1</v>
      </c>
      <c r="BY208" t="s">
        <v>3</v>
      </c>
      <c r="BZ208">
        <v>70</v>
      </c>
      <c r="CA208">
        <v>10</v>
      </c>
      <c r="CB208" t="s">
        <v>3</v>
      </c>
      <c r="CE208">
        <v>0</v>
      </c>
      <c r="CF208">
        <v>0</v>
      </c>
      <c r="CG208">
        <v>0</v>
      </c>
      <c r="CM208">
        <v>0</v>
      </c>
      <c r="CN208" t="s">
        <v>3</v>
      </c>
      <c r="CO208">
        <v>0</v>
      </c>
      <c r="CP208">
        <f t="shared" si="151"/>
        <v>365.76</v>
      </c>
      <c r="CQ208">
        <f t="shared" si="152"/>
        <v>182.88</v>
      </c>
      <c r="CR208">
        <f t="shared" si="176"/>
        <v>0</v>
      </c>
      <c r="CS208">
        <f t="shared" si="153"/>
        <v>0</v>
      </c>
      <c r="CT208">
        <f t="shared" si="154"/>
        <v>0</v>
      </c>
      <c r="CU208">
        <f t="shared" si="155"/>
        <v>0</v>
      </c>
      <c r="CV208">
        <f t="shared" si="156"/>
        <v>0</v>
      </c>
      <c r="CW208">
        <f t="shared" si="157"/>
        <v>0</v>
      </c>
      <c r="CX208">
        <f t="shared" si="158"/>
        <v>0</v>
      </c>
      <c r="CY208">
        <f t="shared" si="159"/>
        <v>0</v>
      </c>
      <c r="CZ208">
        <f t="shared" si="160"/>
        <v>0</v>
      </c>
      <c r="DC208" t="s">
        <v>3</v>
      </c>
      <c r="DD208" t="s">
        <v>3</v>
      </c>
      <c r="DE208" t="s">
        <v>3</v>
      </c>
      <c r="DF208" t="s">
        <v>3</v>
      </c>
      <c r="DG208" t="s">
        <v>3</v>
      </c>
      <c r="DH208" t="s">
        <v>3</v>
      </c>
      <c r="DI208" t="s">
        <v>3</v>
      </c>
      <c r="DJ208" t="s">
        <v>3</v>
      </c>
      <c r="DK208" t="s">
        <v>3</v>
      </c>
      <c r="DL208" t="s">
        <v>3</v>
      </c>
      <c r="DM208" t="s">
        <v>3</v>
      </c>
      <c r="DN208">
        <v>0</v>
      </c>
      <c r="DO208">
        <v>0</v>
      </c>
      <c r="DP208">
        <v>1</v>
      </c>
      <c r="DQ208">
        <v>1</v>
      </c>
      <c r="DU208">
        <v>1010</v>
      </c>
      <c r="DV208" t="s">
        <v>196</v>
      </c>
      <c r="DW208" t="s">
        <v>196</v>
      </c>
      <c r="DX208">
        <v>1</v>
      </c>
      <c r="DZ208" t="s">
        <v>3</v>
      </c>
      <c r="EA208" t="s">
        <v>3</v>
      </c>
      <c r="EB208" t="s">
        <v>3</v>
      </c>
      <c r="EC208" t="s">
        <v>3</v>
      </c>
      <c r="EE208">
        <v>75371444</v>
      </c>
      <c r="EF208">
        <v>1</v>
      </c>
      <c r="EG208" t="s">
        <v>22</v>
      </c>
      <c r="EH208">
        <v>0</v>
      </c>
      <c r="EI208" t="s">
        <v>3</v>
      </c>
      <c r="EJ208">
        <v>4</v>
      </c>
      <c r="EK208">
        <v>0</v>
      </c>
      <c r="EL208" t="s">
        <v>23</v>
      </c>
      <c r="EM208" t="s">
        <v>24</v>
      </c>
      <c r="EO208" t="s">
        <v>3</v>
      </c>
      <c r="EQ208">
        <v>0</v>
      </c>
      <c r="ER208">
        <v>182.88</v>
      </c>
      <c r="ES208">
        <v>182.88</v>
      </c>
      <c r="ET208">
        <v>0</v>
      </c>
      <c r="EU208">
        <v>0</v>
      </c>
      <c r="EV208">
        <v>0</v>
      </c>
      <c r="EW208">
        <v>0</v>
      </c>
      <c r="EX208">
        <v>0</v>
      </c>
      <c r="FQ208">
        <v>0</v>
      </c>
      <c r="FR208">
        <f t="shared" si="161"/>
        <v>0</v>
      </c>
      <c r="FS208">
        <v>0</v>
      </c>
      <c r="FX208">
        <v>70</v>
      </c>
      <c r="FY208">
        <v>10</v>
      </c>
      <c r="GA208" t="s">
        <v>3</v>
      </c>
      <c r="GD208">
        <v>0</v>
      </c>
      <c r="GF208">
        <v>331574299</v>
      </c>
      <c r="GG208">
        <v>2</v>
      </c>
      <c r="GH208">
        <v>1</v>
      </c>
      <c r="GI208">
        <v>-2</v>
      </c>
      <c r="GJ208">
        <v>0</v>
      </c>
      <c r="GK208">
        <f>ROUND(R208*(R12)/100,2)</f>
        <v>0</v>
      </c>
      <c r="GL208">
        <f t="shared" si="162"/>
        <v>0</v>
      </c>
      <c r="GM208">
        <f t="shared" si="163"/>
        <v>365.76</v>
      </c>
      <c r="GN208">
        <f t="shared" si="164"/>
        <v>0</v>
      </c>
      <c r="GO208">
        <f t="shared" si="165"/>
        <v>0</v>
      </c>
      <c r="GP208">
        <f t="shared" si="166"/>
        <v>365.76</v>
      </c>
      <c r="GR208">
        <v>0</v>
      </c>
      <c r="GS208">
        <v>3</v>
      </c>
      <c r="GT208">
        <v>0</v>
      </c>
      <c r="GU208" t="s">
        <v>3</v>
      </c>
      <c r="GV208">
        <f t="shared" si="167"/>
        <v>0</v>
      </c>
      <c r="GW208">
        <v>1</v>
      </c>
      <c r="GX208">
        <f t="shared" si="168"/>
        <v>0</v>
      </c>
      <c r="HA208">
        <v>0</v>
      </c>
      <c r="HB208">
        <v>0</v>
      </c>
      <c r="HC208">
        <f t="shared" si="169"/>
        <v>0</v>
      </c>
      <c r="HE208" t="s">
        <v>3</v>
      </c>
      <c r="HF208" t="s">
        <v>3</v>
      </c>
      <c r="HM208" t="s">
        <v>3</v>
      </c>
      <c r="HN208" t="s">
        <v>3</v>
      </c>
      <c r="HO208" t="s">
        <v>3</v>
      </c>
      <c r="HP208" t="s">
        <v>3</v>
      </c>
      <c r="HQ208" t="s">
        <v>3</v>
      </c>
      <c r="IK208">
        <v>0</v>
      </c>
    </row>
    <row r="210" spans="1:206" x14ac:dyDescent="0.2">
      <c r="A210" s="2">
        <v>51</v>
      </c>
      <c r="B210" s="2">
        <f>B192</f>
        <v>1</v>
      </c>
      <c r="C210" s="2">
        <f>A192</f>
        <v>5</v>
      </c>
      <c r="D210" s="2">
        <f>ROW(A192)</f>
        <v>192</v>
      </c>
      <c r="E210" s="2"/>
      <c r="F210" s="2" t="str">
        <f>IF(F192&lt;&gt;"",F192,"")</f>
        <v>Новый подраздел</v>
      </c>
      <c r="G210" s="2" t="str">
        <f>IF(G192&lt;&gt;"",G192,"")</f>
        <v>Инженерные сети</v>
      </c>
      <c r="H210" s="2">
        <v>0</v>
      </c>
      <c r="I210" s="2"/>
      <c r="J210" s="2"/>
      <c r="K210" s="2"/>
      <c r="L210" s="2"/>
      <c r="M210" s="2"/>
      <c r="N210" s="2"/>
      <c r="O210" s="2">
        <f t="shared" ref="O210:T210" si="177">ROUND(AB210,2)</f>
        <v>19529.349999999999</v>
      </c>
      <c r="P210" s="2">
        <f t="shared" si="177"/>
        <v>17171.68</v>
      </c>
      <c r="Q210" s="2">
        <f t="shared" si="177"/>
        <v>0.12</v>
      </c>
      <c r="R210" s="2">
        <f t="shared" si="177"/>
        <v>0.04</v>
      </c>
      <c r="S210" s="2">
        <f t="shared" si="177"/>
        <v>2357.5500000000002</v>
      </c>
      <c r="T210" s="2">
        <f t="shared" si="177"/>
        <v>0</v>
      </c>
      <c r="U210" s="2">
        <f>AH210</f>
        <v>4.7559200000000006</v>
      </c>
      <c r="V210" s="2">
        <f>AI210</f>
        <v>0</v>
      </c>
      <c r="W210" s="2">
        <f>ROUND(AJ210,2)</f>
        <v>0</v>
      </c>
      <c r="X210" s="2">
        <f>ROUND(AK210,2)</f>
        <v>1650.3</v>
      </c>
      <c r="Y210" s="2">
        <f>ROUND(AL210,2)</f>
        <v>235.77</v>
      </c>
      <c r="Z210" s="2"/>
      <c r="AA210" s="2"/>
      <c r="AB210" s="2">
        <f>ROUND(SUMIF(AA196:AA208,"=75703208",O196:O208),2)</f>
        <v>19529.349999999999</v>
      </c>
      <c r="AC210" s="2">
        <f>ROUND(SUMIF(AA196:AA208,"=75703208",P196:P208),2)</f>
        <v>17171.68</v>
      </c>
      <c r="AD210" s="2">
        <f>ROUND(SUMIF(AA196:AA208,"=75703208",Q196:Q208),2)</f>
        <v>0.12</v>
      </c>
      <c r="AE210" s="2">
        <f>ROUND(SUMIF(AA196:AA208,"=75703208",R196:R208),2)</f>
        <v>0.04</v>
      </c>
      <c r="AF210" s="2">
        <f>ROUND(SUMIF(AA196:AA208,"=75703208",S196:S208),2)</f>
        <v>2357.5500000000002</v>
      </c>
      <c r="AG210" s="2">
        <f>ROUND(SUMIF(AA196:AA208,"=75703208",T196:T208),2)</f>
        <v>0</v>
      </c>
      <c r="AH210" s="2">
        <f>SUMIF(AA196:AA208,"=75703208",U196:U208)</f>
        <v>4.7559200000000006</v>
      </c>
      <c r="AI210" s="2">
        <f>SUMIF(AA196:AA208,"=75703208",V196:V208)</f>
        <v>0</v>
      </c>
      <c r="AJ210" s="2">
        <f>ROUND(SUMIF(AA196:AA208,"=75703208",W196:W208),2)</f>
        <v>0</v>
      </c>
      <c r="AK210" s="2">
        <f>ROUND(SUMIF(AA196:AA208,"=75703208",X196:X208),2)</f>
        <v>1650.3</v>
      </c>
      <c r="AL210" s="2">
        <f>ROUND(SUMIF(AA196:AA208,"=75703208",Y196:Y208),2)</f>
        <v>235.77</v>
      </c>
      <c r="AM210" s="2"/>
      <c r="AN210" s="2"/>
      <c r="AO210" s="2">
        <f t="shared" ref="AO210:BD210" si="178">ROUND(BX210,2)</f>
        <v>0</v>
      </c>
      <c r="AP210" s="2">
        <f t="shared" si="178"/>
        <v>0</v>
      </c>
      <c r="AQ210" s="2">
        <f t="shared" si="178"/>
        <v>0</v>
      </c>
      <c r="AR210" s="2">
        <f t="shared" si="178"/>
        <v>21415.46</v>
      </c>
      <c r="AS210" s="2">
        <f t="shared" si="178"/>
        <v>0</v>
      </c>
      <c r="AT210" s="2">
        <f t="shared" si="178"/>
        <v>0</v>
      </c>
      <c r="AU210" s="2">
        <f t="shared" si="178"/>
        <v>21415.46</v>
      </c>
      <c r="AV210" s="2">
        <f t="shared" si="178"/>
        <v>17171.68</v>
      </c>
      <c r="AW210" s="2">
        <f t="shared" si="178"/>
        <v>17171.68</v>
      </c>
      <c r="AX210" s="2">
        <f t="shared" si="178"/>
        <v>0</v>
      </c>
      <c r="AY210" s="2">
        <f t="shared" si="178"/>
        <v>17171.68</v>
      </c>
      <c r="AZ210" s="2">
        <f t="shared" si="178"/>
        <v>0</v>
      </c>
      <c r="BA210" s="2">
        <f t="shared" si="178"/>
        <v>0</v>
      </c>
      <c r="BB210" s="2">
        <f t="shared" si="178"/>
        <v>0</v>
      </c>
      <c r="BC210" s="2">
        <f t="shared" si="178"/>
        <v>0</v>
      </c>
      <c r="BD210" s="2">
        <f t="shared" si="178"/>
        <v>0</v>
      </c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  <c r="BU210" s="2"/>
      <c r="BV210" s="2"/>
      <c r="BW210" s="2"/>
      <c r="BX210" s="2">
        <f>ROUND(SUMIF(AA196:AA208,"=75703208",FQ196:FQ208),2)</f>
        <v>0</v>
      </c>
      <c r="BY210" s="2">
        <f>ROUND(SUMIF(AA196:AA208,"=75703208",FR196:FR208),2)</f>
        <v>0</v>
      </c>
      <c r="BZ210" s="2">
        <f>ROUND(SUMIF(AA196:AA208,"=75703208",GL196:GL208),2)</f>
        <v>0</v>
      </c>
      <c r="CA210" s="2">
        <f>ROUND(SUMIF(AA196:AA208,"=75703208",GM196:GM208),2)</f>
        <v>21415.46</v>
      </c>
      <c r="CB210" s="2">
        <f>ROUND(SUMIF(AA196:AA208,"=75703208",GN196:GN208),2)</f>
        <v>0</v>
      </c>
      <c r="CC210" s="2">
        <f>ROUND(SUMIF(AA196:AA208,"=75703208",GO196:GO208),2)</f>
        <v>0</v>
      </c>
      <c r="CD210" s="2">
        <f>ROUND(SUMIF(AA196:AA208,"=75703208",GP196:GP208),2)</f>
        <v>21415.46</v>
      </c>
      <c r="CE210" s="2">
        <f>AC210-BX210</f>
        <v>17171.68</v>
      </c>
      <c r="CF210" s="2">
        <f>AC210-BY210</f>
        <v>17171.68</v>
      </c>
      <c r="CG210" s="2">
        <f>BX210-BZ210</f>
        <v>0</v>
      </c>
      <c r="CH210" s="2">
        <f>AC210-BX210-BY210+BZ210</f>
        <v>17171.68</v>
      </c>
      <c r="CI210" s="2">
        <f>BY210-BZ210</f>
        <v>0</v>
      </c>
      <c r="CJ210" s="2">
        <f>ROUND(SUMIF(AA196:AA208,"=75703208",GX196:GX208),2)</f>
        <v>0</v>
      </c>
      <c r="CK210" s="2">
        <f>ROUND(SUMIF(AA196:AA208,"=75703208",GY196:GY208),2)</f>
        <v>0</v>
      </c>
      <c r="CL210" s="2">
        <f>ROUND(SUMIF(AA196:AA208,"=75703208",GZ196:GZ208),2)</f>
        <v>0</v>
      </c>
      <c r="CM210" s="2">
        <f>ROUND(SUMIF(AA196:AA208,"=75703208",HD196:HD208),2)</f>
        <v>0</v>
      </c>
      <c r="CN210" s="2"/>
      <c r="CO210" s="2"/>
      <c r="CP210" s="2"/>
      <c r="CQ210" s="2"/>
      <c r="CR210" s="2"/>
      <c r="CS210" s="2"/>
      <c r="CT210" s="2"/>
      <c r="CU210" s="2"/>
      <c r="CV210" s="2"/>
      <c r="CW210" s="2"/>
      <c r="CX210" s="2"/>
      <c r="CY210" s="2"/>
      <c r="CZ210" s="2"/>
      <c r="DA210" s="2"/>
      <c r="DB210" s="2"/>
      <c r="DC210" s="2"/>
      <c r="DD210" s="2"/>
      <c r="DE210" s="2"/>
      <c r="DF210" s="2"/>
      <c r="DG210" s="3"/>
      <c r="DH210" s="3"/>
      <c r="DI210" s="3"/>
      <c r="DJ210" s="3"/>
      <c r="DK210" s="3"/>
      <c r="DL210" s="3"/>
      <c r="DM210" s="3"/>
      <c r="DN210" s="3"/>
      <c r="DO210" s="3"/>
      <c r="DP210" s="3"/>
      <c r="DQ210" s="3"/>
      <c r="DR210" s="3"/>
      <c r="DS210" s="3"/>
      <c r="DT210" s="3"/>
      <c r="DU210" s="3"/>
      <c r="DV210" s="3"/>
      <c r="DW210" s="3"/>
      <c r="DX210" s="3"/>
      <c r="DY210" s="3"/>
      <c r="DZ210" s="3"/>
      <c r="EA210" s="3"/>
      <c r="EB210" s="3"/>
      <c r="EC210" s="3"/>
      <c r="ED210" s="3"/>
      <c r="EE210" s="3"/>
      <c r="EF210" s="3"/>
      <c r="EG210" s="3"/>
      <c r="EH210" s="3"/>
      <c r="EI210" s="3"/>
      <c r="EJ210" s="3"/>
      <c r="EK210" s="3"/>
      <c r="EL210" s="3"/>
      <c r="EM210" s="3"/>
      <c r="EN210" s="3"/>
      <c r="EO210" s="3"/>
      <c r="EP210" s="3"/>
      <c r="EQ210" s="3"/>
      <c r="ER210" s="3"/>
      <c r="ES210" s="3"/>
      <c r="ET210" s="3"/>
      <c r="EU210" s="3"/>
      <c r="EV210" s="3"/>
      <c r="EW210" s="3"/>
      <c r="EX210" s="3"/>
      <c r="EY210" s="3"/>
      <c r="EZ210" s="3"/>
      <c r="FA210" s="3"/>
      <c r="FB210" s="3"/>
      <c r="FC210" s="3"/>
      <c r="FD210" s="3"/>
      <c r="FE210" s="3"/>
      <c r="FF210" s="3"/>
      <c r="FG210" s="3"/>
      <c r="FH210" s="3"/>
      <c r="FI210" s="3"/>
      <c r="FJ210" s="3"/>
      <c r="FK210" s="3"/>
      <c r="FL210" s="3"/>
      <c r="FM210" s="3"/>
      <c r="FN210" s="3"/>
      <c r="FO210" s="3"/>
      <c r="FP210" s="3"/>
      <c r="FQ210" s="3"/>
      <c r="FR210" s="3"/>
      <c r="FS210" s="3"/>
      <c r="FT210" s="3"/>
      <c r="FU210" s="3"/>
      <c r="FV210" s="3"/>
      <c r="FW210" s="3"/>
      <c r="FX210" s="3"/>
      <c r="FY210" s="3"/>
      <c r="FZ210" s="3"/>
      <c r="GA210" s="3"/>
      <c r="GB210" s="3"/>
      <c r="GC210" s="3"/>
      <c r="GD210" s="3"/>
      <c r="GE210" s="3"/>
      <c r="GF210" s="3"/>
      <c r="GG210" s="3"/>
      <c r="GH210" s="3"/>
      <c r="GI210" s="3"/>
      <c r="GJ210" s="3"/>
      <c r="GK210" s="3"/>
      <c r="GL210" s="3"/>
      <c r="GM210" s="3"/>
      <c r="GN210" s="3"/>
      <c r="GO210" s="3"/>
      <c r="GP210" s="3"/>
      <c r="GQ210" s="3"/>
      <c r="GR210" s="3"/>
      <c r="GS210" s="3"/>
      <c r="GT210" s="3"/>
      <c r="GU210" s="3"/>
      <c r="GV210" s="3"/>
      <c r="GW210" s="3"/>
      <c r="GX210" s="3">
        <v>0</v>
      </c>
    </row>
    <row r="212" spans="1:206" x14ac:dyDescent="0.2">
      <c r="A212" s="4">
        <v>50</v>
      </c>
      <c r="B212" s="4">
        <v>0</v>
      </c>
      <c r="C212" s="4">
        <v>0</v>
      </c>
      <c r="D212" s="4">
        <v>1</v>
      </c>
      <c r="E212" s="4">
        <v>201</v>
      </c>
      <c r="F212" s="4">
        <f>ROUND(Source!O210,O212)</f>
        <v>19529.349999999999</v>
      </c>
      <c r="G212" s="4" t="s">
        <v>86</v>
      </c>
      <c r="H212" s="4" t="s">
        <v>87</v>
      </c>
      <c r="I212" s="4"/>
      <c r="J212" s="4"/>
      <c r="K212" s="4">
        <v>201</v>
      </c>
      <c r="L212" s="4">
        <v>1</v>
      </c>
      <c r="M212" s="4">
        <v>3</v>
      </c>
      <c r="N212" s="4" t="s">
        <v>3</v>
      </c>
      <c r="O212" s="4">
        <v>2</v>
      </c>
      <c r="P212" s="4"/>
      <c r="Q212" s="4"/>
      <c r="R212" s="4"/>
      <c r="S212" s="4"/>
      <c r="T212" s="4"/>
      <c r="U212" s="4"/>
      <c r="V212" s="4"/>
      <c r="W212" s="4">
        <v>19529.349999999999</v>
      </c>
      <c r="X212" s="4">
        <v>1</v>
      </c>
      <c r="Y212" s="4">
        <v>19529.349999999999</v>
      </c>
      <c r="Z212" s="4"/>
      <c r="AA212" s="4"/>
      <c r="AB212" s="4"/>
    </row>
    <row r="213" spans="1:206" x14ac:dyDescent="0.2">
      <c r="A213" s="4">
        <v>50</v>
      </c>
      <c r="B213" s="4">
        <v>0</v>
      </c>
      <c r="C213" s="4">
        <v>0</v>
      </c>
      <c r="D213" s="4">
        <v>1</v>
      </c>
      <c r="E213" s="4">
        <v>202</v>
      </c>
      <c r="F213" s="4">
        <f>ROUND(Source!P210,O213)</f>
        <v>17171.68</v>
      </c>
      <c r="G213" s="4" t="s">
        <v>88</v>
      </c>
      <c r="H213" s="4" t="s">
        <v>89</v>
      </c>
      <c r="I213" s="4"/>
      <c r="J213" s="4"/>
      <c r="K213" s="4">
        <v>202</v>
      </c>
      <c r="L213" s="4">
        <v>2</v>
      </c>
      <c r="M213" s="4">
        <v>3</v>
      </c>
      <c r="N213" s="4" t="s">
        <v>3</v>
      </c>
      <c r="O213" s="4">
        <v>2</v>
      </c>
      <c r="P213" s="4"/>
      <c r="Q213" s="4"/>
      <c r="R213" s="4"/>
      <c r="S213" s="4"/>
      <c r="T213" s="4"/>
      <c r="U213" s="4"/>
      <c r="V213" s="4"/>
      <c r="W213" s="4">
        <v>17171.68</v>
      </c>
      <c r="X213" s="4">
        <v>1</v>
      </c>
      <c r="Y213" s="4">
        <v>17171.68</v>
      </c>
      <c r="Z213" s="4"/>
      <c r="AA213" s="4"/>
      <c r="AB213" s="4"/>
    </row>
    <row r="214" spans="1:206" x14ac:dyDescent="0.2">
      <c r="A214" s="4">
        <v>50</v>
      </c>
      <c r="B214" s="4">
        <v>0</v>
      </c>
      <c r="C214" s="4">
        <v>0</v>
      </c>
      <c r="D214" s="4">
        <v>1</v>
      </c>
      <c r="E214" s="4">
        <v>222</v>
      </c>
      <c r="F214" s="4">
        <f>ROUND(Source!AO210,O214)</f>
        <v>0</v>
      </c>
      <c r="G214" s="4" t="s">
        <v>90</v>
      </c>
      <c r="H214" s="4" t="s">
        <v>91</v>
      </c>
      <c r="I214" s="4"/>
      <c r="J214" s="4"/>
      <c r="K214" s="4">
        <v>222</v>
      </c>
      <c r="L214" s="4">
        <v>3</v>
      </c>
      <c r="M214" s="4">
        <v>3</v>
      </c>
      <c r="N214" s="4" t="s">
        <v>3</v>
      </c>
      <c r="O214" s="4">
        <v>2</v>
      </c>
      <c r="P214" s="4"/>
      <c r="Q214" s="4"/>
      <c r="R214" s="4"/>
      <c r="S214" s="4"/>
      <c r="T214" s="4"/>
      <c r="U214" s="4"/>
      <c r="V214" s="4"/>
      <c r="W214" s="4">
        <v>0</v>
      </c>
      <c r="X214" s="4">
        <v>1</v>
      </c>
      <c r="Y214" s="4">
        <v>0</v>
      </c>
      <c r="Z214" s="4"/>
      <c r="AA214" s="4"/>
      <c r="AB214" s="4"/>
    </row>
    <row r="215" spans="1:206" x14ac:dyDescent="0.2">
      <c r="A215" s="4">
        <v>50</v>
      </c>
      <c r="B215" s="4">
        <v>0</v>
      </c>
      <c r="C215" s="4">
        <v>0</v>
      </c>
      <c r="D215" s="4">
        <v>1</v>
      </c>
      <c r="E215" s="4">
        <v>225</v>
      </c>
      <c r="F215" s="4">
        <f>ROUND(Source!AV210,O215)</f>
        <v>17171.68</v>
      </c>
      <c r="G215" s="4" t="s">
        <v>92</v>
      </c>
      <c r="H215" s="4" t="s">
        <v>93</v>
      </c>
      <c r="I215" s="4"/>
      <c r="J215" s="4"/>
      <c r="K215" s="4">
        <v>225</v>
      </c>
      <c r="L215" s="4">
        <v>4</v>
      </c>
      <c r="M215" s="4">
        <v>3</v>
      </c>
      <c r="N215" s="4" t="s">
        <v>3</v>
      </c>
      <c r="O215" s="4">
        <v>2</v>
      </c>
      <c r="P215" s="4"/>
      <c r="Q215" s="4"/>
      <c r="R215" s="4"/>
      <c r="S215" s="4"/>
      <c r="T215" s="4"/>
      <c r="U215" s="4"/>
      <c r="V215" s="4"/>
      <c r="W215" s="4">
        <v>17171.68</v>
      </c>
      <c r="X215" s="4">
        <v>1</v>
      </c>
      <c r="Y215" s="4">
        <v>17171.68</v>
      </c>
      <c r="Z215" s="4"/>
      <c r="AA215" s="4"/>
      <c r="AB215" s="4"/>
    </row>
    <row r="216" spans="1:206" x14ac:dyDescent="0.2">
      <c r="A216" s="4">
        <v>50</v>
      </c>
      <c r="B216" s="4">
        <v>0</v>
      </c>
      <c r="C216" s="4">
        <v>0</v>
      </c>
      <c r="D216" s="4">
        <v>1</v>
      </c>
      <c r="E216" s="4">
        <v>226</v>
      </c>
      <c r="F216" s="4">
        <f>ROUND(Source!AW210,O216)</f>
        <v>17171.68</v>
      </c>
      <c r="G216" s="4" t="s">
        <v>94</v>
      </c>
      <c r="H216" s="4" t="s">
        <v>95</v>
      </c>
      <c r="I216" s="4"/>
      <c r="J216" s="4"/>
      <c r="K216" s="4">
        <v>226</v>
      </c>
      <c r="L216" s="4">
        <v>5</v>
      </c>
      <c r="M216" s="4">
        <v>3</v>
      </c>
      <c r="N216" s="4" t="s">
        <v>3</v>
      </c>
      <c r="O216" s="4">
        <v>2</v>
      </c>
      <c r="P216" s="4"/>
      <c r="Q216" s="4"/>
      <c r="R216" s="4"/>
      <c r="S216" s="4"/>
      <c r="T216" s="4"/>
      <c r="U216" s="4"/>
      <c r="V216" s="4"/>
      <c r="W216" s="4">
        <v>17171.68</v>
      </c>
      <c r="X216" s="4">
        <v>1</v>
      </c>
      <c r="Y216" s="4">
        <v>17171.68</v>
      </c>
      <c r="Z216" s="4"/>
      <c r="AA216" s="4"/>
      <c r="AB216" s="4"/>
    </row>
    <row r="217" spans="1:206" x14ac:dyDescent="0.2">
      <c r="A217" s="4">
        <v>50</v>
      </c>
      <c r="B217" s="4">
        <v>0</v>
      </c>
      <c r="C217" s="4">
        <v>0</v>
      </c>
      <c r="D217" s="4">
        <v>1</v>
      </c>
      <c r="E217" s="4">
        <v>227</v>
      </c>
      <c r="F217" s="4">
        <f>ROUND(Source!AX210,O217)</f>
        <v>0</v>
      </c>
      <c r="G217" s="4" t="s">
        <v>96</v>
      </c>
      <c r="H217" s="4" t="s">
        <v>97</v>
      </c>
      <c r="I217" s="4"/>
      <c r="J217" s="4"/>
      <c r="K217" s="4">
        <v>227</v>
      </c>
      <c r="L217" s="4">
        <v>6</v>
      </c>
      <c r="M217" s="4">
        <v>3</v>
      </c>
      <c r="N217" s="4" t="s">
        <v>3</v>
      </c>
      <c r="O217" s="4">
        <v>2</v>
      </c>
      <c r="P217" s="4"/>
      <c r="Q217" s="4"/>
      <c r="R217" s="4"/>
      <c r="S217" s="4"/>
      <c r="T217" s="4"/>
      <c r="U217" s="4"/>
      <c r="V217" s="4"/>
      <c r="W217" s="4">
        <v>0</v>
      </c>
      <c r="X217" s="4">
        <v>1</v>
      </c>
      <c r="Y217" s="4">
        <v>0</v>
      </c>
      <c r="Z217" s="4"/>
      <c r="AA217" s="4"/>
      <c r="AB217" s="4"/>
    </row>
    <row r="218" spans="1:206" x14ac:dyDescent="0.2">
      <c r="A218" s="4">
        <v>50</v>
      </c>
      <c r="B218" s="4">
        <v>0</v>
      </c>
      <c r="C218" s="4">
        <v>0</v>
      </c>
      <c r="D218" s="4">
        <v>1</v>
      </c>
      <c r="E218" s="4">
        <v>228</v>
      </c>
      <c r="F218" s="4">
        <f>ROUND(Source!AY210,O218)</f>
        <v>17171.68</v>
      </c>
      <c r="G218" s="4" t="s">
        <v>98</v>
      </c>
      <c r="H218" s="4" t="s">
        <v>99</v>
      </c>
      <c r="I218" s="4"/>
      <c r="J218" s="4"/>
      <c r="K218" s="4">
        <v>228</v>
      </c>
      <c r="L218" s="4">
        <v>7</v>
      </c>
      <c r="M218" s="4">
        <v>3</v>
      </c>
      <c r="N218" s="4" t="s">
        <v>3</v>
      </c>
      <c r="O218" s="4">
        <v>2</v>
      </c>
      <c r="P218" s="4"/>
      <c r="Q218" s="4"/>
      <c r="R218" s="4"/>
      <c r="S218" s="4"/>
      <c r="T218" s="4"/>
      <c r="U218" s="4"/>
      <c r="V218" s="4"/>
      <c r="W218" s="4">
        <v>17171.68</v>
      </c>
      <c r="X218" s="4">
        <v>1</v>
      </c>
      <c r="Y218" s="4">
        <v>17171.68</v>
      </c>
      <c r="Z218" s="4"/>
      <c r="AA218" s="4"/>
      <c r="AB218" s="4"/>
    </row>
    <row r="219" spans="1:206" x14ac:dyDescent="0.2">
      <c r="A219" s="4">
        <v>50</v>
      </c>
      <c r="B219" s="4">
        <v>0</v>
      </c>
      <c r="C219" s="4">
        <v>0</v>
      </c>
      <c r="D219" s="4">
        <v>1</v>
      </c>
      <c r="E219" s="4">
        <v>216</v>
      </c>
      <c r="F219" s="4">
        <f>ROUND(Source!AP210,O219)</f>
        <v>0</v>
      </c>
      <c r="G219" s="4" t="s">
        <v>100</v>
      </c>
      <c r="H219" s="4" t="s">
        <v>101</v>
      </c>
      <c r="I219" s="4"/>
      <c r="J219" s="4"/>
      <c r="K219" s="4">
        <v>216</v>
      </c>
      <c r="L219" s="4">
        <v>8</v>
      </c>
      <c r="M219" s="4">
        <v>3</v>
      </c>
      <c r="N219" s="4" t="s">
        <v>3</v>
      </c>
      <c r="O219" s="4">
        <v>2</v>
      </c>
      <c r="P219" s="4"/>
      <c r="Q219" s="4"/>
      <c r="R219" s="4"/>
      <c r="S219" s="4"/>
      <c r="T219" s="4"/>
      <c r="U219" s="4"/>
      <c r="V219" s="4"/>
      <c r="W219" s="4">
        <v>0</v>
      </c>
      <c r="X219" s="4">
        <v>1</v>
      </c>
      <c r="Y219" s="4">
        <v>0</v>
      </c>
      <c r="Z219" s="4"/>
      <c r="AA219" s="4"/>
      <c r="AB219" s="4"/>
    </row>
    <row r="220" spans="1:206" x14ac:dyDescent="0.2">
      <c r="A220" s="4">
        <v>50</v>
      </c>
      <c r="B220" s="4">
        <v>0</v>
      </c>
      <c r="C220" s="4">
        <v>0</v>
      </c>
      <c r="D220" s="4">
        <v>1</v>
      </c>
      <c r="E220" s="4">
        <v>223</v>
      </c>
      <c r="F220" s="4">
        <f>ROUND(Source!AQ210,O220)</f>
        <v>0</v>
      </c>
      <c r="G220" s="4" t="s">
        <v>102</v>
      </c>
      <c r="H220" s="4" t="s">
        <v>103</v>
      </c>
      <c r="I220" s="4"/>
      <c r="J220" s="4"/>
      <c r="K220" s="4">
        <v>223</v>
      </c>
      <c r="L220" s="4">
        <v>9</v>
      </c>
      <c r="M220" s="4">
        <v>3</v>
      </c>
      <c r="N220" s="4" t="s">
        <v>3</v>
      </c>
      <c r="O220" s="4">
        <v>2</v>
      </c>
      <c r="P220" s="4"/>
      <c r="Q220" s="4"/>
      <c r="R220" s="4"/>
      <c r="S220" s="4"/>
      <c r="T220" s="4"/>
      <c r="U220" s="4"/>
      <c r="V220" s="4"/>
      <c r="W220" s="4">
        <v>0</v>
      </c>
      <c r="X220" s="4">
        <v>1</v>
      </c>
      <c r="Y220" s="4">
        <v>0</v>
      </c>
      <c r="Z220" s="4"/>
      <c r="AA220" s="4"/>
      <c r="AB220" s="4"/>
    </row>
    <row r="221" spans="1:206" x14ac:dyDescent="0.2">
      <c r="A221" s="4">
        <v>50</v>
      </c>
      <c r="B221" s="4">
        <v>0</v>
      </c>
      <c r="C221" s="4">
        <v>0</v>
      </c>
      <c r="D221" s="4">
        <v>1</v>
      </c>
      <c r="E221" s="4">
        <v>229</v>
      </c>
      <c r="F221" s="4">
        <f>ROUND(Source!AZ210,O221)</f>
        <v>0</v>
      </c>
      <c r="G221" s="4" t="s">
        <v>104</v>
      </c>
      <c r="H221" s="4" t="s">
        <v>105</v>
      </c>
      <c r="I221" s="4"/>
      <c r="J221" s="4"/>
      <c r="K221" s="4">
        <v>229</v>
      </c>
      <c r="L221" s="4">
        <v>10</v>
      </c>
      <c r="M221" s="4">
        <v>3</v>
      </c>
      <c r="N221" s="4" t="s">
        <v>3</v>
      </c>
      <c r="O221" s="4">
        <v>2</v>
      </c>
      <c r="P221" s="4"/>
      <c r="Q221" s="4"/>
      <c r="R221" s="4"/>
      <c r="S221" s="4"/>
      <c r="T221" s="4"/>
      <c r="U221" s="4"/>
      <c r="V221" s="4"/>
      <c r="W221" s="4">
        <v>0</v>
      </c>
      <c r="X221" s="4">
        <v>1</v>
      </c>
      <c r="Y221" s="4">
        <v>0</v>
      </c>
      <c r="Z221" s="4"/>
      <c r="AA221" s="4"/>
      <c r="AB221" s="4"/>
    </row>
    <row r="222" spans="1:206" x14ac:dyDescent="0.2">
      <c r="A222" s="4">
        <v>50</v>
      </c>
      <c r="B222" s="4">
        <v>0</v>
      </c>
      <c r="C222" s="4">
        <v>0</v>
      </c>
      <c r="D222" s="4">
        <v>1</v>
      </c>
      <c r="E222" s="4">
        <v>203</v>
      </c>
      <c r="F222" s="4">
        <f>ROUND(Source!Q210,O222)</f>
        <v>0.12</v>
      </c>
      <c r="G222" s="4" t="s">
        <v>106</v>
      </c>
      <c r="H222" s="4" t="s">
        <v>107</v>
      </c>
      <c r="I222" s="4"/>
      <c r="J222" s="4"/>
      <c r="K222" s="4">
        <v>203</v>
      </c>
      <c r="L222" s="4">
        <v>11</v>
      </c>
      <c r="M222" s="4">
        <v>3</v>
      </c>
      <c r="N222" s="4" t="s">
        <v>3</v>
      </c>
      <c r="O222" s="4">
        <v>2</v>
      </c>
      <c r="P222" s="4"/>
      <c r="Q222" s="4"/>
      <c r="R222" s="4"/>
      <c r="S222" s="4"/>
      <c r="T222" s="4"/>
      <c r="U222" s="4"/>
      <c r="V222" s="4"/>
      <c r="W222" s="4">
        <v>0.12</v>
      </c>
      <c r="X222" s="4">
        <v>1</v>
      </c>
      <c r="Y222" s="4">
        <v>0.12</v>
      </c>
      <c r="Z222" s="4"/>
      <c r="AA222" s="4"/>
      <c r="AB222" s="4"/>
    </row>
    <row r="223" spans="1:206" x14ac:dyDescent="0.2">
      <c r="A223" s="4">
        <v>50</v>
      </c>
      <c r="B223" s="4">
        <v>0</v>
      </c>
      <c r="C223" s="4">
        <v>0</v>
      </c>
      <c r="D223" s="4">
        <v>1</v>
      </c>
      <c r="E223" s="4">
        <v>231</v>
      </c>
      <c r="F223" s="4">
        <f>ROUND(Source!BB210,O223)</f>
        <v>0</v>
      </c>
      <c r="G223" s="4" t="s">
        <v>108</v>
      </c>
      <c r="H223" s="4" t="s">
        <v>109</v>
      </c>
      <c r="I223" s="4"/>
      <c r="J223" s="4"/>
      <c r="K223" s="4">
        <v>231</v>
      </c>
      <c r="L223" s="4">
        <v>12</v>
      </c>
      <c r="M223" s="4">
        <v>3</v>
      </c>
      <c r="N223" s="4" t="s">
        <v>3</v>
      </c>
      <c r="O223" s="4">
        <v>2</v>
      </c>
      <c r="P223" s="4"/>
      <c r="Q223" s="4"/>
      <c r="R223" s="4"/>
      <c r="S223" s="4"/>
      <c r="T223" s="4"/>
      <c r="U223" s="4"/>
      <c r="V223" s="4"/>
      <c r="W223" s="4">
        <v>0</v>
      </c>
      <c r="X223" s="4">
        <v>1</v>
      </c>
      <c r="Y223" s="4">
        <v>0</v>
      </c>
      <c r="Z223" s="4"/>
      <c r="AA223" s="4"/>
      <c r="AB223" s="4"/>
    </row>
    <row r="224" spans="1:206" x14ac:dyDescent="0.2">
      <c r="A224" s="4">
        <v>50</v>
      </c>
      <c r="B224" s="4">
        <v>0</v>
      </c>
      <c r="C224" s="4">
        <v>0</v>
      </c>
      <c r="D224" s="4">
        <v>1</v>
      </c>
      <c r="E224" s="4">
        <v>204</v>
      </c>
      <c r="F224" s="4">
        <f>ROUND(Source!R210,O224)</f>
        <v>0.04</v>
      </c>
      <c r="G224" s="4" t="s">
        <v>110</v>
      </c>
      <c r="H224" s="4" t="s">
        <v>111</v>
      </c>
      <c r="I224" s="4"/>
      <c r="J224" s="4"/>
      <c r="K224" s="4">
        <v>204</v>
      </c>
      <c r="L224" s="4">
        <v>13</v>
      </c>
      <c r="M224" s="4">
        <v>3</v>
      </c>
      <c r="N224" s="4" t="s">
        <v>3</v>
      </c>
      <c r="O224" s="4">
        <v>2</v>
      </c>
      <c r="P224" s="4"/>
      <c r="Q224" s="4"/>
      <c r="R224" s="4"/>
      <c r="S224" s="4"/>
      <c r="T224" s="4"/>
      <c r="U224" s="4"/>
      <c r="V224" s="4"/>
      <c r="W224" s="4">
        <v>0.04</v>
      </c>
      <c r="X224" s="4">
        <v>1</v>
      </c>
      <c r="Y224" s="4">
        <v>0.04</v>
      </c>
      <c r="Z224" s="4"/>
      <c r="AA224" s="4"/>
      <c r="AB224" s="4"/>
    </row>
    <row r="225" spans="1:88" x14ac:dyDescent="0.2">
      <c r="A225" s="4">
        <v>50</v>
      </c>
      <c r="B225" s="4">
        <v>0</v>
      </c>
      <c r="C225" s="4">
        <v>0</v>
      </c>
      <c r="D225" s="4">
        <v>1</v>
      </c>
      <c r="E225" s="4">
        <v>205</v>
      </c>
      <c r="F225" s="4">
        <f>ROUND(Source!S210,O225)</f>
        <v>2357.5500000000002</v>
      </c>
      <c r="G225" s="4" t="s">
        <v>112</v>
      </c>
      <c r="H225" s="4" t="s">
        <v>113</v>
      </c>
      <c r="I225" s="4"/>
      <c r="J225" s="4"/>
      <c r="K225" s="4">
        <v>205</v>
      </c>
      <c r="L225" s="4">
        <v>14</v>
      </c>
      <c r="M225" s="4">
        <v>3</v>
      </c>
      <c r="N225" s="4" t="s">
        <v>3</v>
      </c>
      <c r="O225" s="4">
        <v>2</v>
      </c>
      <c r="P225" s="4"/>
      <c r="Q225" s="4"/>
      <c r="R225" s="4"/>
      <c r="S225" s="4"/>
      <c r="T225" s="4"/>
      <c r="U225" s="4"/>
      <c r="V225" s="4"/>
      <c r="W225" s="4">
        <v>2357.5500000000002</v>
      </c>
      <c r="X225" s="4">
        <v>1</v>
      </c>
      <c r="Y225" s="4">
        <v>2357.5500000000002</v>
      </c>
      <c r="Z225" s="4"/>
      <c r="AA225" s="4"/>
      <c r="AB225" s="4"/>
    </row>
    <row r="226" spans="1:88" x14ac:dyDescent="0.2">
      <c r="A226" s="4">
        <v>50</v>
      </c>
      <c r="B226" s="4">
        <v>0</v>
      </c>
      <c r="C226" s="4">
        <v>0</v>
      </c>
      <c r="D226" s="4">
        <v>1</v>
      </c>
      <c r="E226" s="4">
        <v>232</v>
      </c>
      <c r="F226" s="4">
        <f>ROUND(Source!BC210,O226)</f>
        <v>0</v>
      </c>
      <c r="G226" s="4" t="s">
        <v>114</v>
      </c>
      <c r="H226" s="4" t="s">
        <v>115</v>
      </c>
      <c r="I226" s="4"/>
      <c r="J226" s="4"/>
      <c r="K226" s="4">
        <v>232</v>
      </c>
      <c r="L226" s="4">
        <v>15</v>
      </c>
      <c r="M226" s="4">
        <v>3</v>
      </c>
      <c r="N226" s="4" t="s">
        <v>3</v>
      </c>
      <c r="O226" s="4">
        <v>2</v>
      </c>
      <c r="P226" s="4"/>
      <c r="Q226" s="4"/>
      <c r="R226" s="4"/>
      <c r="S226" s="4"/>
      <c r="T226" s="4"/>
      <c r="U226" s="4"/>
      <c r="V226" s="4"/>
      <c r="W226" s="4">
        <v>0</v>
      </c>
      <c r="X226" s="4">
        <v>1</v>
      </c>
      <c r="Y226" s="4">
        <v>0</v>
      </c>
      <c r="Z226" s="4"/>
      <c r="AA226" s="4"/>
      <c r="AB226" s="4"/>
    </row>
    <row r="227" spans="1:88" x14ac:dyDescent="0.2">
      <c r="A227" s="4">
        <v>50</v>
      </c>
      <c r="B227" s="4">
        <v>0</v>
      </c>
      <c r="C227" s="4">
        <v>0</v>
      </c>
      <c r="D227" s="4">
        <v>1</v>
      </c>
      <c r="E227" s="4">
        <v>214</v>
      </c>
      <c r="F227" s="4">
        <f>ROUND(Source!AS210,O227)</f>
        <v>0</v>
      </c>
      <c r="G227" s="4" t="s">
        <v>116</v>
      </c>
      <c r="H227" s="4" t="s">
        <v>117</v>
      </c>
      <c r="I227" s="4"/>
      <c r="J227" s="4"/>
      <c r="K227" s="4">
        <v>214</v>
      </c>
      <c r="L227" s="4">
        <v>16</v>
      </c>
      <c r="M227" s="4">
        <v>3</v>
      </c>
      <c r="N227" s="4" t="s">
        <v>3</v>
      </c>
      <c r="O227" s="4">
        <v>2</v>
      </c>
      <c r="P227" s="4"/>
      <c r="Q227" s="4"/>
      <c r="R227" s="4"/>
      <c r="S227" s="4"/>
      <c r="T227" s="4"/>
      <c r="U227" s="4"/>
      <c r="V227" s="4"/>
      <c r="W227" s="4">
        <v>0</v>
      </c>
      <c r="X227" s="4">
        <v>1</v>
      </c>
      <c r="Y227" s="4">
        <v>0</v>
      </c>
      <c r="Z227" s="4"/>
      <c r="AA227" s="4"/>
      <c r="AB227" s="4"/>
    </row>
    <row r="228" spans="1:88" x14ac:dyDescent="0.2">
      <c r="A228" s="4">
        <v>50</v>
      </c>
      <c r="B228" s="4">
        <v>0</v>
      </c>
      <c r="C228" s="4">
        <v>0</v>
      </c>
      <c r="D228" s="4">
        <v>1</v>
      </c>
      <c r="E228" s="4">
        <v>215</v>
      </c>
      <c r="F228" s="4">
        <f>ROUND(Source!AT210,O228)</f>
        <v>0</v>
      </c>
      <c r="G228" s="4" t="s">
        <v>118</v>
      </c>
      <c r="H228" s="4" t="s">
        <v>119</v>
      </c>
      <c r="I228" s="4"/>
      <c r="J228" s="4"/>
      <c r="K228" s="4">
        <v>215</v>
      </c>
      <c r="L228" s="4">
        <v>17</v>
      </c>
      <c r="M228" s="4">
        <v>3</v>
      </c>
      <c r="N228" s="4" t="s">
        <v>3</v>
      </c>
      <c r="O228" s="4">
        <v>2</v>
      </c>
      <c r="P228" s="4"/>
      <c r="Q228" s="4"/>
      <c r="R228" s="4"/>
      <c r="S228" s="4"/>
      <c r="T228" s="4"/>
      <c r="U228" s="4"/>
      <c r="V228" s="4"/>
      <c r="W228" s="4">
        <v>0</v>
      </c>
      <c r="X228" s="4">
        <v>1</v>
      </c>
      <c r="Y228" s="4">
        <v>0</v>
      </c>
      <c r="Z228" s="4"/>
      <c r="AA228" s="4"/>
      <c r="AB228" s="4"/>
    </row>
    <row r="229" spans="1:88" x14ac:dyDescent="0.2">
      <c r="A229" s="4">
        <v>50</v>
      </c>
      <c r="B229" s="4">
        <v>0</v>
      </c>
      <c r="C229" s="4">
        <v>0</v>
      </c>
      <c r="D229" s="4">
        <v>1</v>
      </c>
      <c r="E229" s="4">
        <v>217</v>
      </c>
      <c r="F229" s="4">
        <f>ROUND(Source!AU210,O229)</f>
        <v>21415.46</v>
      </c>
      <c r="G229" s="4" t="s">
        <v>120</v>
      </c>
      <c r="H229" s="4" t="s">
        <v>121</v>
      </c>
      <c r="I229" s="4"/>
      <c r="J229" s="4"/>
      <c r="K229" s="4">
        <v>217</v>
      </c>
      <c r="L229" s="4">
        <v>18</v>
      </c>
      <c r="M229" s="4">
        <v>3</v>
      </c>
      <c r="N229" s="4" t="s">
        <v>3</v>
      </c>
      <c r="O229" s="4">
        <v>2</v>
      </c>
      <c r="P229" s="4"/>
      <c r="Q229" s="4"/>
      <c r="R229" s="4"/>
      <c r="S229" s="4"/>
      <c r="T229" s="4"/>
      <c r="U229" s="4"/>
      <c r="V229" s="4"/>
      <c r="W229" s="4">
        <v>21415.46</v>
      </c>
      <c r="X229" s="4">
        <v>1</v>
      </c>
      <c r="Y229" s="4">
        <v>21415.46</v>
      </c>
      <c r="Z229" s="4"/>
      <c r="AA229" s="4"/>
      <c r="AB229" s="4"/>
    </row>
    <row r="230" spans="1:88" x14ac:dyDescent="0.2">
      <c r="A230" s="4">
        <v>50</v>
      </c>
      <c r="B230" s="4">
        <v>0</v>
      </c>
      <c r="C230" s="4">
        <v>0</v>
      </c>
      <c r="D230" s="4">
        <v>1</v>
      </c>
      <c r="E230" s="4">
        <v>230</v>
      </c>
      <c r="F230" s="4">
        <f>ROUND(Source!BA210,O230)</f>
        <v>0</v>
      </c>
      <c r="G230" s="4" t="s">
        <v>122</v>
      </c>
      <c r="H230" s="4" t="s">
        <v>123</v>
      </c>
      <c r="I230" s="4"/>
      <c r="J230" s="4"/>
      <c r="K230" s="4">
        <v>230</v>
      </c>
      <c r="L230" s="4">
        <v>19</v>
      </c>
      <c r="M230" s="4">
        <v>3</v>
      </c>
      <c r="N230" s="4" t="s">
        <v>3</v>
      </c>
      <c r="O230" s="4">
        <v>2</v>
      </c>
      <c r="P230" s="4"/>
      <c r="Q230" s="4"/>
      <c r="R230" s="4"/>
      <c r="S230" s="4"/>
      <c r="T230" s="4"/>
      <c r="U230" s="4"/>
      <c r="V230" s="4"/>
      <c r="W230" s="4">
        <v>0</v>
      </c>
      <c r="X230" s="4">
        <v>1</v>
      </c>
      <c r="Y230" s="4">
        <v>0</v>
      </c>
      <c r="Z230" s="4"/>
      <c r="AA230" s="4"/>
      <c r="AB230" s="4"/>
    </row>
    <row r="231" spans="1:88" x14ac:dyDescent="0.2">
      <c r="A231" s="4">
        <v>50</v>
      </c>
      <c r="B231" s="4">
        <v>0</v>
      </c>
      <c r="C231" s="4">
        <v>0</v>
      </c>
      <c r="D231" s="4">
        <v>1</v>
      </c>
      <c r="E231" s="4">
        <v>206</v>
      </c>
      <c r="F231" s="4">
        <f>ROUND(Source!T210,O231)</f>
        <v>0</v>
      </c>
      <c r="G231" s="4" t="s">
        <v>124</v>
      </c>
      <c r="H231" s="4" t="s">
        <v>125</v>
      </c>
      <c r="I231" s="4"/>
      <c r="J231" s="4"/>
      <c r="K231" s="4">
        <v>206</v>
      </c>
      <c r="L231" s="4">
        <v>20</v>
      </c>
      <c r="M231" s="4">
        <v>3</v>
      </c>
      <c r="N231" s="4" t="s">
        <v>3</v>
      </c>
      <c r="O231" s="4">
        <v>2</v>
      </c>
      <c r="P231" s="4"/>
      <c r="Q231" s="4"/>
      <c r="R231" s="4"/>
      <c r="S231" s="4"/>
      <c r="T231" s="4"/>
      <c r="U231" s="4"/>
      <c r="V231" s="4"/>
      <c r="W231" s="4">
        <v>0</v>
      </c>
      <c r="X231" s="4">
        <v>1</v>
      </c>
      <c r="Y231" s="4">
        <v>0</v>
      </c>
      <c r="Z231" s="4"/>
      <c r="AA231" s="4"/>
      <c r="AB231" s="4"/>
    </row>
    <row r="232" spans="1:88" x14ac:dyDescent="0.2">
      <c r="A232" s="4">
        <v>50</v>
      </c>
      <c r="B232" s="4">
        <v>0</v>
      </c>
      <c r="C232" s="4">
        <v>0</v>
      </c>
      <c r="D232" s="4">
        <v>1</v>
      </c>
      <c r="E232" s="4">
        <v>207</v>
      </c>
      <c r="F232" s="4">
        <f>Source!U210</f>
        <v>4.7559200000000006</v>
      </c>
      <c r="G232" s="4" t="s">
        <v>126</v>
      </c>
      <c r="H232" s="4" t="s">
        <v>127</v>
      </c>
      <c r="I232" s="4"/>
      <c r="J232" s="4"/>
      <c r="K232" s="4">
        <v>207</v>
      </c>
      <c r="L232" s="4">
        <v>21</v>
      </c>
      <c r="M232" s="4">
        <v>3</v>
      </c>
      <c r="N232" s="4" t="s">
        <v>3</v>
      </c>
      <c r="O232" s="4">
        <v>-1</v>
      </c>
      <c r="P232" s="4"/>
      <c r="Q232" s="4"/>
      <c r="R232" s="4"/>
      <c r="S232" s="4"/>
      <c r="T232" s="4"/>
      <c r="U232" s="4"/>
      <c r="V232" s="4"/>
      <c r="W232" s="4">
        <v>4.7559200000000006</v>
      </c>
      <c r="X232" s="4">
        <v>1</v>
      </c>
      <c r="Y232" s="4">
        <v>4.7559200000000006</v>
      </c>
      <c r="Z232" s="4"/>
      <c r="AA232" s="4"/>
      <c r="AB232" s="4"/>
    </row>
    <row r="233" spans="1:88" x14ac:dyDescent="0.2">
      <c r="A233" s="4">
        <v>50</v>
      </c>
      <c r="B233" s="4">
        <v>0</v>
      </c>
      <c r="C233" s="4">
        <v>0</v>
      </c>
      <c r="D233" s="4">
        <v>1</v>
      </c>
      <c r="E233" s="4">
        <v>208</v>
      </c>
      <c r="F233" s="4">
        <f>Source!V210</f>
        <v>0</v>
      </c>
      <c r="G233" s="4" t="s">
        <v>128</v>
      </c>
      <c r="H233" s="4" t="s">
        <v>129</v>
      </c>
      <c r="I233" s="4"/>
      <c r="J233" s="4"/>
      <c r="K233" s="4">
        <v>208</v>
      </c>
      <c r="L233" s="4">
        <v>22</v>
      </c>
      <c r="M233" s="4">
        <v>3</v>
      </c>
      <c r="N233" s="4" t="s">
        <v>3</v>
      </c>
      <c r="O233" s="4">
        <v>-1</v>
      </c>
      <c r="P233" s="4"/>
      <c r="Q233" s="4"/>
      <c r="R233" s="4"/>
      <c r="S233" s="4"/>
      <c r="T233" s="4"/>
      <c r="U233" s="4"/>
      <c r="V233" s="4"/>
      <c r="W233" s="4">
        <v>0</v>
      </c>
      <c r="X233" s="4">
        <v>1</v>
      </c>
      <c r="Y233" s="4">
        <v>0</v>
      </c>
      <c r="Z233" s="4"/>
      <c r="AA233" s="4"/>
      <c r="AB233" s="4"/>
    </row>
    <row r="234" spans="1:88" x14ac:dyDescent="0.2">
      <c r="A234" s="4">
        <v>50</v>
      </c>
      <c r="B234" s="4">
        <v>0</v>
      </c>
      <c r="C234" s="4">
        <v>0</v>
      </c>
      <c r="D234" s="4">
        <v>1</v>
      </c>
      <c r="E234" s="4">
        <v>209</v>
      </c>
      <c r="F234" s="4">
        <f>ROUND(Source!W210,O234)</f>
        <v>0</v>
      </c>
      <c r="G234" s="4" t="s">
        <v>130</v>
      </c>
      <c r="H234" s="4" t="s">
        <v>131</v>
      </c>
      <c r="I234" s="4"/>
      <c r="J234" s="4"/>
      <c r="K234" s="4">
        <v>209</v>
      </c>
      <c r="L234" s="4">
        <v>23</v>
      </c>
      <c r="M234" s="4">
        <v>3</v>
      </c>
      <c r="N234" s="4" t="s">
        <v>3</v>
      </c>
      <c r="O234" s="4">
        <v>2</v>
      </c>
      <c r="P234" s="4"/>
      <c r="Q234" s="4"/>
      <c r="R234" s="4"/>
      <c r="S234" s="4"/>
      <c r="T234" s="4"/>
      <c r="U234" s="4"/>
      <c r="V234" s="4"/>
      <c r="W234" s="4">
        <v>0</v>
      </c>
      <c r="X234" s="4">
        <v>1</v>
      </c>
      <c r="Y234" s="4">
        <v>0</v>
      </c>
      <c r="Z234" s="4"/>
      <c r="AA234" s="4"/>
      <c r="AB234" s="4"/>
    </row>
    <row r="235" spans="1:88" x14ac:dyDescent="0.2">
      <c r="A235" s="4">
        <v>50</v>
      </c>
      <c r="B235" s="4">
        <v>0</v>
      </c>
      <c r="C235" s="4">
        <v>0</v>
      </c>
      <c r="D235" s="4">
        <v>1</v>
      </c>
      <c r="E235" s="4">
        <v>233</v>
      </c>
      <c r="F235" s="4">
        <f>ROUND(Source!BD210,O235)</f>
        <v>0</v>
      </c>
      <c r="G235" s="4" t="s">
        <v>132</v>
      </c>
      <c r="H235" s="4" t="s">
        <v>133</v>
      </c>
      <c r="I235" s="4"/>
      <c r="J235" s="4"/>
      <c r="K235" s="4">
        <v>233</v>
      </c>
      <c r="L235" s="4">
        <v>24</v>
      </c>
      <c r="M235" s="4">
        <v>3</v>
      </c>
      <c r="N235" s="4" t="s">
        <v>3</v>
      </c>
      <c r="O235" s="4">
        <v>2</v>
      </c>
      <c r="P235" s="4"/>
      <c r="Q235" s="4"/>
      <c r="R235" s="4"/>
      <c r="S235" s="4"/>
      <c r="T235" s="4"/>
      <c r="U235" s="4"/>
      <c r="V235" s="4"/>
      <c r="W235" s="4">
        <v>0</v>
      </c>
      <c r="X235" s="4">
        <v>1</v>
      </c>
      <c r="Y235" s="4">
        <v>0</v>
      </c>
      <c r="Z235" s="4"/>
      <c r="AA235" s="4"/>
      <c r="AB235" s="4"/>
    </row>
    <row r="236" spans="1:88" x14ac:dyDescent="0.2">
      <c r="A236" s="4">
        <v>50</v>
      </c>
      <c r="B236" s="4">
        <v>0</v>
      </c>
      <c r="C236" s="4">
        <v>0</v>
      </c>
      <c r="D236" s="4">
        <v>1</v>
      </c>
      <c r="E236" s="4">
        <v>210</v>
      </c>
      <c r="F236" s="4">
        <f>ROUND(Source!X210,O236)</f>
        <v>1650.3</v>
      </c>
      <c r="G236" s="4" t="s">
        <v>134</v>
      </c>
      <c r="H236" s="4" t="s">
        <v>135</v>
      </c>
      <c r="I236" s="4"/>
      <c r="J236" s="4"/>
      <c r="K236" s="4">
        <v>210</v>
      </c>
      <c r="L236" s="4">
        <v>25</v>
      </c>
      <c r="M236" s="4">
        <v>3</v>
      </c>
      <c r="N236" s="4" t="s">
        <v>3</v>
      </c>
      <c r="O236" s="4">
        <v>2</v>
      </c>
      <c r="P236" s="4"/>
      <c r="Q236" s="4"/>
      <c r="R236" s="4"/>
      <c r="S236" s="4"/>
      <c r="T236" s="4"/>
      <c r="U236" s="4"/>
      <c r="V236" s="4"/>
      <c r="W236" s="4">
        <v>1650.3</v>
      </c>
      <c r="X236" s="4">
        <v>1</v>
      </c>
      <c r="Y236" s="4">
        <v>1650.3</v>
      </c>
      <c r="Z236" s="4"/>
      <c r="AA236" s="4"/>
      <c r="AB236" s="4"/>
    </row>
    <row r="237" spans="1:88" x14ac:dyDescent="0.2">
      <c r="A237" s="4">
        <v>50</v>
      </c>
      <c r="B237" s="4">
        <v>0</v>
      </c>
      <c r="C237" s="4">
        <v>0</v>
      </c>
      <c r="D237" s="4">
        <v>1</v>
      </c>
      <c r="E237" s="4">
        <v>211</v>
      </c>
      <c r="F237" s="4">
        <f>ROUND(Source!Y210,O237)</f>
        <v>235.77</v>
      </c>
      <c r="G237" s="4" t="s">
        <v>136</v>
      </c>
      <c r="H237" s="4" t="s">
        <v>137</v>
      </c>
      <c r="I237" s="4"/>
      <c r="J237" s="4"/>
      <c r="K237" s="4">
        <v>211</v>
      </c>
      <c r="L237" s="4">
        <v>26</v>
      </c>
      <c r="M237" s="4">
        <v>3</v>
      </c>
      <c r="N237" s="4" t="s">
        <v>3</v>
      </c>
      <c r="O237" s="4">
        <v>2</v>
      </c>
      <c r="P237" s="4"/>
      <c r="Q237" s="4"/>
      <c r="R237" s="4"/>
      <c r="S237" s="4"/>
      <c r="T237" s="4"/>
      <c r="U237" s="4"/>
      <c r="V237" s="4"/>
      <c r="W237" s="4">
        <v>235.77</v>
      </c>
      <c r="X237" s="4">
        <v>1</v>
      </c>
      <c r="Y237" s="4">
        <v>235.77</v>
      </c>
      <c r="Z237" s="4"/>
      <c r="AA237" s="4"/>
      <c r="AB237" s="4"/>
    </row>
    <row r="238" spans="1:88" x14ac:dyDescent="0.2">
      <c r="A238" s="4">
        <v>50</v>
      </c>
      <c r="B238" s="4">
        <v>0</v>
      </c>
      <c r="C238" s="4">
        <v>0</v>
      </c>
      <c r="D238" s="4">
        <v>1</v>
      </c>
      <c r="E238" s="4">
        <v>224</v>
      </c>
      <c r="F238" s="4">
        <f>ROUND(Source!AR210,O238)</f>
        <v>21415.46</v>
      </c>
      <c r="G238" s="4" t="s">
        <v>138</v>
      </c>
      <c r="H238" s="4" t="s">
        <v>139</v>
      </c>
      <c r="I238" s="4"/>
      <c r="J238" s="4"/>
      <c r="K238" s="4">
        <v>224</v>
      </c>
      <c r="L238" s="4">
        <v>27</v>
      </c>
      <c r="M238" s="4">
        <v>3</v>
      </c>
      <c r="N238" s="4" t="s">
        <v>3</v>
      </c>
      <c r="O238" s="4">
        <v>2</v>
      </c>
      <c r="P238" s="4"/>
      <c r="Q238" s="4"/>
      <c r="R238" s="4"/>
      <c r="S238" s="4"/>
      <c r="T238" s="4"/>
      <c r="U238" s="4"/>
      <c r="V238" s="4"/>
      <c r="W238" s="4">
        <v>21415.46</v>
      </c>
      <c r="X238" s="4">
        <v>1</v>
      </c>
      <c r="Y238" s="4">
        <v>21415.46</v>
      </c>
      <c r="Z238" s="4"/>
      <c r="AA238" s="4"/>
      <c r="AB238" s="4"/>
    </row>
    <row r="240" spans="1:88" x14ac:dyDescent="0.2">
      <c r="A240" s="1">
        <v>5</v>
      </c>
      <c r="B240" s="1">
        <v>1</v>
      </c>
      <c r="C240" s="1"/>
      <c r="D240" s="1">
        <f>ROW(A248)</f>
        <v>248</v>
      </c>
      <c r="E240" s="1"/>
      <c r="F240" s="1" t="s">
        <v>15</v>
      </c>
      <c r="G240" s="1" t="s">
        <v>229</v>
      </c>
      <c r="H240" s="1" t="s">
        <v>3</v>
      </c>
      <c r="I240" s="1">
        <v>0</v>
      </c>
      <c r="J240" s="1"/>
      <c r="K240" s="1">
        <v>0</v>
      </c>
      <c r="L240" s="1"/>
      <c r="M240" s="1" t="s">
        <v>3</v>
      </c>
      <c r="N240" s="1"/>
      <c r="O240" s="1"/>
      <c r="P240" s="1"/>
      <c r="Q240" s="1"/>
      <c r="R240" s="1"/>
      <c r="S240" s="1">
        <v>0</v>
      </c>
      <c r="T240" s="1"/>
      <c r="U240" s="1" t="s">
        <v>3</v>
      </c>
      <c r="V240" s="1">
        <v>0</v>
      </c>
      <c r="W240" s="1"/>
      <c r="X240" s="1"/>
      <c r="Y240" s="1"/>
      <c r="Z240" s="1"/>
      <c r="AA240" s="1"/>
      <c r="AB240" s="1" t="s">
        <v>3</v>
      </c>
      <c r="AC240" s="1" t="s">
        <v>3</v>
      </c>
      <c r="AD240" s="1" t="s">
        <v>3</v>
      </c>
      <c r="AE240" s="1" t="s">
        <v>3</v>
      </c>
      <c r="AF240" s="1" t="s">
        <v>3</v>
      </c>
      <c r="AG240" s="1" t="s">
        <v>3</v>
      </c>
      <c r="AH240" s="1"/>
      <c r="AI240" s="1"/>
      <c r="AJ240" s="1"/>
      <c r="AK240" s="1"/>
      <c r="AL240" s="1"/>
      <c r="AM240" s="1"/>
      <c r="AN240" s="1"/>
      <c r="AO240" s="1"/>
      <c r="AP240" s="1" t="s">
        <v>3</v>
      </c>
      <c r="AQ240" s="1" t="s">
        <v>3</v>
      </c>
      <c r="AR240" s="1" t="s">
        <v>3</v>
      </c>
      <c r="AS240" s="1"/>
      <c r="AT240" s="1"/>
      <c r="AU240" s="1"/>
      <c r="AV240" s="1"/>
      <c r="AW240" s="1"/>
      <c r="AX240" s="1"/>
      <c r="AY240" s="1"/>
      <c r="AZ240" s="1" t="s">
        <v>3</v>
      </c>
      <c r="BA240" s="1"/>
      <c r="BB240" s="1" t="s">
        <v>3</v>
      </c>
      <c r="BC240" s="1" t="s">
        <v>3</v>
      </c>
      <c r="BD240" s="1" t="s">
        <v>3</v>
      </c>
      <c r="BE240" s="1" t="s">
        <v>3</v>
      </c>
      <c r="BF240" s="1" t="s">
        <v>3</v>
      </c>
      <c r="BG240" s="1" t="s">
        <v>3</v>
      </c>
      <c r="BH240" s="1" t="s">
        <v>3</v>
      </c>
      <c r="BI240" s="1" t="s">
        <v>3</v>
      </c>
      <c r="BJ240" s="1" t="s">
        <v>3</v>
      </c>
      <c r="BK240" s="1" t="s">
        <v>3</v>
      </c>
      <c r="BL240" s="1" t="s">
        <v>3</v>
      </c>
      <c r="BM240" s="1" t="s">
        <v>3</v>
      </c>
      <c r="BN240" s="1" t="s">
        <v>3</v>
      </c>
      <c r="BO240" s="1" t="s">
        <v>3</v>
      </c>
      <c r="BP240" s="1" t="s">
        <v>3</v>
      </c>
      <c r="BQ240" s="1"/>
      <c r="BR240" s="1"/>
      <c r="BS240" s="1"/>
      <c r="BT240" s="1"/>
      <c r="BU240" s="1"/>
      <c r="BV240" s="1"/>
      <c r="BW240" s="1"/>
      <c r="BX240" s="1">
        <v>0</v>
      </c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>
        <v>0</v>
      </c>
    </row>
    <row r="242" spans="1:245" x14ac:dyDescent="0.2">
      <c r="A242" s="2">
        <v>52</v>
      </c>
      <c r="B242" s="2">
        <f t="shared" ref="B242:G242" si="179">B248</f>
        <v>1</v>
      </c>
      <c r="C242" s="2">
        <f t="shared" si="179"/>
        <v>5</v>
      </c>
      <c r="D242" s="2">
        <f t="shared" si="179"/>
        <v>240</v>
      </c>
      <c r="E242" s="2">
        <f t="shared" si="179"/>
        <v>0</v>
      </c>
      <c r="F242" s="2" t="str">
        <f t="shared" si="179"/>
        <v>Новый подраздел</v>
      </c>
      <c r="G242" s="2" t="str">
        <f t="shared" si="179"/>
        <v>Электрика</v>
      </c>
      <c r="H242" s="2"/>
      <c r="I242" s="2"/>
      <c r="J242" s="2"/>
      <c r="K242" s="2"/>
      <c r="L242" s="2"/>
      <c r="M242" s="2"/>
      <c r="N242" s="2"/>
      <c r="O242" s="2">
        <f t="shared" ref="O242:AT242" si="180">O248</f>
        <v>1007.85</v>
      </c>
      <c r="P242" s="2">
        <f t="shared" si="180"/>
        <v>660.55</v>
      </c>
      <c r="Q242" s="2">
        <f t="shared" si="180"/>
        <v>0</v>
      </c>
      <c r="R242" s="2">
        <f t="shared" si="180"/>
        <v>0</v>
      </c>
      <c r="S242" s="2">
        <f t="shared" si="180"/>
        <v>347.3</v>
      </c>
      <c r="T242" s="2">
        <f t="shared" si="180"/>
        <v>0</v>
      </c>
      <c r="U242" s="2">
        <f t="shared" si="180"/>
        <v>0.89219999999999988</v>
      </c>
      <c r="V242" s="2">
        <f t="shared" si="180"/>
        <v>0</v>
      </c>
      <c r="W242" s="2">
        <f t="shared" si="180"/>
        <v>0</v>
      </c>
      <c r="X242" s="2">
        <f t="shared" si="180"/>
        <v>243.11</v>
      </c>
      <c r="Y242" s="2">
        <f t="shared" si="180"/>
        <v>34.729999999999997</v>
      </c>
      <c r="Z242" s="2">
        <f t="shared" si="180"/>
        <v>0</v>
      </c>
      <c r="AA242" s="2">
        <f t="shared" si="180"/>
        <v>0</v>
      </c>
      <c r="AB242" s="2">
        <f t="shared" si="180"/>
        <v>1007.85</v>
      </c>
      <c r="AC242" s="2">
        <f t="shared" si="180"/>
        <v>660.55</v>
      </c>
      <c r="AD242" s="2">
        <f t="shared" si="180"/>
        <v>0</v>
      </c>
      <c r="AE242" s="2">
        <f t="shared" si="180"/>
        <v>0</v>
      </c>
      <c r="AF242" s="2">
        <f t="shared" si="180"/>
        <v>347.3</v>
      </c>
      <c r="AG242" s="2">
        <f t="shared" si="180"/>
        <v>0</v>
      </c>
      <c r="AH242" s="2">
        <f t="shared" si="180"/>
        <v>0.89219999999999988</v>
      </c>
      <c r="AI242" s="2">
        <f t="shared" si="180"/>
        <v>0</v>
      </c>
      <c r="AJ242" s="2">
        <f t="shared" si="180"/>
        <v>0</v>
      </c>
      <c r="AK242" s="2">
        <f t="shared" si="180"/>
        <v>243.11</v>
      </c>
      <c r="AL242" s="2">
        <f t="shared" si="180"/>
        <v>34.729999999999997</v>
      </c>
      <c r="AM242" s="2">
        <f t="shared" si="180"/>
        <v>0</v>
      </c>
      <c r="AN242" s="2">
        <f t="shared" si="180"/>
        <v>0</v>
      </c>
      <c r="AO242" s="2">
        <f t="shared" si="180"/>
        <v>0</v>
      </c>
      <c r="AP242" s="2">
        <f t="shared" si="180"/>
        <v>0</v>
      </c>
      <c r="AQ242" s="2">
        <f t="shared" si="180"/>
        <v>0</v>
      </c>
      <c r="AR242" s="2">
        <f t="shared" si="180"/>
        <v>1285.69</v>
      </c>
      <c r="AS242" s="2">
        <f t="shared" si="180"/>
        <v>0</v>
      </c>
      <c r="AT242" s="2">
        <f t="shared" si="180"/>
        <v>0</v>
      </c>
      <c r="AU242" s="2">
        <f t="shared" ref="AU242:BZ242" si="181">AU248</f>
        <v>1285.69</v>
      </c>
      <c r="AV242" s="2">
        <f t="shared" si="181"/>
        <v>660.55</v>
      </c>
      <c r="AW242" s="2">
        <f t="shared" si="181"/>
        <v>660.55</v>
      </c>
      <c r="AX242" s="2">
        <f t="shared" si="181"/>
        <v>0</v>
      </c>
      <c r="AY242" s="2">
        <f t="shared" si="181"/>
        <v>660.55</v>
      </c>
      <c r="AZ242" s="2">
        <f t="shared" si="181"/>
        <v>0</v>
      </c>
      <c r="BA242" s="2">
        <f t="shared" si="181"/>
        <v>0</v>
      </c>
      <c r="BB242" s="2">
        <f t="shared" si="181"/>
        <v>0</v>
      </c>
      <c r="BC242" s="2">
        <f t="shared" si="181"/>
        <v>0</v>
      </c>
      <c r="BD242" s="2">
        <f t="shared" si="181"/>
        <v>0</v>
      </c>
      <c r="BE242" s="2">
        <f t="shared" si="181"/>
        <v>0</v>
      </c>
      <c r="BF242" s="2">
        <f t="shared" si="181"/>
        <v>0</v>
      </c>
      <c r="BG242" s="2">
        <f t="shared" si="181"/>
        <v>0</v>
      </c>
      <c r="BH242" s="2">
        <f t="shared" si="181"/>
        <v>0</v>
      </c>
      <c r="BI242" s="2">
        <f t="shared" si="181"/>
        <v>0</v>
      </c>
      <c r="BJ242" s="2">
        <f t="shared" si="181"/>
        <v>0</v>
      </c>
      <c r="BK242" s="2">
        <f t="shared" si="181"/>
        <v>0</v>
      </c>
      <c r="BL242" s="2">
        <f t="shared" si="181"/>
        <v>0</v>
      </c>
      <c r="BM242" s="2">
        <f t="shared" si="181"/>
        <v>0</v>
      </c>
      <c r="BN242" s="2">
        <f t="shared" si="181"/>
        <v>0</v>
      </c>
      <c r="BO242" s="2">
        <f t="shared" si="181"/>
        <v>0</v>
      </c>
      <c r="BP242" s="2">
        <f t="shared" si="181"/>
        <v>0</v>
      </c>
      <c r="BQ242" s="2">
        <f t="shared" si="181"/>
        <v>0</v>
      </c>
      <c r="BR242" s="2">
        <f t="shared" si="181"/>
        <v>0</v>
      </c>
      <c r="BS242" s="2">
        <f t="shared" si="181"/>
        <v>0</v>
      </c>
      <c r="BT242" s="2">
        <f t="shared" si="181"/>
        <v>0</v>
      </c>
      <c r="BU242" s="2">
        <f t="shared" si="181"/>
        <v>0</v>
      </c>
      <c r="BV242" s="2">
        <f t="shared" si="181"/>
        <v>0</v>
      </c>
      <c r="BW242" s="2">
        <f t="shared" si="181"/>
        <v>0</v>
      </c>
      <c r="BX242" s="2">
        <f t="shared" si="181"/>
        <v>0</v>
      </c>
      <c r="BY242" s="2">
        <f t="shared" si="181"/>
        <v>0</v>
      </c>
      <c r="BZ242" s="2">
        <f t="shared" si="181"/>
        <v>0</v>
      </c>
      <c r="CA242" s="2">
        <f t="shared" ref="CA242:DF242" si="182">CA248</f>
        <v>1285.69</v>
      </c>
      <c r="CB242" s="2">
        <f t="shared" si="182"/>
        <v>0</v>
      </c>
      <c r="CC242" s="2">
        <f t="shared" si="182"/>
        <v>0</v>
      </c>
      <c r="CD242" s="2">
        <f t="shared" si="182"/>
        <v>1285.69</v>
      </c>
      <c r="CE242" s="2">
        <f t="shared" si="182"/>
        <v>660.55</v>
      </c>
      <c r="CF242" s="2">
        <f t="shared" si="182"/>
        <v>660.55</v>
      </c>
      <c r="CG242" s="2">
        <f t="shared" si="182"/>
        <v>0</v>
      </c>
      <c r="CH242" s="2">
        <f t="shared" si="182"/>
        <v>660.55</v>
      </c>
      <c r="CI242" s="2">
        <f t="shared" si="182"/>
        <v>0</v>
      </c>
      <c r="CJ242" s="2">
        <f t="shared" si="182"/>
        <v>0</v>
      </c>
      <c r="CK242" s="2">
        <f t="shared" si="182"/>
        <v>0</v>
      </c>
      <c r="CL242" s="2">
        <f t="shared" si="182"/>
        <v>0</v>
      </c>
      <c r="CM242" s="2">
        <f t="shared" si="182"/>
        <v>0</v>
      </c>
      <c r="CN242" s="2">
        <f t="shared" si="182"/>
        <v>0</v>
      </c>
      <c r="CO242" s="2">
        <f t="shared" si="182"/>
        <v>0</v>
      </c>
      <c r="CP242" s="2">
        <f t="shared" si="182"/>
        <v>0</v>
      </c>
      <c r="CQ242" s="2">
        <f t="shared" si="182"/>
        <v>0</v>
      </c>
      <c r="CR242" s="2">
        <f t="shared" si="182"/>
        <v>0</v>
      </c>
      <c r="CS242" s="2">
        <f t="shared" si="182"/>
        <v>0</v>
      </c>
      <c r="CT242" s="2">
        <f t="shared" si="182"/>
        <v>0</v>
      </c>
      <c r="CU242" s="2">
        <f t="shared" si="182"/>
        <v>0</v>
      </c>
      <c r="CV242" s="2">
        <f t="shared" si="182"/>
        <v>0</v>
      </c>
      <c r="CW242" s="2">
        <f t="shared" si="182"/>
        <v>0</v>
      </c>
      <c r="CX242" s="2">
        <f t="shared" si="182"/>
        <v>0</v>
      </c>
      <c r="CY242" s="2">
        <f t="shared" si="182"/>
        <v>0</v>
      </c>
      <c r="CZ242" s="2">
        <f t="shared" si="182"/>
        <v>0</v>
      </c>
      <c r="DA242" s="2">
        <f t="shared" si="182"/>
        <v>0</v>
      </c>
      <c r="DB242" s="2">
        <f t="shared" si="182"/>
        <v>0</v>
      </c>
      <c r="DC242" s="2">
        <f t="shared" si="182"/>
        <v>0</v>
      </c>
      <c r="DD242" s="2">
        <f t="shared" si="182"/>
        <v>0</v>
      </c>
      <c r="DE242" s="2">
        <f t="shared" si="182"/>
        <v>0</v>
      </c>
      <c r="DF242" s="2">
        <f t="shared" si="182"/>
        <v>0</v>
      </c>
      <c r="DG242" s="3">
        <f t="shared" ref="DG242:EL242" si="183">DG248</f>
        <v>0</v>
      </c>
      <c r="DH242" s="3">
        <f t="shared" si="183"/>
        <v>0</v>
      </c>
      <c r="DI242" s="3">
        <f t="shared" si="183"/>
        <v>0</v>
      </c>
      <c r="DJ242" s="3">
        <f t="shared" si="183"/>
        <v>0</v>
      </c>
      <c r="DK242" s="3">
        <f t="shared" si="183"/>
        <v>0</v>
      </c>
      <c r="DL242" s="3">
        <f t="shared" si="183"/>
        <v>0</v>
      </c>
      <c r="DM242" s="3">
        <f t="shared" si="183"/>
        <v>0</v>
      </c>
      <c r="DN242" s="3">
        <f t="shared" si="183"/>
        <v>0</v>
      </c>
      <c r="DO242" s="3">
        <f t="shared" si="183"/>
        <v>0</v>
      </c>
      <c r="DP242" s="3">
        <f t="shared" si="183"/>
        <v>0</v>
      </c>
      <c r="DQ242" s="3">
        <f t="shared" si="183"/>
        <v>0</v>
      </c>
      <c r="DR242" s="3">
        <f t="shared" si="183"/>
        <v>0</v>
      </c>
      <c r="DS242" s="3">
        <f t="shared" si="183"/>
        <v>0</v>
      </c>
      <c r="DT242" s="3">
        <f t="shared" si="183"/>
        <v>0</v>
      </c>
      <c r="DU242" s="3">
        <f t="shared" si="183"/>
        <v>0</v>
      </c>
      <c r="DV242" s="3">
        <f t="shared" si="183"/>
        <v>0</v>
      </c>
      <c r="DW242" s="3">
        <f t="shared" si="183"/>
        <v>0</v>
      </c>
      <c r="DX242" s="3">
        <f t="shared" si="183"/>
        <v>0</v>
      </c>
      <c r="DY242" s="3">
        <f t="shared" si="183"/>
        <v>0</v>
      </c>
      <c r="DZ242" s="3">
        <f t="shared" si="183"/>
        <v>0</v>
      </c>
      <c r="EA242" s="3">
        <f t="shared" si="183"/>
        <v>0</v>
      </c>
      <c r="EB242" s="3">
        <f t="shared" si="183"/>
        <v>0</v>
      </c>
      <c r="EC242" s="3">
        <f t="shared" si="183"/>
        <v>0</v>
      </c>
      <c r="ED242" s="3">
        <f t="shared" si="183"/>
        <v>0</v>
      </c>
      <c r="EE242" s="3">
        <f t="shared" si="183"/>
        <v>0</v>
      </c>
      <c r="EF242" s="3">
        <f t="shared" si="183"/>
        <v>0</v>
      </c>
      <c r="EG242" s="3">
        <f t="shared" si="183"/>
        <v>0</v>
      </c>
      <c r="EH242" s="3">
        <f t="shared" si="183"/>
        <v>0</v>
      </c>
      <c r="EI242" s="3">
        <f t="shared" si="183"/>
        <v>0</v>
      </c>
      <c r="EJ242" s="3">
        <f t="shared" si="183"/>
        <v>0</v>
      </c>
      <c r="EK242" s="3">
        <f t="shared" si="183"/>
        <v>0</v>
      </c>
      <c r="EL242" s="3">
        <f t="shared" si="183"/>
        <v>0</v>
      </c>
      <c r="EM242" s="3">
        <f t="shared" ref="EM242:FR242" si="184">EM248</f>
        <v>0</v>
      </c>
      <c r="EN242" s="3">
        <f t="shared" si="184"/>
        <v>0</v>
      </c>
      <c r="EO242" s="3">
        <f t="shared" si="184"/>
        <v>0</v>
      </c>
      <c r="EP242" s="3">
        <f t="shared" si="184"/>
        <v>0</v>
      </c>
      <c r="EQ242" s="3">
        <f t="shared" si="184"/>
        <v>0</v>
      </c>
      <c r="ER242" s="3">
        <f t="shared" si="184"/>
        <v>0</v>
      </c>
      <c r="ES242" s="3">
        <f t="shared" si="184"/>
        <v>0</v>
      </c>
      <c r="ET242" s="3">
        <f t="shared" si="184"/>
        <v>0</v>
      </c>
      <c r="EU242" s="3">
        <f t="shared" si="184"/>
        <v>0</v>
      </c>
      <c r="EV242" s="3">
        <f t="shared" si="184"/>
        <v>0</v>
      </c>
      <c r="EW242" s="3">
        <f t="shared" si="184"/>
        <v>0</v>
      </c>
      <c r="EX242" s="3">
        <f t="shared" si="184"/>
        <v>0</v>
      </c>
      <c r="EY242" s="3">
        <f t="shared" si="184"/>
        <v>0</v>
      </c>
      <c r="EZ242" s="3">
        <f t="shared" si="184"/>
        <v>0</v>
      </c>
      <c r="FA242" s="3">
        <f t="shared" si="184"/>
        <v>0</v>
      </c>
      <c r="FB242" s="3">
        <f t="shared" si="184"/>
        <v>0</v>
      </c>
      <c r="FC242" s="3">
        <f t="shared" si="184"/>
        <v>0</v>
      </c>
      <c r="FD242" s="3">
        <f t="shared" si="184"/>
        <v>0</v>
      </c>
      <c r="FE242" s="3">
        <f t="shared" si="184"/>
        <v>0</v>
      </c>
      <c r="FF242" s="3">
        <f t="shared" si="184"/>
        <v>0</v>
      </c>
      <c r="FG242" s="3">
        <f t="shared" si="184"/>
        <v>0</v>
      </c>
      <c r="FH242" s="3">
        <f t="shared" si="184"/>
        <v>0</v>
      </c>
      <c r="FI242" s="3">
        <f t="shared" si="184"/>
        <v>0</v>
      </c>
      <c r="FJ242" s="3">
        <f t="shared" si="184"/>
        <v>0</v>
      </c>
      <c r="FK242" s="3">
        <f t="shared" si="184"/>
        <v>0</v>
      </c>
      <c r="FL242" s="3">
        <f t="shared" si="184"/>
        <v>0</v>
      </c>
      <c r="FM242" s="3">
        <f t="shared" si="184"/>
        <v>0</v>
      </c>
      <c r="FN242" s="3">
        <f t="shared" si="184"/>
        <v>0</v>
      </c>
      <c r="FO242" s="3">
        <f t="shared" si="184"/>
        <v>0</v>
      </c>
      <c r="FP242" s="3">
        <f t="shared" si="184"/>
        <v>0</v>
      </c>
      <c r="FQ242" s="3">
        <f t="shared" si="184"/>
        <v>0</v>
      </c>
      <c r="FR242" s="3">
        <f t="shared" si="184"/>
        <v>0</v>
      </c>
      <c r="FS242" s="3">
        <f t="shared" ref="FS242:GX242" si="185">FS248</f>
        <v>0</v>
      </c>
      <c r="FT242" s="3">
        <f t="shared" si="185"/>
        <v>0</v>
      </c>
      <c r="FU242" s="3">
        <f t="shared" si="185"/>
        <v>0</v>
      </c>
      <c r="FV242" s="3">
        <f t="shared" si="185"/>
        <v>0</v>
      </c>
      <c r="FW242" s="3">
        <f t="shared" si="185"/>
        <v>0</v>
      </c>
      <c r="FX242" s="3">
        <f t="shared" si="185"/>
        <v>0</v>
      </c>
      <c r="FY242" s="3">
        <f t="shared" si="185"/>
        <v>0</v>
      </c>
      <c r="FZ242" s="3">
        <f t="shared" si="185"/>
        <v>0</v>
      </c>
      <c r="GA242" s="3">
        <f t="shared" si="185"/>
        <v>0</v>
      </c>
      <c r="GB242" s="3">
        <f t="shared" si="185"/>
        <v>0</v>
      </c>
      <c r="GC242" s="3">
        <f t="shared" si="185"/>
        <v>0</v>
      </c>
      <c r="GD242" s="3">
        <f t="shared" si="185"/>
        <v>0</v>
      </c>
      <c r="GE242" s="3">
        <f t="shared" si="185"/>
        <v>0</v>
      </c>
      <c r="GF242" s="3">
        <f t="shared" si="185"/>
        <v>0</v>
      </c>
      <c r="GG242" s="3">
        <f t="shared" si="185"/>
        <v>0</v>
      </c>
      <c r="GH242" s="3">
        <f t="shared" si="185"/>
        <v>0</v>
      </c>
      <c r="GI242" s="3">
        <f t="shared" si="185"/>
        <v>0</v>
      </c>
      <c r="GJ242" s="3">
        <f t="shared" si="185"/>
        <v>0</v>
      </c>
      <c r="GK242" s="3">
        <f t="shared" si="185"/>
        <v>0</v>
      </c>
      <c r="GL242" s="3">
        <f t="shared" si="185"/>
        <v>0</v>
      </c>
      <c r="GM242" s="3">
        <f t="shared" si="185"/>
        <v>0</v>
      </c>
      <c r="GN242" s="3">
        <f t="shared" si="185"/>
        <v>0</v>
      </c>
      <c r="GO242" s="3">
        <f t="shared" si="185"/>
        <v>0</v>
      </c>
      <c r="GP242" s="3">
        <f t="shared" si="185"/>
        <v>0</v>
      </c>
      <c r="GQ242" s="3">
        <f t="shared" si="185"/>
        <v>0</v>
      </c>
      <c r="GR242" s="3">
        <f t="shared" si="185"/>
        <v>0</v>
      </c>
      <c r="GS242" s="3">
        <f t="shared" si="185"/>
        <v>0</v>
      </c>
      <c r="GT242" s="3">
        <f t="shared" si="185"/>
        <v>0</v>
      </c>
      <c r="GU242" s="3">
        <f t="shared" si="185"/>
        <v>0</v>
      </c>
      <c r="GV242" s="3">
        <f t="shared" si="185"/>
        <v>0</v>
      </c>
      <c r="GW242" s="3">
        <f t="shared" si="185"/>
        <v>0</v>
      </c>
      <c r="GX242" s="3">
        <f t="shared" si="185"/>
        <v>0</v>
      </c>
    </row>
    <row r="244" spans="1:245" x14ac:dyDescent="0.2">
      <c r="A244">
        <v>17</v>
      </c>
      <c r="B244">
        <v>1</v>
      </c>
      <c r="C244">
        <f>ROW(SmtRes!A107)</f>
        <v>107</v>
      </c>
      <c r="D244">
        <f>ROW(EtalonRes!A99)</f>
        <v>99</v>
      </c>
      <c r="E244" t="s">
        <v>230</v>
      </c>
      <c r="F244" t="s">
        <v>231</v>
      </c>
      <c r="G244" t="s">
        <v>232</v>
      </c>
      <c r="H244" t="s">
        <v>184</v>
      </c>
      <c r="I244">
        <f>ROUND(3/100,9)</f>
        <v>0.03</v>
      </c>
      <c r="J244">
        <v>0</v>
      </c>
      <c r="K244">
        <f>ROUND(3/100,9)</f>
        <v>0.03</v>
      </c>
      <c r="O244">
        <f>ROUND(CP244,2)</f>
        <v>347.3</v>
      </c>
      <c r="P244">
        <f>ROUND(CQ244*I244,2)</f>
        <v>0</v>
      </c>
      <c r="Q244">
        <f>ROUND(CR244*I244,2)</f>
        <v>0</v>
      </c>
      <c r="R244">
        <f>ROUND(CS244*I244,2)</f>
        <v>0</v>
      </c>
      <c r="S244">
        <f>ROUND(CT244*I244,2)</f>
        <v>347.3</v>
      </c>
      <c r="T244">
        <f>ROUND(CU244*I244,2)</f>
        <v>0</v>
      </c>
      <c r="U244">
        <f>CV244*I244</f>
        <v>0.89219999999999988</v>
      </c>
      <c r="V244">
        <f>CW244*I244</f>
        <v>0</v>
      </c>
      <c r="W244">
        <f>ROUND(CX244*I244,2)</f>
        <v>0</v>
      </c>
      <c r="X244">
        <f t="shared" ref="X244:Y246" si="186">ROUND(CY244,2)</f>
        <v>243.11</v>
      </c>
      <c r="Y244">
        <f t="shared" si="186"/>
        <v>34.729999999999997</v>
      </c>
      <c r="AA244">
        <v>75703208</v>
      </c>
      <c r="AB244">
        <f>ROUND((AC244+AD244+AF244),6)</f>
        <v>11576.6</v>
      </c>
      <c r="AC244">
        <f>ROUND((ES244),6)</f>
        <v>0</v>
      </c>
      <c r="AD244">
        <f>ROUND((((ET244)-(EU244))+AE244),6)</f>
        <v>0</v>
      </c>
      <c r="AE244">
        <f t="shared" ref="AE244:AF246" si="187">ROUND((EU244),6)</f>
        <v>0</v>
      </c>
      <c r="AF244">
        <f t="shared" si="187"/>
        <v>11576.6</v>
      </c>
      <c r="AG244">
        <f>ROUND((AP244),6)</f>
        <v>0</v>
      </c>
      <c r="AH244">
        <f t="shared" ref="AH244:AI246" si="188">(EW244)</f>
        <v>29.74</v>
      </c>
      <c r="AI244">
        <f t="shared" si="188"/>
        <v>0</v>
      </c>
      <c r="AJ244">
        <f>(AS244)</f>
        <v>0</v>
      </c>
      <c r="AK244">
        <v>11576.6</v>
      </c>
      <c r="AL244">
        <v>0</v>
      </c>
      <c r="AM244">
        <v>0</v>
      </c>
      <c r="AN244">
        <v>0</v>
      </c>
      <c r="AO244">
        <v>11576.6</v>
      </c>
      <c r="AP244">
        <v>0</v>
      </c>
      <c r="AQ244">
        <v>29.74</v>
      </c>
      <c r="AR244">
        <v>0</v>
      </c>
      <c r="AS244">
        <v>0</v>
      </c>
      <c r="AT244">
        <v>70</v>
      </c>
      <c r="AU244">
        <v>10</v>
      </c>
      <c r="AV244">
        <v>1</v>
      </c>
      <c r="AW244">
        <v>1</v>
      </c>
      <c r="AZ244">
        <v>1</v>
      </c>
      <c r="BA244">
        <v>1</v>
      </c>
      <c r="BB244">
        <v>1</v>
      </c>
      <c r="BC244">
        <v>1</v>
      </c>
      <c r="BD244" t="s">
        <v>3</v>
      </c>
      <c r="BE244" t="s">
        <v>3</v>
      </c>
      <c r="BF244" t="s">
        <v>3</v>
      </c>
      <c r="BG244" t="s">
        <v>3</v>
      </c>
      <c r="BH244">
        <v>0</v>
      </c>
      <c r="BI244">
        <v>4</v>
      </c>
      <c r="BJ244" t="s">
        <v>233</v>
      </c>
      <c r="BM244">
        <v>0</v>
      </c>
      <c r="BN244">
        <v>75371441</v>
      </c>
      <c r="BO244" t="s">
        <v>3</v>
      </c>
      <c r="BP244">
        <v>0</v>
      </c>
      <c r="BQ244">
        <v>1</v>
      </c>
      <c r="BR244">
        <v>0</v>
      </c>
      <c r="BS244">
        <v>1</v>
      </c>
      <c r="BT244">
        <v>1</v>
      </c>
      <c r="BU244">
        <v>1</v>
      </c>
      <c r="BV244">
        <v>1</v>
      </c>
      <c r="BW244">
        <v>1</v>
      </c>
      <c r="BX244">
        <v>1</v>
      </c>
      <c r="BY244" t="s">
        <v>3</v>
      </c>
      <c r="BZ244">
        <v>70</v>
      </c>
      <c r="CA244">
        <v>10</v>
      </c>
      <c r="CB244" t="s">
        <v>3</v>
      </c>
      <c r="CE244">
        <v>0</v>
      </c>
      <c r="CF244">
        <v>0</v>
      </c>
      <c r="CG244">
        <v>0</v>
      </c>
      <c r="CM244">
        <v>0</v>
      </c>
      <c r="CN244" t="s">
        <v>3</v>
      </c>
      <c r="CO244">
        <v>0</v>
      </c>
      <c r="CP244">
        <f>(P244+Q244+S244)</f>
        <v>347.3</v>
      </c>
      <c r="CQ244">
        <f>(AC244*BC244*AW244)</f>
        <v>0</v>
      </c>
      <c r="CR244">
        <f>((((ET244)*BB244-(EU244)*BS244)+AE244*BS244)*AV244)</f>
        <v>0</v>
      </c>
      <c r="CS244">
        <f>(AE244*BS244*AV244)</f>
        <v>0</v>
      </c>
      <c r="CT244">
        <f>(AF244*BA244*AV244)</f>
        <v>11576.6</v>
      </c>
      <c r="CU244">
        <f>AG244</f>
        <v>0</v>
      </c>
      <c r="CV244">
        <f>(AH244*AV244)</f>
        <v>29.74</v>
      </c>
      <c r="CW244">
        <f t="shared" ref="CW244:CX246" si="189">AI244</f>
        <v>0</v>
      </c>
      <c r="CX244">
        <f t="shared" si="189"/>
        <v>0</v>
      </c>
      <c r="CY244">
        <f>((S244*BZ244)/100)</f>
        <v>243.11</v>
      </c>
      <c r="CZ244">
        <f>((S244*CA244)/100)</f>
        <v>34.729999999999997</v>
      </c>
      <c r="DC244" t="s">
        <v>3</v>
      </c>
      <c r="DD244" t="s">
        <v>3</v>
      </c>
      <c r="DE244" t="s">
        <v>3</v>
      </c>
      <c r="DF244" t="s">
        <v>3</v>
      </c>
      <c r="DG244" t="s">
        <v>3</v>
      </c>
      <c r="DH244" t="s">
        <v>3</v>
      </c>
      <c r="DI244" t="s">
        <v>3</v>
      </c>
      <c r="DJ244" t="s">
        <v>3</v>
      </c>
      <c r="DK244" t="s">
        <v>3</v>
      </c>
      <c r="DL244" t="s">
        <v>3</v>
      </c>
      <c r="DM244" t="s">
        <v>3</v>
      </c>
      <c r="DN244">
        <v>0</v>
      </c>
      <c r="DO244">
        <v>0</v>
      </c>
      <c r="DP244">
        <v>1</v>
      </c>
      <c r="DQ244">
        <v>1</v>
      </c>
      <c r="DU244">
        <v>1010</v>
      </c>
      <c r="DV244" t="s">
        <v>184</v>
      </c>
      <c r="DW244" t="s">
        <v>184</v>
      </c>
      <c r="DX244">
        <v>100</v>
      </c>
      <c r="DZ244" t="s">
        <v>3</v>
      </c>
      <c r="EA244" t="s">
        <v>3</v>
      </c>
      <c r="EB244" t="s">
        <v>3</v>
      </c>
      <c r="EC244" t="s">
        <v>3</v>
      </c>
      <c r="EE244">
        <v>75371444</v>
      </c>
      <c r="EF244">
        <v>1</v>
      </c>
      <c r="EG244" t="s">
        <v>22</v>
      </c>
      <c r="EH244">
        <v>0</v>
      </c>
      <c r="EI244" t="s">
        <v>3</v>
      </c>
      <c r="EJ244">
        <v>4</v>
      </c>
      <c r="EK244">
        <v>0</v>
      </c>
      <c r="EL244" t="s">
        <v>23</v>
      </c>
      <c r="EM244" t="s">
        <v>24</v>
      </c>
      <c r="EO244" t="s">
        <v>3</v>
      </c>
      <c r="EQ244">
        <v>0</v>
      </c>
      <c r="ER244">
        <v>11576.6</v>
      </c>
      <c r="ES244">
        <v>0</v>
      </c>
      <c r="ET244">
        <v>0</v>
      </c>
      <c r="EU244">
        <v>0</v>
      </c>
      <c r="EV244">
        <v>11576.6</v>
      </c>
      <c r="EW244">
        <v>29.74</v>
      </c>
      <c r="EX244">
        <v>0</v>
      </c>
      <c r="EY244">
        <v>0</v>
      </c>
      <c r="FQ244">
        <v>0</v>
      </c>
      <c r="FR244">
        <f>ROUND(IF(BI244=3,GM244,0),2)</f>
        <v>0</v>
      </c>
      <c r="FS244">
        <v>0</v>
      </c>
      <c r="FX244">
        <v>70</v>
      </c>
      <c r="FY244">
        <v>10</v>
      </c>
      <c r="GA244" t="s">
        <v>3</v>
      </c>
      <c r="GD244">
        <v>0</v>
      </c>
      <c r="GF244">
        <v>9423198</v>
      </c>
      <c r="GG244">
        <v>2</v>
      </c>
      <c r="GH244">
        <v>1</v>
      </c>
      <c r="GI244">
        <v>-2</v>
      </c>
      <c r="GJ244">
        <v>0</v>
      </c>
      <c r="GK244">
        <f>ROUND(R244*(R12)/100,2)</f>
        <v>0</v>
      </c>
      <c r="GL244">
        <f>ROUND(IF(AND(BH244=3,BI244=3,FS244&lt;&gt;0),P244,0),2)</f>
        <v>0</v>
      </c>
      <c r="GM244">
        <f>ROUND(O244+X244+Y244+GK244,2)+GX244</f>
        <v>625.14</v>
      </c>
      <c r="GN244">
        <f>IF(OR(BI244=0,BI244=1),GM244-GX244,0)</f>
        <v>0</v>
      </c>
      <c r="GO244">
        <f>IF(BI244=2,GM244-GX244,0)</f>
        <v>0</v>
      </c>
      <c r="GP244">
        <f>IF(BI244=4,GM244-GX244,0)</f>
        <v>625.14</v>
      </c>
      <c r="GR244">
        <v>0</v>
      </c>
      <c r="GS244">
        <v>3</v>
      </c>
      <c r="GT244">
        <v>0</v>
      </c>
      <c r="GU244" t="s">
        <v>3</v>
      </c>
      <c r="GV244">
        <f>ROUND((GT244),6)</f>
        <v>0</v>
      </c>
      <c r="GW244">
        <v>1</v>
      </c>
      <c r="GX244">
        <f>ROUND(HC244*I244,2)</f>
        <v>0</v>
      </c>
      <c r="HA244">
        <v>0</v>
      </c>
      <c r="HB244">
        <v>0</v>
      </c>
      <c r="HC244">
        <f>GV244*GW244</f>
        <v>0</v>
      </c>
      <c r="HE244" t="s">
        <v>3</v>
      </c>
      <c r="HF244" t="s">
        <v>3</v>
      </c>
      <c r="HM244" t="s">
        <v>3</v>
      </c>
      <c r="HN244" t="s">
        <v>3</v>
      </c>
      <c r="HO244" t="s">
        <v>3</v>
      </c>
      <c r="HP244" t="s">
        <v>3</v>
      </c>
      <c r="HQ244" t="s">
        <v>3</v>
      </c>
      <c r="IK244">
        <v>0</v>
      </c>
    </row>
    <row r="245" spans="1:245" x14ac:dyDescent="0.2">
      <c r="A245">
        <v>18</v>
      </c>
      <c r="B245">
        <v>1</v>
      </c>
      <c r="C245">
        <v>107</v>
      </c>
      <c r="E245" t="s">
        <v>234</v>
      </c>
      <c r="F245" t="s">
        <v>199</v>
      </c>
      <c r="G245" t="s">
        <v>235</v>
      </c>
      <c r="H245" t="s">
        <v>196</v>
      </c>
      <c r="I245">
        <f>I244*J245</f>
        <v>2</v>
      </c>
      <c r="J245">
        <v>66.666666666666671</v>
      </c>
      <c r="K245">
        <v>66.666667000000004</v>
      </c>
      <c r="O245">
        <f>ROUND(CP245,2)</f>
        <v>570</v>
      </c>
      <c r="P245">
        <f>ROUND(CQ245*I245,2)</f>
        <v>570</v>
      </c>
      <c r="Q245">
        <f>ROUND(CR245*I245,2)</f>
        <v>0</v>
      </c>
      <c r="R245">
        <f>ROUND(CS245*I245,2)</f>
        <v>0</v>
      </c>
      <c r="S245">
        <f>ROUND(CT245*I245,2)</f>
        <v>0</v>
      </c>
      <c r="T245">
        <f>ROUND(CU245*I245,2)</f>
        <v>0</v>
      </c>
      <c r="U245">
        <f>CV245*I245</f>
        <v>0</v>
      </c>
      <c r="V245">
        <f>CW245*I245</f>
        <v>0</v>
      </c>
      <c r="W245">
        <f>ROUND(CX245*I245,2)</f>
        <v>0</v>
      </c>
      <c r="X245">
        <f t="shared" si="186"/>
        <v>0</v>
      </c>
      <c r="Y245">
        <f t="shared" si="186"/>
        <v>0</v>
      </c>
      <c r="AA245">
        <v>75703208</v>
      </c>
      <c r="AB245">
        <f>ROUND((AC245+AD245+AF245),6)</f>
        <v>285</v>
      </c>
      <c r="AC245">
        <f>ROUND((ES245),6)</f>
        <v>285</v>
      </c>
      <c r="AD245">
        <f>ROUND((((ET245)-(EU245))+AE245),6)</f>
        <v>0</v>
      </c>
      <c r="AE245">
        <f t="shared" si="187"/>
        <v>0</v>
      </c>
      <c r="AF245">
        <f t="shared" si="187"/>
        <v>0</v>
      </c>
      <c r="AG245">
        <f>ROUND((AP245),6)</f>
        <v>0</v>
      </c>
      <c r="AH245">
        <f t="shared" si="188"/>
        <v>0</v>
      </c>
      <c r="AI245">
        <f t="shared" si="188"/>
        <v>0</v>
      </c>
      <c r="AJ245">
        <f>(AS245)</f>
        <v>0</v>
      </c>
      <c r="AK245">
        <v>285</v>
      </c>
      <c r="AL245">
        <v>285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70</v>
      </c>
      <c r="AU245">
        <v>10</v>
      </c>
      <c r="AV245">
        <v>1</v>
      </c>
      <c r="AW245">
        <v>1</v>
      </c>
      <c r="AZ245">
        <v>1</v>
      </c>
      <c r="BA245">
        <v>1</v>
      </c>
      <c r="BB245">
        <v>1</v>
      </c>
      <c r="BC245">
        <v>1</v>
      </c>
      <c r="BD245" t="s">
        <v>3</v>
      </c>
      <c r="BE245" t="s">
        <v>3</v>
      </c>
      <c r="BF245" t="s">
        <v>3</v>
      </c>
      <c r="BG245" t="s">
        <v>3</v>
      </c>
      <c r="BH245">
        <v>3</v>
      </c>
      <c r="BI245">
        <v>4</v>
      </c>
      <c r="BJ245" t="s">
        <v>3</v>
      </c>
      <c r="BM245">
        <v>0</v>
      </c>
      <c r="BN245">
        <v>0</v>
      </c>
      <c r="BO245" t="s">
        <v>3</v>
      </c>
      <c r="BP245">
        <v>0</v>
      </c>
      <c r="BQ245">
        <v>1</v>
      </c>
      <c r="BR245">
        <v>0</v>
      </c>
      <c r="BS245">
        <v>1</v>
      </c>
      <c r="BT245">
        <v>1</v>
      </c>
      <c r="BU245">
        <v>1</v>
      </c>
      <c r="BV245">
        <v>1</v>
      </c>
      <c r="BW245">
        <v>1</v>
      </c>
      <c r="BX245">
        <v>1</v>
      </c>
      <c r="BY245" t="s">
        <v>3</v>
      </c>
      <c r="BZ245">
        <v>70</v>
      </c>
      <c r="CA245">
        <v>10</v>
      </c>
      <c r="CB245" t="s">
        <v>3</v>
      </c>
      <c r="CE245">
        <v>0</v>
      </c>
      <c r="CF245">
        <v>0</v>
      </c>
      <c r="CG245">
        <v>0</v>
      </c>
      <c r="CM245">
        <v>0</v>
      </c>
      <c r="CN245" t="s">
        <v>3</v>
      </c>
      <c r="CO245">
        <v>0</v>
      </c>
      <c r="CP245">
        <f>(P245+Q245+S245)</f>
        <v>570</v>
      </c>
      <c r="CQ245">
        <f>(AC245*BC245*AW245)</f>
        <v>285</v>
      </c>
      <c r="CR245">
        <f>((((ET245)*BB245-(EU245)*BS245)+AE245*BS245)*AV245)</f>
        <v>0</v>
      </c>
      <c r="CS245">
        <f>(AE245*BS245*AV245)</f>
        <v>0</v>
      </c>
      <c r="CT245">
        <f>(AF245*BA245*AV245)</f>
        <v>0</v>
      </c>
      <c r="CU245">
        <f>AG245</f>
        <v>0</v>
      </c>
      <c r="CV245">
        <f>(AH245*AV245)</f>
        <v>0</v>
      </c>
      <c r="CW245">
        <f t="shared" si="189"/>
        <v>0</v>
      </c>
      <c r="CX245">
        <f t="shared" si="189"/>
        <v>0</v>
      </c>
      <c r="CY245">
        <f>((S245*BZ245)/100)</f>
        <v>0</v>
      </c>
      <c r="CZ245">
        <f>((S245*CA245)/100)</f>
        <v>0</v>
      </c>
      <c r="DC245" t="s">
        <v>3</v>
      </c>
      <c r="DD245" t="s">
        <v>3</v>
      </c>
      <c r="DE245" t="s">
        <v>3</v>
      </c>
      <c r="DF245" t="s">
        <v>3</v>
      </c>
      <c r="DG245" t="s">
        <v>3</v>
      </c>
      <c r="DH245" t="s">
        <v>3</v>
      </c>
      <c r="DI245" t="s">
        <v>3</v>
      </c>
      <c r="DJ245" t="s">
        <v>3</v>
      </c>
      <c r="DK245" t="s">
        <v>3</v>
      </c>
      <c r="DL245" t="s">
        <v>3</v>
      </c>
      <c r="DM245" t="s">
        <v>3</v>
      </c>
      <c r="DN245">
        <v>0</v>
      </c>
      <c r="DO245">
        <v>0</v>
      </c>
      <c r="DP245">
        <v>1</v>
      </c>
      <c r="DQ245">
        <v>1</v>
      </c>
      <c r="DU245">
        <v>1010</v>
      </c>
      <c r="DV245" t="s">
        <v>196</v>
      </c>
      <c r="DW245" t="s">
        <v>196</v>
      </c>
      <c r="DX245">
        <v>1</v>
      </c>
      <c r="DZ245" t="s">
        <v>3</v>
      </c>
      <c r="EA245" t="s">
        <v>3</v>
      </c>
      <c r="EB245" t="s">
        <v>3</v>
      </c>
      <c r="EC245" t="s">
        <v>3</v>
      </c>
      <c r="EE245">
        <v>75371444</v>
      </c>
      <c r="EF245">
        <v>1</v>
      </c>
      <c r="EG245" t="s">
        <v>22</v>
      </c>
      <c r="EH245">
        <v>0</v>
      </c>
      <c r="EI245" t="s">
        <v>3</v>
      </c>
      <c r="EJ245">
        <v>4</v>
      </c>
      <c r="EK245">
        <v>0</v>
      </c>
      <c r="EL245" t="s">
        <v>23</v>
      </c>
      <c r="EM245" t="s">
        <v>24</v>
      </c>
      <c r="EO245" t="s">
        <v>3</v>
      </c>
      <c r="EQ245">
        <v>0</v>
      </c>
      <c r="ER245">
        <v>285</v>
      </c>
      <c r="ES245">
        <v>285</v>
      </c>
      <c r="ET245">
        <v>0</v>
      </c>
      <c r="EU245">
        <v>0</v>
      </c>
      <c r="EV245">
        <v>0</v>
      </c>
      <c r="EW245">
        <v>0</v>
      </c>
      <c r="EX245">
        <v>0</v>
      </c>
      <c r="EZ245">
        <v>5</v>
      </c>
      <c r="FC245">
        <v>1</v>
      </c>
      <c r="FD245">
        <v>18</v>
      </c>
      <c r="FF245">
        <v>342</v>
      </c>
      <c r="FQ245">
        <v>0</v>
      </c>
      <c r="FR245">
        <f>ROUND(IF(BI245=3,GM245,0),2)</f>
        <v>0</v>
      </c>
      <c r="FS245">
        <v>0</v>
      </c>
      <c r="FX245">
        <v>70</v>
      </c>
      <c r="FY245">
        <v>10</v>
      </c>
      <c r="GA245" t="s">
        <v>236</v>
      </c>
      <c r="GD245">
        <v>0</v>
      </c>
      <c r="GF245">
        <v>-303536335</v>
      </c>
      <c r="GG245">
        <v>2</v>
      </c>
      <c r="GH245">
        <v>3</v>
      </c>
      <c r="GI245">
        <v>-2</v>
      </c>
      <c r="GJ245">
        <v>0</v>
      </c>
      <c r="GK245">
        <f>ROUND(R245*(R12)/100,2)</f>
        <v>0</v>
      </c>
      <c r="GL245">
        <f>ROUND(IF(AND(BH245=3,BI245=3,FS245&lt;&gt;0),P245,0),2)</f>
        <v>0</v>
      </c>
      <c r="GM245">
        <f>ROUND(O245+X245+Y245+GK245,2)+GX245</f>
        <v>570</v>
      </c>
      <c r="GN245">
        <f>IF(OR(BI245=0,BI245=1),GM245-GX245,0)</f>
        <v>0</v>
      </c>
      <c r="GO245">
        <f>IF(BI245=2,GM245-GX245,0)</f>
        <v>0</v>
      </c>
      <c r="GP245">
        <f>IF(BI245=4,GM245-GX245,0)</f>
        <v>570</v>
      </c>
      <c r="GR245">
        <v>1</v>
      </c>
      <c r="GS245">
        <v>1</v>
      </c>
      <c r="GT245">
        <v>0</v>
      </c>
      <c r="GU245" t="s">
        <v>3</v>
      </c>
      <c r="GV245">
        <f>ROUND((GT245),6)</f>
        <v>0</v>
      </c>
      <c r="GW245">
        <v>1</v>
      </c>
      <c r="GX245">
        <f>ROUND(HC245*I245,2)</f>
        <v>0</v>
      </c>
      <c r="HA245">
        <v>0</v>
      </c>
      <c r="HB245">
        <v>0</v>
      </c>
      <c r="HC245">
        <f>GV245*GW245</f>
        <v>0</v>
      </c>
      <c r="HE245" t="s">
        <v>38</v>
      </c>
      <c r="HF245" t="s">
        <v>38</v>
      </c>
      <c r="HM245" t="s">
        <v>3</v>
      </c>
      <c r="HN245" t="s">
        <v>3</v>
      </c>
      <c r="HO245" t="s">
        <v>3</v>
      </c>
      <c r="HP245" t="s">
        <v>3</v>
      </c>
      <c r="HQ245" t="s">
        <v>3</v>
      </c>
      <c r="IK245">
        <v>0</v>
      </c>
    </row>
    <row r="246" spans="1:245" x14ac:dyDescent="0.2">
      <c r="A246">
        <v>18</v>
      </c>
      <c r="B246">
        <v>1</v>
      </c>
      <c r="C246">
        <v>106</v>
      </c>
      <c r="E246" t="s">
        <v>237</v>
      </c>
      <c r="F246" t="s">
        <v>238</v>
      </c>
      <c r="G246" t="s">
        <v>239</v>
      </c>
      <c r="H246" t="s">
        <v>196</v>
      </c>
      <c r="I246">
        <f>I244*J246</f>
        <v>1</v>
      </c>
      <c r="J246">
        <v>33.333333333333336</v>
      </c>
      <c r="K246">
        <v>33.333333000000003</v>
      </c>
      <c r="O246">
        <f>ROUND(CP246,2)</f>
        <v>90.55</v>
      </c>
      <c r="P246">
        <f>ROUND(CQ246*I246,2)</f>
        <v>90.55</v>
      </c>
      <c r="Q246">
        <f>ROUND(CR246*I246,2)</f>
        <v>0</v>
      </c>
      <c r="R246">
        <f>ROUND(CS246*I246,2)</f>
        <v>0</v>
      </c>
      <c r="S246">
        <f>ROUND(CT246*I246,2)</f>
        <v>0</v>
      </c>
      <c r="T246">
        <f>ROUND(CU246*I246,2)</f>
        <v>0</v>
      </c>
      <c r="U246">
        <f>CV246*I246</f>
        <v>0</v>
      </c>
      <c r="V246">
        <f>CW246*I246</f>
        <v>0</v>
      </c>
      <c r="W246">
        <f>ROUND(CX246*I246,2)</f>
        <v>0</v>
      </c>
      <c r="X246">
        <f t="shared" si="186"/>
        <v>0</v>
      </c>
      <c r="Y246">
        <f t="shared" si="186"/>
        <v>0</v>
      </c>
      <c r="AA246">
        <v>75703208</v>
      </c>
      <c r="AB246">
        <f>ROUND((AC246+AD246+AF246),6)</f>
        <v>90.55</v>
      </c>
      <c r="AC246">
        <f>ROUND((ES246),6)</f>
        <v>90.55</v>
      </c>
      <c r="AD246">
        <f>ROUND((((ET246)-(EU246))+AE246),6)</f>
        <v>0</v>
      </c>
      <c r="AE246">
        <f t="shared" si="187"/>
        <v>0</v>
      </c>
      <c r="AF246">
        <f t="shared" si="187"/>
        <v>0</v>
      </c>
      <c r="AG246">
        <f>ROUND((AP246),6)</f>
        <v>0</v>
      </c>
      <c r="AH246">
        <f t="shared" si="188"/>
        <v>0</v>
      </c>
      <c r="AI246">
        <f t="shared" si="188"/>
        <v>0</v>
      </c>
      <c r="AJ246">
        <f>(AS246)</f>
        <v>0</v>
      </c>
      <c r="AK246">
        <v>90.55</v>
      </c>
      <c r="AL246">
        <v>90.55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70</v>
      </c>
      <c r="AU246">
        <v>10</v>
      </c>
      <c r="AV246">
        <v>1</v>
      </c>
      <c r="AW246">
        <v>1</v>
      </c>
      <c r="AZ246">
        <v>1</v>
      </c>
      <c r="BA246">
        <v>1</v>
      </c>
      <c r="BB246">
        <v>1</v>
      </c>
      <c r="BC246">
        <v>1</v>
      </c>
      <c r="BD246" t="s">
        <v>3</v>
      </c>
      <c r="BE246" t="s">
        <v>3</v>
      </c>
      <c r="BF246" t="s">
        <v>3</v>
      </c>
      <c r="BG246" t="s">
        <v>3</v>
      </c>
      <c r="BH246">
        <v>3</v>
      </c>
      <c r="BI246">
        <v>4</v>
      </c>
      <c r="BJ246" t="s">
        <v>240</v>
      </c>
      <c r="BM246">
        <v>0</v>
      </c>
      <c r="BN246">
        <v>75371441</v>
      </c>
      <c r="BO246" t="s">
        <v>3</v>
      </c>
      <c r="BP246">
        <v>0</v>
      </c>
      <c r="BQ246">
        <v>1</v>
      </c>
      <c r="BR246">
        <v>0</v>
      </c>
      <c r="BS246">
        <v>1</v>
      </c>
      <c r="BT246">
        <v>1</v>
      </c>
      <c r="BU246">
        <v>1</v>
      </c>
      <c r="BV246">
        <v>1</v>
      </c>
      <c r="BW246">
        <v>1</v>
      </c>
      <c r="BX246">
        <v>1</v>
      </c>
      <c r="BY246" t="s">
        <v>3</v>
      </c>
      <c r="BZ246">
        <v>70</v>
      </c>
      <c r="CA246">
        <v>10</v>
      </c>
      <c r="CB246" t="s">
        <v>3</v>
      </c>
      <c r="CE246">
        <v>0</v>
      </c>
      <c r="CF246">
        <v>0</v>
      </c>
      <c r="CG246">
        <v>0</v>
      </c>
      <c r="CM246">
        <v>0</v>
      </c>
      <c r="CN246" t="s">
        <v>3</v>
      </c>
      <c r="CO246">
        <v>0</v>
      </c>
      <c r="CP246">
        <f>(P246+Q246+S246)</f>
        <v>90.55</v>
      </c>
      <c r="CQ246">
        <f>(AC246*BC246*AW246)</f>
        <v>90.55</v>
      </c>
      <c r="CR246">
        <f>((((ET246)*BB246-(EU246)*BS246)+AE246*BS246)*AV246)</f>
        <v>0</v>
      </c>
      <c r="CS246">
        <f>(AE246*BS246*AV246)</f>
        <v>0</v>
      </c>
      <c r="CT246">
        <f>(AF246*BA246*AV246)</f>
        <v>0</v>
      </c>
      <c r="CU246">
        <f>AG246</f>
        <v>0</v>
      </c>
      <c r="CV246">
        <f>(AH246*AV246)</f>
        <v>0</v>
      </c>
      <c r="CW246">
        <f t="shared" si="189"/>
        <v>0</v>
      </c>
      <c r="CX246">
        <f t="shared" si="189"/>
        <v>0</v>
      </c>
      <c r="CY246">
        <f>((S246*BZ246)/100)</f>
        <v>0</v>
      </c>
      <c r="CZ246">
        <f>((S246*CA246)/100)</f>
        <v>0</v>
      </c>
      <c r="DC246" t="s">
        <v>3</v>
      </c>
      <c r="DD246" t="s">
        <v>3</v>
      </c>
      <c r="DE246" t="s">
        <v>3</v>
      </c>
      <c r="DF246" t="s">
        <v>3</v>
      </c>
      <c r="DG246" t="s">
        <v>3</v>
      </c>
      <c r="DH246" t="s">
        <v>3</v>
      </c>
      <c r="DI246" t="s">
        <v>3</v>
      </c>
      <c r="DJ246" t="s">
        <v>3</v>
      </c>
      <c r="DK246" t="s">
        <v>3</v>
      </c>
      <c r="DL246" t="s">
        <v>3</v>
      </c>
      <c r="DM246" t="s">
        <v>3</v>
      </c>
      <c r="DN246">
        <v>0</v>
      </c>
      <c r="DO246">
        <v>0</v>
      </c>
      <c r="DP246">
        <v>1</v>
      </c>
      <c r="DQ246">
        <v>1</v>
      </c>
      <c r="DU246">
        <v>1010</v>
      </c>
      <c r="DV246" t="s">
        <v>196</v>
      </c>
      <c r="DW246" t="s">
        <v>196</v>
      </c>
      <c r="DX246">
        <v>1</v>
      </c>
      <c r="DZ246" t="s">
        <v>3</v>
      </c>
      <c r="EA246" t="s">
        <v>3</v>
      </c>
      <c r="EB246" t="s">
        <v>3</v>
      </c>
      <c r="EC246" t="s">
        <v>3</v>
      </c>
      <c r="EE246">
        <v>75371444</v>
      </c>
      <c r="EF246">
        <v>1</v>
      </c>
      <c r="EG246" t="s">
        <v>22</v>
      </c>
      <c r="EH246">
        <v>0</v>
      </c>
      <c r="EI246" t="s">
        <v>3</v>
      </c>
      <c r="EJ246">
        <v>4</v>
      </c>
      <c r="EK246">
        <v>0</v>
      </c>
      <c r="EL246" t="s">
        <v>23</v>
      </c>
      <c r="EM246" t="s">
        <v>24</v>
      </c>
      <c r="EO246" t="s">
        <v>3</v>
      </c>
      <c r="EQ246">
        <v>0</v>
      </c>
      <c r="ER246">
        <v>90.55</v>
      </c>
      <c r="ES246">
        <v>90.55</v>
      </c>
      <c r="ET246">
        <v>0</v>
      </c>
      <c r="EU246">
        <v>0</v>
      </c>
      <c r="EV246">
        <v>0</v>
      </c>
      <c r="EW246">
        <v>0</v>
      </c>
      <c r="EX246">
        <v>0</v>
      </c>
      <c r="FQ246">
        <v>0</v>
      </c>
      <c r="FR246">
        <f>ROUND(IF(BI246=3,GM246,0),2)</f>
        <v>0</v>
      </c>
      <c r="FS246">
        <v>0</v>
      </c>
      <c r="FX246">
        <v>70</v>
      </c>
      <c r="FY246">
        <v>10</v>
      </c>
      <c r="GA246" t="s">
        <v>3</v>
      </c>
      <c r="GD246">
        <v>0</v>
      </c>
      <c r="GF246">
        <v>-314732257</v>
      </c>
      <c r="GG246">
        <v>2</v>
      </c>
      <c r="GH246">
        <v>1</v>
      </c>
      <c r="GI246">
        <v>-2</v>
      </c>
      <c r="GJ246">
        <v>0</v>
      </c>
      <c r="GK246">
        <f>ROUND(R246*(R12)/100,2)</f>
        <v>0</v>
      </c>
      <c r="GL246">
        <f>ROUND(IF(AND(BH246=3,BI246=3,FS246&lt;&gt;0),P246,0),2)</f>
        <v>0</v>
      </c>
      <c r="GM246">
        <f>ROUND(O246+X246+Y246+GK246,2)+GX246</f>
        <v>90.55</v>
      </c>
      <c r="GN246">
        <f>IF(OR(BI246=0,BI246=1),GM246-GX246,0)</f>
        <v>0</v>
      </c>
      <c r="GO246">
        <f>IF(BI246=2,GM246-GX246,0)</f>
        <v>0</v>
      </c>
      <c r="GP246">
        <f>IF(BI246=4,GM246-GX246,0)</f>
        <v>90.55</v>
      </c>
      <c r="GR246">
        <v>0</v>
      </c>
      <c r="GS246">
        <v>3</v>
      </c>
      <c r="GT246">
        <v>0</v>
      </c>
      <c r="GU246" t="s">
        <v>3</v>
      </c>
      <c r="GV246">
        <f>ROUND((GT246),6)</f>
        <v>0</v>
      </c>
      <c r="GW246">
        <v>1</v>
      </c>
      <c r="GX246">
        <f>ROUND(HC246*I246,2)</f>
        <v>0</v>
      </c>
      <c r="HA246">
        <v>0</v>
      </c>
      <c r="HB246">
        <v>0</v>
      </c>
      <c r="HC246">
        <f>GV246*GW246</f>
        <v>0</v>
      </c>
      <c r="HE246" t="s">
        <v>3</v>
      </c>
      <c r="HF246" t="s">
        <v>3</v>
      </c>
      <c r="HM246" t="s">
        <v>3</v>
      </c>
      <c r="HN246" t="s">
        <v>3</v>
      </c>
      <c r="HO246" t="s">
        <v>3</v>
      </c>
      <c r="HP246" t="s">
        <v>3</v>
      </c>
      <c r="HQ246" t="s">
        <v>3</v>
      </c>
      <c r="IK246">
        <v>0</v>
      </c>
    </row>
    <row r="248" spans="1:245" x14ac:dyDescent="0.2">
      <c r="A248" s="2">
        <v>51</v>
      </c>
      <c r="B248" s="2">
        <f>B240</f>
        <v>1</v>
      </c>
      <c r="C248" s="2">
        <f>A240</f>
        <v>5</v>
      </c>
      <c r="D248" s="2">
        <f>ROW(A240)</f>
        <v>240</v>
      </c>
      <c r="E248" s="2"/>
      <c r="F248" s="2" t="str">
        <f>IF(F240&lt;&gt;"",F240,"")</f>
        <v>Новый подраздел</v>
      </c>
      <c r="G248" s="2" t="str">
        <f>IF(G240&lt;&gt;"",G240,"")</f>
        <v>Электрика</v>
      </c>
      <c r="H248" s="2">
        <v>0</v>
      </c>
      <c r="I248" s="2"/>
      <c r="J248" s="2"/>
      <c r="K248" s="2"/>
      <c r="L248" s="2"/>
      <c r="M248" s="2"/>
      <c r="N248" s="2"/>
      <c r="O248" s="2">
        <f t="shared" ref="O248:T248" si="190">ROUND(AB248,2)</f>
        <v>1007.85</v>
      </c>
      <c r="P248" s="2">
        <f t="shared" si="190"/>
        <v>660.55</v>
      </c>
      <c r="Q248" s="2">
        <f t="shared" si="190"/>
        <v>0</v>
      </c>
      <c r="R248" s="2">
        <f t="shared" si="190"/>
        <v>0</v>
      </c>
      <c r="S248" s="2">
        <f t="shared" si="190"/>
        <v>347.3</v>
      </c>
      <c r="T248" s="2">
        <f t="shared" si="190"/>
        <v>0</v>
      </c>
      <c r="U248" s="2">
        <f>AH248</f>
        <v>0.89219999999999988</v>
      </c>
      <c r="V248" s="2">
        <f>AI248</f>
        <v>0</v>
      </c>
      <c r="W248" s="2">
        <f>ROUND(AJ248,2)</f>
        <v>0</v>
      </c>
      <c r="X248" s="2">
        <f>ROUND(AK248,2)</f>
        <v>243.11</v>
      </c>
      <c r="Y248" s="2">
        <f>ROUND(AL248,2)</f>
        <v>34.729999999999997</v>
      </c>
      <c r="Z248" s="2"/>
      <c r="AA248" s="2"/>
      <c r="AB248" s="2">
        <f>ROUND(SUMIF(AA244:AA246,"=75703208",O244:O246),2)</f>
        <v>1007.85</v>
      </c>
      <c r="AC248" s="2">
        <f>ROUND(SUMIF(AA244:AA246,"=75703208",P244:P246),2)</f>
        <v>660.55</v>
      </c>
      <c r="AD248" s="2">
        <f>ROUND(SUMIF(AA244:AA246,"=75703208",Q244:Q246),2)</f>
        <v>0</v>
      </c>
      <c r="AE248" s="2">
        <f>ROUND(SUMIF(AA244:AA246,"=75703208",R244:R246),2)</f>
        <v>0</v>
      </c>
      <c r="AF248" s="2">
        <f>ROUND(SUMIF(AA244:AA246,"=75703208",S244:S246),2)</f>
        <v>347.3</v>
      </c>
      <c r="AG248" s="2">
        <f>ROUND(SUMIF(AA244:AA246,"=75703208",T244:T246),2)</f>
        <v>0</v>
      </c>
      <c r="AH248" s="2">
        <f>SUMIF(AA244:AA246,"=75703208",U244:U246)</f>
        <v>0.89219999999999988</v>
      </c>
      <c r="AI248" s="2">
        <f>SUMIF(AA244:AA246,"=75703208",V244:V246)</f>
        <v>0</v>
      </c>
      <c r="AJ248" s="2">
        <f>ROUND(SUMIF(AA244:AA246,"=75703208",W244:W246),2)</f>
        <v>0</v>
      </c>
      <c r="AK248" s="2">
        <f>ROUND(SUMIF(AA244:AA246,"=75703208",X244:X246),2)</f>
        <v>243.11</v>
      </c>
      <c r="AL248" s="2">
        <f>ROUND(SUMIF(AA244:AA246,"=75703208",Y244:Y246),2)</f>
        <v>34.729999999999997</v>
      </c>
      <c r="AM248" s="2"/>
      <c r="AN248" s="2"/>
      <c r="AO248" s="2">
        <f t="shared" ref="AO248:BD248" si="191">ROUND(BX248,2)</f>
        <v>0</v>
      </c>
      <c r="AP248" s="2">
        <f t="shared" si="191"/>
        <v>0</v>
      </c>
      <c r="AQ248" s="2">
        <f t="shared" si="191"/>
        <v>0</v>
      </c>
      <c r="AR248" s="2">
        <f t="shared" si="191"/>
        <v>1285.69</v>
      </c>
      <c r="AS248" s="2">
        <f t="shared" si="191"/>
        <v>0</v>
      </c>
      <c r="AT248" s="2">
        <f t="shared" si="191"/>
        <v>0</v>
      </c>
      <c r="AU248" s="2">
        <f t="shared" si="191"/>
        <v>1285.69</v>
      </c>
      <c r="AV248" s="2">
        <f t="shared" si="191"/>
        <v>660.55</v>
      </c>
      <c r="AW248" s="2">
        <f t="shared" si="191"/>
        <v>660.55</v>
      </c>
      <c r="AX248" s="2">
        <f t="shared" si="191"/>
        <v>0</v>
      </c>
      <c r="AY248" s="2">
        <f t="shared" si="191"/>
        <v>660.55</v>
      </c>
      <c r="AZ248" s="2">
        <f t="shared" si="191"/>
        <v>0</v>
      </c>
      <c r="BA248" s="2">
        <f t="shared" si="191"/>
        <v>0</v>
      </c>
      <c r="BB248" s="2">
        <f t="shared" si="191"/>
        <v>0</v>
      </c>
      <c r="BC248" s="2">
        <f t="shared" si="191"/>
        <v>0</v>
      </c>
      <c r="BD248" s="2">
        <f t="shared" si="191"/>
        <v>0</v>
      </c>
      <c r="BE248" s="2"/>
      <c r="BF248" s="2"/>
      <c r="BG248" s="2"/>
      <c r="BH248" s="2"/>
      <c r="BI248" s="2"/>
      <c r="BJ248" s="2"/>
      <c r="BK248" s="2"/>
      <c r="BL248" s="2"/>
      <c r="BM248" s="2"/>
      <c r="BN248" s="2"/>
      <c r="BO248" s="2"/>
      <c r="BP248" s="2"/>
      <c r="BQ248" s="2"/>
      <c r="BR248" s="2"/>
      <c r="BS248" s="2"/>
      <c r="BT248" s="2"/>
      <c r="BU248" s="2"/>
      <c r="BV248" s="2"/>
      <c r="BW248" s="2"/>
      <c r="BX248" s="2">
        <f>ROUND(SUMIF(AA244:AA246,"=75703208",FQ244:FQ246),2)</f>
        <v>0</v>
      </c>
      <c r="BY248" s="2">
        <f>ROUND(SUMIF(AA244:AA246,"=75703208",FR244:FR246),2)</f>
        <v>0</v>
      </c>
      <c r="BZ248" s="2">
        <f>ROUND(SUMIF(AA244:AA246,"=75703208",GL244:GL246),2)</f>
        <v>0</v>
      </c>
      <c r="CA248" s="2">
        <f>ROUND(SUMIF(AA244:AA246,"=75703208",GM244:GM246),2)</f>
        <v>1285.69</v>
      </c>
      <c r="CB248" s="2">
        <f>ROUND(SUMIF(AA244:AA246,"=75703208",GN244:GN246),2)</f>
        <v>0</v>
      </c>
      <c r="CC248" s="2">
        <f>ROUND(SUMIF(AA244:AA246,"=75703208",GO244:GO246),2)</f>
        <v>0</v>
      </c>
      <c r="CD248" s="2">
        <f>ROUND(SUMIF(AA244:AA246,"=75703208",GP244:GP246),2)</f>
        <v>1285.69</v>
      </c>
      <c r="CE248" s="2">
        <f>AC248-BX248</f>
        <v>660.55</v>
      </c>
      <c r="CF248" s="2">
        <f>AC248-BY248</f>
        <v>660.55</v>
      </c>
      <c r="CG248" s="2">
        <f>BX248-BZ248</f>
        <v>0</v>
      </c>
      <c r="CH248" s="2">
        <f>AC248-BX248-BY248+BZ248</f>
        <v>660.55</v>
      </c>
      <c r="CI248" s="2">
        <f>BY248-BZ248</f>
        <v>0</v>
      </c>
      <c r="CJ248" s="2">
        <f>ROUND(SUMIF(AA244:AA246,"=75703208",GX244:GX246),2)</f>
        <v>0</v>
      </c>
      <c r="CK248" s="2">
        <f>ROUND(SUMIF(AA244:AA246,"=75703208",GY244:GY246),2)</f>
        <v>0</v>
      </c>
      <c r="CL248" s="2">
        <f>ROUND(SUMIF(AA244:AA246,"=75703208",GZ244:GZ246),2)</f>
        <v>0</v>
      </c>
      <c r="CM248" s="2">
        <f>ROUND(SUMIF(AA244:AA246,"=75703208",HD244:HD246),2)</f>
        <v>0</v>
      </c>
      <c r="CN248" s="2"/>
      <c r="CO248" s="2"/>
      <c r="CP248" s="2"/>
      <c r="CQ248" s="2"/>
      <c r="CR248" s="2"/>
      <c r="CS248" s="2"/>
      <c r="CT248" s="2"/>
      <c r="CU248" s="2"/>
      <c r="CV248" s="2"/>
      <c r="CW248" s="2"/>
      <c r="CX248" s="2"/>
      <c r="CY248" s="2"/>
      <c r="CZ248" s="2"/>
      <c r="DA248" s="2"/>
      <c r="DB248" s="2"/>
      <c r="DC248" s="2"/>
      <c r="DD248" s="2"/>
      <c r="DE248" s="2"/>
      <c r="DF248" s="2"/>
      <c r="DG248" s="3"/>
      <c r="DH248" s="3"/>
      <c r="DI248" s="3"/>
      <c r="DJ248" s="3"/>
      <c r="DK248" s="3"/>
      <c r="DL248" s="3"/>
      <c r="DM248" s="3"/>
      <c r="DN248" s="3"/>
      <c r="DO248" s="3"/>
      <c r="DP248" s="3"/>
      <c r="DQ248" s="3"/>
      <c r="DR248" s="3"/>
      <c r="DS248" s="3"/>
      <c r="DT248" s="3"/>
      <c r="DU248" s="3"/>
      <c r="DV248" s="3"/>
      <c r="DW248" s="3"/>
      <c r="DX248" s="3"/>
      <c r="DY248" s="3"/>
      <c r="DZ248" s="3"/>
      <c r="EA248" s="3"/>
      <c r="EB248" s="3"/>
      <c r="EC248" s="3"/>
      <c r="ED248" s="3"/>
      <c r="EE248" s="3"/>
      <c r="EF248" s="3"/>
      <c r="EG248" s="3"/>
      <c r="EH248" s="3"/>
      <c r="EI248" s="3"/>
      <c r="EJ248" s="3"/>
      <c r="EK248" s="3"/>
      <c r="EL248" s="3"/>
      <c r="EM248" s="3"/>
      <c r="EN248" s="3"/>
      <c r="EO248" s="3"/>
      <c r="EP248" s="3"/>
      <c r="EQ248" s="3"/>
      <c r="ER248" s="3"/>
      <c r="ES248" s="3"/>
      <c r="ET248" s="3"/>
      <c r="EU248" s="3"/>
      <c r="EV248" s="3"/>
      <c r="EW248" s="3"/>
      <c r="EX248" s="3"/>
      <c r="EY248" s="3"/>
      <c r="EZ248" s="3"/>
      <c r="FA248" s="3"/>
      <c r="FB248" s="3"/>
      <c r="FC248" s="3"/>
      <c r="FD248" s="3"/>
      <c r="FE248" s="3"/>
      <c r="FF248" s="3"/>
      <c r="FG248" s="3"/>
      <c r="FH248" s="3"/>
      <c r="FI248" s="3"/>
      <c r="FJ248" s="3"/>
      <c r="FK248" s="3"/>
      <c r="FL248" s="3"/>
      <c r="FM248" s="3"/>
      <c r="FN248" s="3"/>
      <c r="FO248" s="3"/>
      <c r="FP248" s="3"/>
      <c r="FQ248" s="3"/>
      <c r="FR248" s="3"/>
      <c r="FS248" s="3"/>
      <c r="FT248" s="3"/>
      <c r="FU248" s="3"/>
      <c r="FV248" s="3"/>
      <c r="FW248" s="3"/>
      <c r="FX248" s="3"/>
      <c r="FY248" s="3"/>
      <c r="FZ248" s="3"/>
      <c r="GA248" s="3"/>
      <c r="GB248" s="3"/>
      <c r="GC248" s="3"/>
      <c r="GD248" s="3"/>
      <c r="GE248" s="3"/>
      <c r="GF248" s="3"/>
      <c r="GG248" s="3"/>
      <c r="GH248" s="3"/>
      <c r="GI248" s="3"/>
      <c r="GJ248" s="3"/>
      <c r="GK248" s="3"/>
      <c r="GL248" s="3"/>
      <c r="GM248" s="3"/>
      <c r="GN248" s="3"/>
      <c r="GO248" s="3"/>
      <c r="GP248" s="3"/>
      <c r="GQ248" s="3"/>
      <c r="GR248" s="3"/>
      <c r="GS248" s="3"/>
      <c r="GT248" s="3"/>
      <c r="GU248" s="3"/>
      <c r="GV248" s="3"/>
      <c r="GW248" s="3"/>
      <c r="GX248" s="3">
        <v>0</v>
      </c>
    </row>
    <row r="250" spans="1:245" x14ac:dyDescent="0.2">
      <c r="A250" s="4">
        <v>50</v>
      </c>
      <c r="B250" s="4">
        <v>0</v>
      </c>
      <c r="C250" s="4">
        <v>0</v>
      </c>
      <c r="D250" s="4">
        <v>1</v>
      </c>
      <c r="E250" s="4">
        <v>201</v>
      </c>
      <c r="F250" s="4">
        <f>ROUND(Source!O248,O250)</f>
        <v>1007.85</v>
      </c>
      <c r="G250" s="4" t="s">
        <v>86</v>
      </c>
      <c r="H250" s="4" t="s">
        <v>87</v>
      </c>
      <c r="I250" s="4"/>
      <c r="J250" s="4"/>
      <c r="K250" s="4">
        <v>201</v>
      </c>
      <c r="L250" s="4">
        <v>1</v>
      </c>
      <c r="M250" s="4">
        <v>3</v>
      </c>
      <c r="N250" s="4" t="s">
        <v>3</v>
      </c>
      <c r="O250" s="4">
        <v>2</v>
      </c>
      <c r="P250" s="4"/>
      <c r="Q250" s="4"/>
      <c r="R250" s="4"/>
      <c r="S250" s="4"/>
      <c r="T250" s="4"/>
      <c r="U250" s="4"/>
      <c r="V250" s="4"/>
      <c r="W250" s="4">
        <v>1007.85</v>
      </c>
      <c r="X250" s="4">
        <v>1</v>
      </c>
      <c r="Y250" s="4">
        <v>1007.85</v>
      </c>
      <c r="Z250" s="4"/>
      <c r="AA250" s="4"/>
      <c r="AB250" s="4"/>
    </row>
    <row r="251" spans="1:245" x14ac:dyDescent="0.2">
      <c r="A251" s="4">
        <v>50</v>
      </c>
      <c r="B251" s="4">
        <v>0</v>
      </c>
      <c r="C251" s="4">
        <v>0</v>
      </c>
      <c r="D251" s="4">
        <v>1</v>
      </c>
      <c r="E251" s="4">
        <v>202</v>
      </c>
      <c r="F251" s="4">
        <f>ROUND(Source!P248,O251)</f>
        <v>660.55</v>
      </c>
      <c r="G251" s="4" t="s">
        <v>88</v>
      </c>
      <c r="H251" s="4" t="s">
        <v>89</v>
      </c>
      <c r="I251" s="4"/>
      <c r="J251" s="4"/>
      <c r="K251" s="4">
        <v>202</v>
      </c>
      <c r="L251" s="4">
        <v>2</v>
      </c>
      <c r="M251" s="4">
        <v>3</v>
      </c>
      <c r="N251" s="4" t="s">
        <v>3</v>
      </c>
      <c r="O251" s="4">
        <v>2</v>
      </c>
      <c r="P251" s="4"/>
      <c r="Q251" s="4"/>
      <c r="R251" s="4"/>
      <c r="S251" s="4"/>
      <c r="T251" s="4"/>
      <c r="U251" s="4"/>
      <c r="V251" s="4"/>
      <c r="W251" s="4">
        <v>660.55</v>
      </c>
      <c r="X251" s="4">
        <v>1</v>
      </c>
      <c r="Y251" s="4">
        <v>660.55</v>
      </c>
      <c r="Z251" s="4"/>
      <c r="AA251" s="4"/>
      <c r="AB251" s="4"/>
    </row>
    <row r="252" spans="1:245" x14ac:dyDescent="0.2">
      <c r="A252" s="4">
        <v>50</v>
      </c>
      <c r="B252" s="4">
        <v>0</v>
      </c>
      <c r="C252" s="4">
        <v>0</v>
      </c>
      <c r="D252" s="4">
        <v>1</v>
      </c>
      <c r="E252" s="4">
        <v>222</v>
      </c>
      <c r="F252" s="4">
        <f>ROUND(Source!AO248,O252)</f>
        <v>0</v>
      </c>
      <c r="G252" s="4" t="s">
        <v>90</v>
      </c>
      <c r="H252" s="4" t="s">
        <v>91</v>
      </c>
      <c r="I252" s="4"/>
      <c r="J252" s="4"/>
      <c r="K252" s="4">
        <v>222</v>
      </c>
      <c r="L252" s="4">
        <v>3</v>
      </c>
      <c r="M252" s="4">
        <v>3</v>
      </c>
      <c r="N252" s="4" t="s">
        <v>3</v>
      </c>
      <c r="O252" s="4">
        <v>2</v>
      </c>
      <c r="P252" s="4"/>
      <c r="Q252" s="4"/>
      <c r="R252" s="4"/>
      <c r="S252" s="4"/>
      <c r="T252" s="4"/>
      <c r="U252" s="4"/>
      <c r="V252" s="4"/>
      <c r="W252" s="4">
        <v>0</v>
      </c>
      <c r="X252" s="4">
        <v>1</v>
      </c>
      <c r="Y252" s="4">
        <v>0</v>
      </c>
      <c r="Z252" s="4"/>
      <c r="AA252" s="4"/>
      <c r="AB252" s="4"/>
    </row>
    <row r="253" spans="1:245" x14ac:dyDescent="0.2">
      <c r="A253" s="4">
        <v>50</v>
      </c>
      <c r="B253" s="4">
        <v>0</v>
      </c>
      <c r="C253" s="4">
        <v>0</v>
      </c>
      <c r="D253" s="4">
        <v>1</v>
      </c>
      <c r="E253" s="4">
        <v>225</v>
      </c>
      <c r="F253" s="4">
        <f>ROUND(Source!AV248,O253)</f>
        <v>660.55</v>
      </c>
      <c r="G253" s="4" t="s">
        <v>92</v>
      </c>
      <c r="H253" s="4" t="s">
        <v>93</v>
      </c>
      <c r="I253" s="4"/>
      <c r="J253" s="4"/>
      <c r="K253" s="4">
        <v>225</v>
      </c>
      <c r="L253" s="4">
        <v>4</v>
      </c>
      <c r="M253" s="4">
        <v>3</v>
      </c>
      <c r="N253" s="4" t="s">
        <v>3</v>
      </c>
      <c r="O253" s="4">
        <v>2</v>
      </c>
      <c r="P253" s="4"/>
      <c r="Q253" s="4"/>
      <c r="R253" s="4"/>
      <c r="S253" s="4"/>
      <c r="T253" s="4"/>
      <c r="U253" s="4"/>
      <c r="V253" s="4"/>
      <c r="W253" s="4">
        <v>660.55</v>
      </c>
      <c r="X253" s="4">
        <v>1</v>
      </c>
      <c r="Y253" s="4">
        <v>660.55</v>
      </c>
      <c r="Z253" s="4"/>
      <c r="AA253" s="4"/>
      <c r="AB253" s="4"/>
    </row>
    <row r="254" spans="1:245" x14ac:dyDescent="0.2">
      <c r="A254" s="4">
        <v>50</v>
      </c>
      <c r="B254" s="4">
        <v>0</v>
      </c>
      <c r="C254" s="4">
        <v>0</v>
      </c>
      <c r="D254" s="4">
        <v>1</v>
      </c>
      <c r="E254" s="4">
        <v>226</v>
      </c>
      <c r="F254" s="4">
        <f>ROUND(Source!AW248,O254)</f>
        <v>660.55</v>
      </c>
      <c r="G254" s="4" t="s">
        <v>94</v>
      </c>
      <c r="H254" s="4" t="s">
        <v>95</v>
      </c>
      <c r="I254" s="4"/>
      <c r="J254" s="4"/>
      <c r="K254" s="4">
        <v>226</v>
      </c>
      <c r="L254" s="4">
        <v>5</v>
      </c>
      <c r="M254" s="4">
        <v>3</v>
      </c>
      <c r="N254" s="4" t="s">
        <v>3</v>
      </c>
      <c r="O254" s="4">
        <v>2</v>
      </c>
      <c r="P254" s="4"/>
      <c r="Q254" s="4"/>
      <c r="R254" s="4"/>
      <c r="S254" s="4"/>
      <c r="T254" s="4"/>
      <c r="U254" s="4"/>
      <c r="V254" s="4"/>
      <c r="W254" s="4">
        <v>660.55</v>
      </c>
      <c r="X254" s="4">
        <v>1</v>
      </c>
      <c r="Y254" s="4">
        <v>660.55</v>
      </c>
      <c r="Z254" s="4"/>
      <c r="AA254" s="4"/>
      <c r="AB254" s="4"/>
    </row>
    <row r="255" spans="1:245" x14ac:dyDescent="0.2">
      <c r="A255" s="4">
        <v>50</v>
      </c>
      <c r="B255" s="4">
        <v>0</v>
      </c>
      <c r="C255" s="4">
        <v>0</v>
      </c>
      <c r="D255" s="4">
        <v>1</v>
      </c>
      <c r="E255" s="4">
        <v>227</v>
      </c>
      <c r="F255" s="4">
        <f>ROUND(Source!AX248,O255)</f>
        <v>0</v>
      </c>
      <c r="G255" s="4" t="s">
        <v>96</v>
      </c>
      <c r="H255" s="4" t="s">
        <v>97</v>
      </c>
      <c r="I255" s="4"/>
      <c r="J255" s="4"/>
      <c r="K255" s="4">
        <v>227</v>
      </c>
      <c r="L255" s="4">
        <v>6</v>
      </c>
      <c r="M255" s="4">
        <v>3</v>
      </c>
      <c r="N255" s="4" t="s">
        <v>3</v>
      </c>
      <c r="O255" s="4">
        <v>2</v>
      </c>
      <c r="P255" s="4"/>
      <c r="Q255" s="4"/>
      <c r="R255" s="4"/>
      <c r="S255" s="4"/>
      <c r="T255" s="4"/>
      <c r="U255" s="4"/>
      <c r="V255" s="4"/>
      <c r="W255" s="4">
        <v>0</v>
      </c>
      <c r="X255" s="4">
        <v>1</v>
      </c>
      <c r="Y255" s="4">
        <v>0</v>
      </c>
      <c r="Z255" s="4"/>
      <c r="AA255" s="4"/>
      <c r="AB255" s="4"/>
    </row>
    <row r="256" spans="1:245" x14ac:dyDescent="0.2">
      <c r="A256" s="4">
        <v>50</v>
      </c>
      <c r="B256" s="4">
        <v>0</v>
      </c>
      <c r="C256" s="4">
        <v>0</v>
      </c>
      <c r="D256" s="4">
        <v>1</v>
      </c>
      <c r="E256" s="4">
        <v>228</v>
      </c>
      <c r="F256" s="4">
        <f>ROUND(Source!AY248,O256)</f>
        <v>660.55</v>
      </c>
      <c r="G256" s="4" t="s">
        <v>98</v>
      </c>
      <c r="H256" s="4" t="s">
        <v>99</v>
      </c>
      <c r="I256" s="4"/>
      <c r="J256" s="4"/>
      <c r="K256" s="4">
        <v>228</v>
      </c>
      <c r="L256" s="4">
        <v>7</v>
      </c>
      <c r="M256" s="4">
        <v>3</v>
      </c>
      <c r="N256" s="4" t="s">
        <v>3</v>
      </c>
      <c r="O256" s="4">
        <v>2</v>
      </c>
      <c r="P256" s="4"/>
      <c r="Q256" s="4"/>
      <c r="R256" s="4"/>
      <c r="S256" s="4"/>
      <c r="T256" s="4"/>
      <c r="U256" s="4"/>
      <c r="V256" s="4"/>
      <c r="W256" s="4">
        <v>660.55</v>
      </c>
      <c r="X256" s="4">
        <v>1</v>
      </c>
      <c r="Y256" s="4">
        <v>660.55</v>
      </c>
      <c r="Z256" s="4"/>
      <c r="AA256" s="4"/>
      <c r="AB256" s="4"/>
    </row>
    <row r="257" spans="1:28" x14ac:dyDescent="0.2">
      <c r="A257" s="4">
        <v>50</v>
      </c>
      <c r="B257" s="4">
        <v>0</v>
      </c>
      <c r="C257" s="4">
        <v>0</v>
      </c>
      <c r="D257" s="4">
        <v>1</v>
      </c>
      <c r="E257" s="4">
        <v>216</v>
      </c>
      <c r="F257" s="4">
        <f>ROUND(Source!AP248,O257)</f>
        <v>0</v>
      </c>
      <c r="G257" s="4" t="s">
        <v>100</v>
      </c>
      <c r="H257" s="4" t="s">
        <v>101</v>
      </c>
      <c r="I257" s="4"/>
      <c r="J257" s="4"/>
      <c r="K257" s="4">
        <v>216</v>
      </c>
      <c r="L257" s="4">
        <v>8</v>
      </c>
      <c r="M257" s="4">
        <v>3</v>
      </c>
      <c r="N257" s="4" t="s">
        <v>3</v>
      </c>
      <c r="O257" s="4">
        <v>2</v>
      </c>
      <c r="P257" s="4"/>
      <c r="Q257" s="4"/>
      <c r="R257" s="4"/>
      <c r="S257" s="4"/>
      <c r="T257" s="4"/>
      <c r="U257" s="4"/>
      <c r="V257" s="4"/>
      <c r="W257" s="4">
        <v>0</v>
      </c>
      <c r="X257" s="4">
        <v>1</v>
      </c>
      <c r="Y257" s="4">
        <v>0</v>
      </c>
      <c r="Z257" s="4"/>
      <c r="AA257" s="4"/>
      <c r="AB257" s="4"/>
    </row>
    <row r="258" spans="1:28" x14ac:dyDescent="0.2">
      <c r="A258" s="4">
        <v>50</v>
      </c>
      <c r="B258" s="4">
        <v>0</v>
      </c>
      <c r="C258" s="4">
        <v>0</v>
      </c>
      <c r="D258" s="4">
        <v>1</v>
      </c>
      <c r="E258" s="4">
        <v>223</v>
      </c>
      <c r="F258" s="4">
        <f>ROUND(Source!AQ248,O258)</f>
        <v>0</v>
      </c>
      <c r="G258" s="4" t="s">
        <v>102</v>
      </c>
      <c r="H258" s="4" t="s">
        <v>103</v>
      </c>
      <c r="I258" s="4"/>
      <c r="J258" s="4"/>
      <c r="K258" s="4">
        <v>223</v>
      </c>
      <c r="L258" s="4">
        <v>9</v>
      </c>
      <c r="M258" s="4">
        <v>3</v>
      </c>
      <c r="N258" s="4" t="s">
        <v>3</v>
      </c>
      <c r="O258" s="4">
        <v>2</v>
      </c>
      <c r="P258" s="4"/>
      <c r="Q258" s="4"/>
      <c r="R258" s="4"/>
      <c r="S258" s="4"/>
      <c r="T258" s="4"/>
      <c r="U258" s="4"/>
      <c r="V258" s="4"/>
      <c r="W258" s="4">
        <v>0</v>
      </c>
      <c r="X258" s="4">
        <v>1</v>
      </c>
      <c r="Y258" s="4">
        <v>0</v>
      </c>
      <c r="Z258" s="4"/>
      <c r="AA258" s="4"/>
      <c r="AB258" s="4"/>
    </row>
    <row r="259" spans="1:28" x14ac:dyDescent="0.2">
      <c r="A259" s="4">
        <v>50</v>
      </c>
      <c r="B259" s="4">
        <v>0</v>
      </c>
      <c r="C259" s="4">
        <v>0</v>
      </c>
      <c r="D259" s="4">
        <v>1</v>
      </c>
      <c r="E259" s="4">
        <v>229</v>
      </c>
      <c r="F259" s="4">
        <f>ROUND(Source!AZ248,O259)</f>
        <v>0</v>
      </c>
      <c r="G259" s="4" t="s">
        <v>104</v>
      </c>
      <c r="H259" s="4" t="s">
        <v>105</v>
      </c>
      <c r="I259" s="4"/>
      <c r="J259" s="4"/>
      <c r="K259" s="4">
        <v>229</v>
      </c>
      <c r="L259" s="4">
        <v>10</v>
      </c>
      <c r="M259" s="4">
        <v>3</v>
      </c>
      <c r="N259" s="4" t="s">
        <v>3</v>
      </c>
      <c r="O259" s="4">
        <v>2</v>
      </c>
      <c r="P259" s="4"/>
      <c r="Q259" s="4"/>
      <c r="R259" s="4"/>
      <c r="S259" s="4"/>
      <c r="T259" s="4"/>
      <c r="U259" s="4"/>
      <c r="V259" s="4"/>
      <c r="W259" s="4">
        <v>0</v>
      </c>
      <c r="X259" s="4">
        <v>1</v>
      </c>
      <c r="Y259" s="4">
        <v>0</v>
      </c>
      <c r="Z259" s="4"/>
      <c r="AA259" s="4"/>
      <c r="AB259" s="4"/>
    </row>
    <row r="260" spans="1:28" x14ac:dyDescent="0.2">
      <c r="A260" s="4">
        <v>50</v>
      </c>
      <c r="B260" s="4">
        <v>0</v>
      </c>
      <c r="C260" s="4">
        <v>0</v>
      </c>
      <c r="D260" s="4">
        <v>1</v>
      </c>
      <c r="E260" s="4">
        <v>203</v>
      </c>
      <c r="F260" s="4">
        <f>ROUND(Source!Q248,O260)</f>
        <v>0</v>
      </c>
      <c r="G260" s="4" t="s">
        <v>106</v>
      </c>
      <c r="H260" s="4" t="s">
        <v>107</v>
      </c>
      <c r="I260" s="4"/>
      <c r="J260" s="4"/>
      <c r="K260" s="4">
        <v>203</v>
      </c>
      <c r="L260" s="4">
        <v>11</v>
      </c>
      <c r="M260" s="4">
        <v>3</v>
      </c>
      <c r="N260" s="4" t="s">
        <v>3</v>
      </c>
      <c r="O260" s="4">
        <v>2</v>
      </c>
      <c r="P260" s="4"/>
      <c r="Q260" s="4"/>
      <c r="R260" s="4"/>
      <c r="S260" s="4"/>
      <c r="T260" s="4"/>
      <c r="U260" s="4"/>
      <c r="V260" s="4"/>
      <c r="W260" s="4">
        <v>0</v>
      </c>
      <c r="X260" s="4">
        <v>1</v>
      </c>
      <c r="Y260" s="4">
        <v>0</v>
      </c>
      <c r="Z260" s="4"/>
      <c r="AA260" s="4"/>
      <c r="AB260" s="4"/>
    </row>
    <row r="261" spans="1:28" x14ac:dyDescent="0.2">
      <c r="A261" s="4">
        <v>50</v>
      </c>
      <c r="B261" s="4">
        <v>0</v>
      </c>
      <c r="C261" s="4">
        <v>0</v>
      </c>
      <c r="D261" s="4">
        <v>1</v>
      </c>
      <c r="E261" s="4">
        <v>231</v>
      </c>
      <c r="F261" s="4">
        <f>ROUND(Source!BB248,O261)</f>
        <v>0</v>
      </c>
      <c r="G261" s="4" t="s">
        <v>108</v>
      </c>
      <c r="H261" s="4" t="s">
        <v>109</v>
      </c>
      <c r="I261" s="4"/>
      <c r="J261" s="4"/>
      <c r="K261" s="4">
        <v>231</v>
      </c>
      <c r="L261" s="4">
        <v>12</v>
      </c>
      <c r="M261" s="4">
        <v>3</v>
      </c>
      <c r="N261" s="4" t="s">
        <v>3</v>
      </c>
      <c r="O261" s="4">
        <v>2</v>
      </c>
      <c r="P261" s="4"/>
      <c r="Q261" s="4"/>
      <c r="R261" s="4"/>
      <c r="S261" s="4"/>
      <c r="T261" s="4"/>
      <c r="U261" s="4"/>
      <c r="V261" s="4"/>
      <c r="W261" s="4">
        <v>0</v>
      </c>
      <c r="X261" s="4">
        <v>1</v>
      </c>
      <c r="Y261" s="4">
        <v>0</v>
      </c>
      <c r="Z261" s="4"/>
      <c r="AA261" s="4"/>
      <c r="AB261" s="4"/>
    </row>
    <row r="262" spans="1:28" x14ac:dyDescent="0.2">
      <c r="A262" s="4">
        <v>50</v>
      </c>
      <c r="B262" s="4">
        <v>0</v>
      </c>
      <c r="C262" s="4">
        <v>0</v>
      </c>
      <c r="D262" s="4">
        <v>1</v>
      </c>
      <c r="E262" s="4">
        <v>204</v>
      </c>
      <c r="F262" s="4">
        <f>ROUND(Source!R248,O262)</f>
        <v>0</v>
      </c>
      <c r="G262" s="4" t="s">
        <v>110</v>
      </c>
      <c r="H262" s="4" t="s">
        <v>111</v>
      </c>
      <c r="I262" s="4"/>
      <c r="J262" s="4"/>
      <c r="K262" s="4">
        <v>204</v>
      </c>
      <c r="L262" s="4">
        <v>13</v>
      </c>
      <c r="M262" s="4">
        <v>3</v>
      </c>
      <c r="N262" s="4" t="s">
        <v>3</v>
      </c>
      <c r="O262" s="4">
        <v>2</v>
      </c>
      <c r="P262" s="4"/>
      <c r="Q262" s="4"/>
      <c r="R262" s="4"/>
      <c r="S262" s="4"/>
      <c r="T262" s="4"/>
      <c r="U262" s="4"/>
      <c r="V262" s="4"/>
      <c r="W262" s="4">
        <v>0</v>
      </c>
      <c r="X262" s="4">
        <v>1</v>
      </c>
      <c r="Y262" s="4">
        <v>0</v>
      </c>
      <c r="Z262" s="4"/>
      <c r="AA262" s="4"/>
      <c r="AB262" s="4"/>
    </row>
    <row r="263" spans="1:28" x14ac:dyDescent="0.2">
      <c r="A263" s="4">
        <v>50</v>
      </c>
      <c r="B263" s="4">
        <v>0</v>
      </c>
      <c r="C263" s="4">
        <v>0</v>
      </c>
      <c r="D263" s="4">
        <v>1</v>
      </c>
      <c r="E263" s="4">
        <v>205</v>
      </c>
      <c r="F263" s="4">
        <f>ROUND(Source!S248,O263)</f>
        <v>347.3</v>
      </c>
      <c r="G263" s="4" t="s">
        <v>112</v>
      </c>
      <c r="H263" s="4" t="s">
        <v>113</v>
      </c>
      <c r="I263" s="4"/>
      <c r="J263" s="4"/>
      <c r="K263" s="4">
        <v>205</v>
      </c>
      <c r="L263" s="4">
        <v>14</v>
      </c>
      <c r="M263" s="4">
        <v>3</v>
      </c>
      <c r="N263" s="4" t="s">
        <v>3</v>
      </c>
      <c r="O263" s="4">
        <v>2</v>
      </c>
      <c r="P263" s="4"/>
      <c r="Q263" s="4"/>
      <c r="R263" s="4"/>
      <c r="S263" s="4"/>
      <c r="T263" s="4"/>
      <c r="U263" s="4"/>
      <c r="V263" s="4"/>
      <c r="W263" s="4">
        <v>347.3</v>
      </c>
      <c r="X263" s="4">
        <v>1</v>
      </c>
      <c r="Y263" s="4">
        <v>347.3</v>
      </c>
      <c r="Z263" s="4"/>
      <c r="AA263" s="4"/>
      <c r="AB263" s="4"/>
    </row>
    <row r="264" spans="1:28" x14ac:dyDescent="0.2">
      <c r="A264" s="4">
        <v>50</v>
      </c>
      <c r="B264" s="4">
        <v>0</v>
      </c>
      <c r="C264" s="4">
        <v>0</v>
      </c>
      <c r="D264" s="4">
        <v>1</v>
      </c>
      <c r="E264" s="4">
        <v>232</v>
      </c>
      <c r="F264" s="4">
        <f>ROUND(Source!BC248,O264)</f>
        <v>0</v>
      </c>
      <c r="G264" s="4" t="s">
        <v>114</v>
      </c>
      <c r="H264" s="4" t="s">
        <v>115</v>
      </c>
      <c r="I264" s="4"/>
      <c r="J264" s="4"/>
      <c r="K264" s="4">
        <v>232</v>
      </c>
      <c r="L264" s="4">
        <v>15</v>
      </c>
      <c r="M264" s="4">
        <v>3</v>
      </c>
      <c r="N264" s="4" t="s">
        <v>3</v>
      </c>
      <c r="O264" s="4">
        <v>2</v>
      </c>
      <c r="P264" s="4"/>
      <c r="Q264" s="4"/>
      <c r="R264" s="4"/>
      <c r="S264" s="4"/>
      <c r="T264" s="4"/>
      <c r="U264" s="4"/>
      <c r="V264" s="4"/>
      <c r="W264" s="4">
        <v>0</v>
      </c>
      <c r="X264" s="4">
        <v>1</v>
      </c>
      <c r="Y264" s="4">
        <v>0</v>
      </c>
      <c r="Z264" s="4"/>
      <c r="AA264" s="4"/>
      <c r="AB264" s="4"/>
    </row>
    <row r="265" spans="1:28" x14ac:dyDescent="0.2">
      <c r="A265" s="4">
        <v>50</v>
      </c>
      <c r="B265" s="4">
        <v>0</v>
      </c>
      <c r="C265" s="4">
        <v>0</v>
      </c>
      <c r="D265" s="4">
        <v>1</v>
      </c>
      <c r="E265" s="4">
        <v>214</v>
      </c>
      <c r="F265" s="4">
        <f>ROUND(Source!AS248,O265)</f>
        <v>0</v>
      </c>
      <c r="G265" s="4" t="s">
        <v>116</v>
      </c>
      <c r="H265" s="4" t="s">
        <v>117</v>
      </c>
      <c r="I265" s="4"/>
      <c r="J265" s="4"/>
      <c r="K265" s="4">
        <v>214</v>
      </c>
      <c r="L265" s="4">
        <v>16</v>
      </c>
      <c r="M265" s="4">
        <v>3</v>
      </c>
      <c r="N265" s="4" t="s">
        <v>3</v>
      </c>
      <c r="O265" s="4">
        <v>2</v>
      </c>
      <c r="P265" s="4"/>
      <c r="Q265" s="4"/>
      <c r="R265" s="4"/>
      <c r="S265" s="4"/>
      <c r="T265" s="4"/>
      <c r="U265" s="4"/>
      <c r="V265" s="4"/>
      <c r="W265" s="4">
        <v>0</v>
      </c>
      <c r="X265" s="4">
        <v>1</v>
      </c>
      <c r="Y265" s="4">
        <v>0</v>
      </c>
      <c r="Z265" s="4"/>
      <c r="AA265" s="4"/>
      <c r="AB265" s="4"/>
    </row>
    <row r="266" spans="1:28" x14ac:dyDescent="0.2">
      <c r="A266" s="4">
        <v>50</v>
      </c>
      <c r="B266" s="4">
        <v>0</v>
      </c>
      <c r="C266" s="4">
        <v>0</v>
      </c>
      <c r="D266" s="4">
        <v>1</v>
      </c>
      <c r="E266" s="4">
        <v>215</v>
      </c>
      <c r="F266" s="4">
        <f>ROUND(Source!AT248,O266)</f>
        <v>0</v>
      </c>
      <c r="G266" s="4" t="s">
        <v>118</v>
      </c>
      <c r="H266" s="4" t="s">
        <v>119</v>
      </c>
      <c r="I266" s="4"/>
      <c r="J266" s="4"/>
      <c r="K266" s="4">
        <v>215</v>
      </c>
      <c r="L266" s="4">
        <v>17</v>
      </c>
      <c r="M266" s="4">
        <v>3</v>
      </c>
      <c r="N266" s="4" t="s">
        <v>3</v>
      </c>
      <c r="O266" s="4">
        <v>2</v>
      </c>
      <c r="P266" s="4"/>
      <c r="Q266" s="4"/>
      <c r="R266" s="4"/>
      <c r="S266" s="4"/>
      <c r="T266" s="4"/>
      <c r="U266" s="4"/>
      <c r="V266" s="4"/>
      <c r="W266" s="4">
        <v>0</v>
      </c>
      <c r="X266" s="4">
        <v>1</v>
      </c>
      <c r="Y266" s="4">
        <v>0</v>
      </c>
      <c r="Z266" s="4"/>
      <c r="AA266" s="4"/>
      <c r="AB266" s="4"/>
    </row>
    <row r="267" spans="1:28" x14ac:dyDescent="0.2">
      <c r="A267" s="4">
        <v>50</v>
      </c>
      <c r="B267" s="4">
        <v>0</v>
      </c>
      <c r="C267" s="4">
        <v>0</v>
      </c>
      <c r="D267" s="4">
        <v>1</v>
      </c>
      <c r="E267" s="4">
        <v>217</v>
      </c>
      <c r="F267" s="4">
        <f>ROUND(Source!AU248,O267)</f>
        <v>1285.69</v>
      </c>
      <c r="G267" s="4" t="s">
        <v>120</v>
      </c>
      <c r="H267" s="4" t="s">
        <v>121</v>
      </c>
      <c r="I267" s="4"/>
      <c r="J267" s="4"/>
      <c r="K267" s="4">
        <v>217</v>
      </c>
      <c r="L267" s="4">
        <v>18</v>
      </c>
      <c r="M267" s="4">
        <v>3</v>
      </c>
      <c r="N267" s="4" t="s">
        <v>3</v>
      </c>
      <c r="O267" s="4">
        <v>2</v>
      </c>
      <c r="P267" s="4"/>
      <c r="Q267" s="4"/>
      <c r="R267" s="4"/>
      <c r="S267" s="4"/>
      <c r="T267" s="4"/>
      <c r="U267" s="4"/>
      <c r="V267" s="4"/>
      <c r="W267" s="4">
        <v>1285.69</v>
      </c>
      <c r="X267" s="4">
        <v>1</v>
      </c>
      <c r="Y267" s="4">
        <v>1285.69</v>
      </c>
      <c r="Z267" s="4"/>
      <c r="AA267" s="4"/>
      <c r="AB267" s="4"/>
    </row>
    <row r="268" spans="1:28" x14ac:dyDescent="0.2">
      <c r="A268" s="4">
        <v>50</v>
      </c>
      <c r="B268" s="4">
        <v>0</v>
      </c>
      <c r="C268" s="4">
        <v>0</v>
      </c>
      <c r="D268" s="4">
        <v>1</v>
      </c>
      <c r="E268" s="4">
        <v>230</v>
      </c>
      <c r="F268" s="4">
        <f>ROUND(Source!BA248,O268)</f>
        <v>0</v>
      </c>
      <c r="G268" s="4" t="s">
        <v>122</v>
      </c>
      <c r="H268" s="4" t="s">
        <v>123</v>
      </c>
      <c r="I268" s="4"/>
      <c r="J268" s="4"/>
      <c r="K268" s="4">
        <v>230</v>
      </c>
      <c r="L268" s="4">
        <v>19</v>
      </c>
      <c r="M268" s="4">
        <v>3</v>
      </c>
      <c r="N268" s="4" t="s">
        <v>3</v>
      </c>
      <c r="O268" s="4">
        <v>2</v>
      </c>
      <c r="P268" s="4"/>
      <c r="Q268" s="4"/>
      <c r="R268" s="4"/>
      <c r="S268" s="4"/>
      <c r="T268" s="4"/>
      <c r="U268" s="4"/>
      <c r="V268" s="4"/>
      <c r="W268" s="4">
        <v>0</v>
      </c>
      <c r="X268" s="4">
        <v>1</v>
      </c>
      <c r="Y268" s="4">
        <v>0</v>
      </c>
      <c r="Z268" s="4"/>
      <c r="AA268" s="4"/>
      <c r="AB268" s="4"/>
    </row>
    <row r="269" spans="1:28" x14ac:dyDescent="0.2">
      <c r="A269" s="4">
        <v>50</v>
      </c>
      <c r="B269" s="4">
        <v>0</v>
      </c>
      <c r="C269" s="4">
        <v>0</v>
      </c>
      <c r="D269" s="4">
        <v>1</v>
      </c>
      <c r="E269" s="4">
        <v>206</v>
      </c>
      <c r="F269" s="4">
        <f>ROUND(Source!T248,O269)</f>
        <v>0</v>
      </c>
      <c r="G269" s="4" t="s">
        <v>124</v>
      </c>
      <c r="H269" s="4" t="s">
        <v>125</v>
      </c>
      <c r="I269" s="4"/>
      <c r="J269" s="4"/>
      <c r="K269" s="4">
        <v>206</v>
      </c>
      <c r="L269" s="4">
        <v>20</v>
      </c>
      <c r="M269" s="4">
        <v>3</v>
      </c>
      <c r="N269" s="4" t="s">
        <v>3</v>
      </c>
      <c r="O269" s="4">
        <v>2</v>
      </c>
      <c r="P269" s="4"/>
      <c r="Q269" s="4"/>
      <c r="R269" s="4"/>
      <c r="S269" s="4"/>
      <c r="T269" s="4"/>
      <c r="U269" s="4"/>
      <c r="V269" s="4"/>
      <c r="W269" s="4">
        <v>0</v>
      </c>
      <c r="X269" s="4">
        <v>1</v>
      </c>
      <c r="Y269" s="4">
        <v>0</v>
      </c>
      <c r="Z269" s="4"/>
      <c r="AA269" s="4"/>
      <c r="AB269" s="4"/>
    </row>
    <row r="270" spans="1:28" x14ac:dyDescent="0.2">
      <c r="A270" s="4">
        <v>50</v>
      </c>
      <c r="B270" s="4">
        <v>0</v>
      </c>
      <c r="C270" s="4">
        <v>0</v>
      </c>
      <c r="D270" s="4">
        <v>1</v>
      </c>
      <c r="E270" s="4">
        <v>207</v>
      </c>
      <c r="F270" s="4">
        <f>Source!U248</f>
        <v>0.89219999999999988</v>
      </c>
      <c r="G270" s="4" t="s">
        <v>126</v>
      </c>
      <c r="H270" s="4" t="s">
        <v>127</v>
      </c>
      <c r="I270" s="4"/>
      <c r="J270" s="4"/>
      <c r="K270" s="4">
        <v>207</v>
      </c>
      <c r="L270" s="4">
        <v>21</v>
      </c>
      <c r="M270" s="4">
        <v>3</v>
      </c>
      <c r="N270" s="4" t="s">
        <v>3</v>
      </c>
      <c r="O270" s="4">
        <v>-1</v>
      </c>
      <c r="P270" s="4"/>
      <c r="Q270" s="4"/>
      <c r="R270" s="4"/>
      <c r="S270" s="4"/>
      <c r="T270" s="4"/>
      <c r="U270" s="4"/>
      <c r="V270" s="4"/>
      <c r="W270" s="4">
        <v>0.89219999999999999</v>
      </c>
      <c r="X270" s="4">
        <v>1</v>
      </c>
      <c r="Y270" s="4">
        <v>0.89219999999999999</v>
      </c>
      <c r="Z270" s="4"/>
      <c r="AA270" s="4"/>
      <c r="AB270" s="4"/>
    </row>
    <row r="271" spans="1:28" x14ac:dyDescent="0.2">
      <c r="A271" s="4">
        <v>50</v>
      </c>
      <c r="B271" s="4">
        <v>0</v>
      </c>
      <c r="C271" s="4">
        <v>0</v>
      </c>
      <c r="D271" s="4">
        <v>1</v>
      </c>
      <c r="E271" s="4">
        <v>208</v>
      </c>
      <c r="F271" s="4">
        <f>Source!V248</f>
        <v>0</v>
      </c>
      <c r="G271" s="4" t="s">
        <v>128</v>
      </c>
      <c r="H271" s="4" t="s">
        <v>129</v>
      </c>
      <c r="I271" s="4"/>
      <c r="J271" s="4"/>
      <c r="K271" s="4">
        <v>208</v>
      </c>
      <c r="L271" s="4">
        <v>22</v>
      </c>
      <c r="M271" s="4">
        <v>3</v>
      </c>
      <c r="N271" s="4" t="s">
        <v>3</v>
      </c>
      <c r="O271" s="4">
        <v>-1</v>
      </c>
      <c r="P271" s="4"/>
      <c r="Q271" s="4"/>
      <c r="R271" s="4"/>
      <c r="S271" s="4"/>
      <c r="T271" s="4"/>
      <c r="U271" s="4"/>
      <c r="V271" s="4"/>
      <c r="W271" s="4">
        <v>0</v>
      </c>
      <c r="X271" s="4">
        <v>1</v>
      </c>
      <c r="Y271" s="4">
        <v>0</v>
      </c>
      <c r="Z271" s="4"/>
      <c r="AA271" s="4"/>
      <c r="AB271" s="4"/>
    </row>
    <row r="272" spans="1:28" x14ac:dyDescent="0.2">
      <c r="A272" s="4">
        <v>50</v>
      </c>
      <c r="B272" s="4">
        <v>0</v>
      </c>
      <c r="C272" s="4">
        <v>0</v>
      </c>
      <c r="D272" s="4">
        <v>1</v>
      </c>
      <c r="E272" s="4">
        <v>209</v>
      </c>
      <c r="F272" s="4">
        <f>ROUND(Source!W248,O272)</f>
        <v>0</v>
      </c>
      <c r="G272" s="4" t="s">
        <v>130</v>
      </c>
      <c r="H272" s="4" t="s">
        <v>131</v>
      </c>
      <c r="I272" s="4"/>
      <c r="J272" s="4"/>
      <c r="K272" s="4">
        <v>209</v>
      </c>
      <c r="L272" s="4">
        <v>23</v>
      </c>
      <c r="M272" s="4">
        <v>3</v>
      </c>
      <c r="N272" s="4" t="s">
        <v>3</v>
      </c>
      <c r="O272" s="4">
        <v>2</v>
      </c>
      <c r="P272" s="4"/>
      <c r="Q272" s="4"/>
      <c r="R272" s="4"/>
      <c r="S272" s="4"/>
      <c r="T272" s="4"/>
      <c r="U272" s="4"/>
      <c r="V272" s="4"/>
      <c r="W272" s="4">
        <v>0</v>
      </c>
      <c r="X272" s="4">
        <v>1</v>
      </c>
      <c r="Y272" s="4">
        <v>0</v>
      </c>
      <c r="Z272" s="4"/>
      <c r="AA272" s="4"/>
      <c r="AB272" s="4"/>
    </row>
    <row r="273" spans="1:245" x14ac:dyDescent="0.2">
      <c r="A273" s="4">
        <v>50</v>
      </c>
      <c r="B273" s="4">
        <v>0</v>
      </c>
      <c r="C273" s="4">
        <v>0</v>
      </c>
      <c r="D273" s="4">
        <v>1</v>
      </c>
      <c r="E273" s="4">
        <v>233</v>
      </c>
      <c r="F273" s="4">
        <f>ROUND(Source!BD248,O273)</f>
        <v>0</v>
      </c>
      <c r="G273" s="4" t="s">
        <v>132</v>
      </c>
      <c r="H273" s="4" t="s">
        <v>133</v>
      </c>
      <c r="I273" s="4"/>
      <c r="J273" s="4"/>
      <c r="K273" s="4">
        <v>233</v>
      </c>
      <c r="L273" s="4">
        <v>24</v>
      </c>
      <c r="M273" s="4">
        <v>3</v>
      </c>
      <c r="N273" s="4" t="s">
        <v>3</v>
      </c>
      <c r="O273" s="4">
        <v>2</v>
      </c>
      <c r="P273" s="4"/>
      <c r="Q273" s="4"/>
      <c r="R273" s="4"/>
      <c r="S273" s="4"/>
      <c r="T273" s="4"/>
      <c r="U273" s="4"/>
      <c r="V273" s="4"/>
      <c r="W273" s="4">
        <v>0</v>
      </c>
      <c r="X273" s="4">
        <v>1</v>
      </c>
      <c r="Y273" s="4">
        <v>0</v>
      </c>
      <c r="Z273" s="4"/>
      <c r="AA273" s="4"/>
      <c r="AB273" s="4"/>
    </row>
    <row r="274" spans="1:245" x14ac:dyDescent="0.2">
      <c r="A274" s="4">
        <v>50</v>
      </c>
      <c r="B274" s="4">
        <v>0</v>
      </c>
      <c r="C274" s="4">
        <v>0</v>
      </c>
      <c r="D274" s="4">
        <v>1</v>
      </c>
      <c r="E274" s="4">
        <v>210</v>
      </c>
      <c r="F274" s="4">
        <f>ROUND(Source!X248,O274)</f>
        <v>243.11</v>
      </c>
      <c r="G274" s="4" t="s">
        <v>134</v>
      </c>
      <c r="H274" s="4" t="s">
        <v>135</v>
      </c>
      <c r="I274" s="4"/>
      <c r="J274" s="4"/>
      <c r="K274" s="4">
        <v>210</v>
      </c>
      <c r="L274" s="4">
        <v>25</v>
      </c>
      <c r="M274" s="4">
        <v>3</v>
      </c>
      <c r="N274" s="4" t="s">
        <v>3</v>
      </c>
      <c r="O274" s="4">
        <v>2</v>
      </c>
      <c r="P274" s="4"/>
      <c r="Q274" s="4"/>
      <c r="R274" s="4"/>
      <c r="S274" s="4"/>
      <c r="T274" s="4"/>
      <c r="U274" s="4"/>
      <c r="V274" s="4"/>
      <c r="W274" s="4">
        <v>243.11</v>
      </c>
      <c r="X274" s="4">
        <v>1</v>
      </c>
      <c r="Y274" s="4">
        <v>243.11</v>
      </c>
      <c r="Z274" s="4"/>
      <c r="AA274" s="4"/>
      <c r="AB274" s="4"/>
    </row>
    <row r="275" spans="1:245" x14ac:dyDescent="0.2">
      <c r="A275" s="4">
        <v>50</v>
      </c>
      <c r="B275" s="4">
        <v>0</v>
      </c>
      <c r="C275" s="4">
        <v>0</v>
      </c>
      <c r="D275" s="4">
        <v>1</v>
      </c>
      <c r="E275" s="4">
        <v>211</v>
      </c>
      <c r="F275" s="4">
        <f>ROUND(Source!Y248,O275)</f>
        <v>34.729999999999997</v>
      </c>
      <c r="G275" s="4" t="s">
        <v>136</v>
      </c>
      <c r="H275" s="4" t="s">
        <v>137</v>
      </c>
      <c r="I275" s="4"/>
      <c r="J275" s="4"/>
      <c r="K275" s="4">
        <v>211</v>
      </c>
      <c r="L275" s="4">
        <v>26</v>
      </c>
      <c r="M275" s="4">
        <v>3</v>
      </c>
      <c r="N275" s="4" t="s">
        <v>3</v>
      </c>
      <c r="O275" s="4">
        <v>2</v>
      </c>
      <c r="P275" s="4"/>
      <c r="Q275" s="4"/>
      <c r="R275" s="4"/>
      <c r="S275" s="4"/>
      <c r="T275" s="4"/>
      <c r="U275" s="4"/>
      <c r="V275" s="4"/>
      <c r="W275" s="4">
        <v>34.729999999999997</v>
      </c>
      <c r="X275" s="4">
        <v>1</v>
      </c>
      <c r="Y275" s="4">
        <v>34.729999999999997</v>
      </c>
      <c r="Z275" s="4"/>
      <c r="AA275" s="4"/>
      <c r="AB275" s="4"/>
    </row>
    <row r="276" spans="1:245" x14ac:dyDescent="0.2">
      <c r="A276" s="4">
        <v>50</v>
      </c>
      <c r="B276" s="4">
        <v>0</v>
      </c>
      <c r="C276" s="4">
        <v>0</v>
      </c>
      <c r="D276" s="4">
        <v>1</v>
      </c>
      <c r="E276" s="4">
        <v>224</v>
      </c>
      <c r="F276" s="4">
        <f>ROUND(Source!AR248,O276)</f>
        <v>1285.69</v>
      </c>
      <c r="G276" s="4" t="s">
        <v>138</v>
      </c>
      <c r="H276" s="4" t="s">
        <v>139</v>
      </c>
      <c r="I276" s="4"/>
      <c r="J276" s="4"/>
      <c r="K276" s="4">
        <v>224</v>
      </c>
      <c r="L276" s="4">
        <v>27</v>
      </c>
      <c r="M276" s="4">
        <v>3</v>
      </c>
      <c r="N276" s="4" t="s">
        <v>3</v>
      </c>
      <c r="O276" s="4">
        <v>2</v>
      </c>
      <c r="P276" s="4"/>
      <c r="Q276" s="4"/>
      <c r="R276" s="4"/>
      <c r="S276" s="4"/>
      <c r="T276" s="4"/>
      <c r="U276" s="4"/>
      <c r="V276" s="4"/>
      <c r="W276" s="4">
        <v>1285.69</v>
      </c>
      <c r="X276" s="4">
        <v>1</v>
      </c>
      <c r="Y276" s="4">
        <v>1285.69</v>
      </c>
      <c r="Z276" s="4"/>
      <c r="AA276" s="4"/>
      <c r="AB276" s="4"/>
    </row>
    <row r="278" spans="1:245" x14ac:dyDescent="0.2">
      <c r="A278" s="1">
        <v>5</v>
      </c>
      <c r="B278" s="1">
        <v>1</v>
      </c>
      <c r="C278" s="1"/>
      <c r="D278" s="1">
        <f>ROW(A286)</f>
        <v>286</v>
      </c>
      <c r="E278" s="1"/>
      <c r="F278" s="1" t="s">
        <v>15</v>
      </c>
      <c r="G278" s="1" t="s">
        <v>241</v>
      </c>
      <c r="H278" s="1" t="s">
        <v>3</v>
      </c>
      <c r="I278" s="1">
        <v>0</v>
      </c>
      <c r="J278" s="1"/>
      <c r="K278" s="1">
        <v>0</v>
      </c>
      <c r="L278" s="1"/>
      <c r="M278" s="1" t="s">
        <v>3</v>
      </c>
      <c r="N278" s="1"/>
      <c r="O278" s="1"/>
      <c r="P278" s="1"/>
      <c r="Q278" s="1"/>
      <c r="R278" s="1"/>
      <c r="S278" s="1">
        <v>0</v>
      </c>
      <c r="T278" s="1"/>
      <c r="U278" s="1" t="s">
        <v>3</v>
      </c>
      <c r="V278" s="1">
        <v>0</v>
      </c>
      <c r="W278" s="1"/>
      <c r="X278" s="1"/>
      <c r="Y278" s="1"/>
      <c r="Z278" s="1"/>
      <c r="AA278" s="1"/>
      <c r="AB278" s="1" t="s">
        <v>3</v>
      </c>
      <c r="AC278" s="1" t="s">
        <v>3</v>
      </c>
      <c r="AD278" s="1" t="s">
        <v>3</v>
      </c>
      <c r="AE278" s="1" t="s">
        <v>3</v>
      </c>
      <c r="AF278" s="1" t="s">
        <v>3</v>
      </c>
      <c r="AG278" s="1" t="s">
        <v>3</v>
      </c>
      <c r="AH278" s="1"/>
      <c r="AI278" s="1"/>
      <c r="AJ278" s="1"/>
      <c r="AK278" s="1"/>
      <c r="AL278" s="1"/>
      <c r="AM278" s="1"/>
      <c r="AN278" s="1"/>
      <c r="AO278" s="1"/>
      <c r="AP278" s="1" t="s">
        <v>3</v>
      </c>
      <c r="AQ278" s="1" t="s">
        <v>3</v>
      </c>
      <c r="AR278" s="1" t="s">
        <v>3</v>
      </c>
      <c r="AS278" s="1"/>
      <c r="AT278" s="1"/>
      <c r="AU278" s="1"/>
      <c r="AV278" s="1"/>
      <c r="AW278" s="1"/>
      <c r="AX278" s="1"/>
      <c r="AY278" s="1"/>
      <c r="AZ278" s="1" t="s">
        <v>3</v>
      </c>
      <c r="BA278" s="1"/>
      <c r="BB278" s="1" t="s">
        <v>3</v>
      </c>
      <c r="BC278" s="1" t="s">
        <v>3</v>
      </c>
      <c r="BD278" s="1" t="s">
        <v>3</v>
      </c>
      <c r="BE278" s="1" t="s">
        <v>3</v>
      </c>
      <c r="BF278" s="1" t="s">
        <v>3</v>
      </c>
      <c r="BG278" s="1" t="s">
        <v>3</v>
      </c>
      <c r="BH278" s="1" t="s">
        <v>3</v>
      </c>
      <c r="BI278" s="1" t="s">
        <v>3</v>
      </c>
      <c r="BJ278" s="1" t="s">
        <v>3</v>
      </c>
      <c r="BK278" s="1" t="s">
        <v>3</v>
      </c>
      <c r="BL278" s="1" t="s">
        <v>3</v>
      </c>
      <c r="BM278" s="1" t="s">
        <v>3</v>
      </c>
      <c r="BN278" s="1" t="s">
        <v>3</v>
      </c>
      <c r="BO278" s="1" t="s">
        <v>3</v>
      </c>
      <c r="BP278" s="1" t="s">
        <v>3</v>
      </c>
      <c r="BQ278" s="1"/>
      <c r="BR278" s="1"/>
      <c r="BS278" s="1"/>
      <c r="BT278" s="1"/>
      <c r="BU278" s="1"/>
      <c r="BV278" s="1"/>
      <c r="BW278" s="1"/>
      <c r="BX278" s="1">
        <v>0</v>
      </c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>
        <v>0</v>
      </c>
    </row>
    <row r="280" spans="1:245" x14ac:dyDescent="0.2">
      <c r="A280" s="2">
        <v>52</v>
      </c>
      <c r="B280" s="2">
        <f t="shared" ref="B280:G280" si="192">B286</f>
        <v>1</v>
      </c>
      <c r="C280" s="2">
        <f t="shared" si="192"/>
        <v>5</v>
      </c>
      <c r="D280" s="2">
        <f t="shared" si="192"/>
        <v>278</v>
      </c>
      <c r="E280" s="2">
        <f t="shared" si="192"/>
        <v>0</v>
      </c>
      <c r="F280" s="2" t="str">
        <f t="shared" si="192"/>
        <v>Новый подраздел</v>
      </c>
      <c r="G280" s="2" t="str">
        <f t="shared" si="192"/>
        <v>Прочее</v>
      </c>
      <c r="H280" s="2"/>
      <c r="I280" s="2"/>
      <c r="J280" s="2"/>
      <c r="K280" s="2"/>
      <c r="L280" s="2"/>
      <c r="M280" s="2"/>
      <c r="N280" s="2"/>
      <c r="O280" s="2">
        <f t="shared" ref="O280:AT280" si="193">O286</f>
        <v>2373.0500000000002</v>
      </c>
      <c r="P280" s="2">
        <f t="shared" si="193"/>
        <v>1970.84</v>
      </c>
      <c r="Q280" s="2">
        <f t="shared" si="193"/>
        <v>0</v>
      </c>
      <c r="R280" s="2">
        <f t="shared" si="193"/>
        <v>0</v>
      </c>
      <c r="S280" s="2">
        <f t="shared" si="193"/>
        <v>402.21</v>
      </c>
      <c r="T280" s="2">
        <f t="shared" si="193"/>
        <v>0</v>
      </c>
      <c r="U280" s="2">
        <f t="shared" si="193"/>
        <v>0.92379999999999995</v>
      </c>
      <c r="V280" s="2">
        <f t="shared" si="193"/>
        <v>0</v>
      </c>
      <c r="W280" s="2">
        <f t="shared" si="193"/>
        <v>0</v>
      </c>
      <c r="X280" s="2">
        <f t="shared" si="193"/>
        <v>281.55</v>
      </c>
      <c r="Y280" s="2">
        <f t="shared" si="193"/>
        <v>40.22</v>
      </c>
      <c r="Z280" s="2">
        <f t="shared" si="193"/>
        <v>0</v>
      </c>
      <c r="AA280" s="2">
        <f t="shared" si="193"/>
        <v>0</v>
      </c>
      <c r="AB280" s="2">
        <f t="shared" si="193"/>
        <v>2373.0500000000002</v>
      </c>
      <c r="AC280" s="2">
        <f t="shared" si="193"/>
        <v>1970.84</v>
      </c>
      <c r="AD280" s="2">
        <f t="shared" si="193"/>
        <v>0</v>
      </c>
      <c r="AE280" s="2">
        <f t="shared" si="193"/>
        <v>0</v>
      </c>
      <c r="AF280" s="2">
        <f t="shared" si="193"/>
        <v>402.21</v>
      </c>
      <c r="AG280" s="2">
        <f t="shared" si="193"/>
        <v>0</v>
      </c>
      <c r="AH280" s="2">
        <f t="shared" si="193"/>
        <v>0.92379999999999995</v>
      </c>
      <c r="AI280" s="2">
        <f t="shared" si="193"/>
        <v>0</v>
      </c>
      <c r="AJ280" s="2">
        <f t="shared" si="193"/>
        <v>0</v>
      </c>
      <c r="AK280" s="2">
        <f t="shared" si="193"/>
        <v>281.55</v>
      </c>
      <c r="AL280" s="2">
        <f t="shared" si="193"/>
        <v>40.22</v>
      </c>
      <c r="AM280" s="2">
        <f t="shared" si="193"/>
        <v>0</v>
      </c>
      <c r="AN280" s="2">
        <f t="shared" si="193"/>
        <v>0</v>
      </c>
      <c r="AO280" s="2">
        <f t="shared" si="193"/>
        <v>0</v>
      </c>
      <c r="AP280" s="2">
        <f t="shared" si="193"/>
        <v>0</v>
      </c>
      <c r="AQ280" s="2">
        <f t="shared" si="193"/>
        <v>0</v>
      </c>
      <c r="AR280" s="2">
        <f t="shared" si="193"/>
        <v>2694.82</v>
      </c>
      <c r="AS280" s="2">
        <f t="shared" si="193"/>
        <v>0</v>
      </c>
      <c r="AT280" s="2">
        <f t="shared" si="193"/>
        <v>0</v>
      </c>
      <c r="AU280" s="2">
        <f t="shared" ref="AU280:BZ280" si="194">AU286</f>
        <v>2694.82</v>
      </c>
      <c r="AV280" s="2">
        <f t="shared" si="194"/>
        <v>1970.84</v>
      </c>
      <c r="AW280" s="2">
        <f t="shared" si="194"/>
        <v>1970.84</v>
      </c>
      <c r="AX280" s="2">
        <f t="shared" si="194"/>
        <v>0</v>
      </c>
      <c r="AY280" s="2">
        <f t="shared" si="194"/>
        <v>1970.84</v>
      </c>
      <c r="AZ280" s="2">
        <f t="shared" si="194"/>
        <v>0</v>
      </c>
      <c r="BA280" s="2">
        <f t="shared" si="194"/>
        <v>0</v>
      </c>
      <c r="BB280" s="2">
        <f t="shared" si="194"/>
        <v>0</v>
      </c>
      <c r="BC280" s="2">
        <f t="shared" si="194"/>
        <v>0</v>
      </c>
      <c r="BD280" s="2">
        <f t="shared" si="194"/>
        <v>0</v>
      </c>
      <c r="BE280" s="2">
        <f t="shared" si="194"/>
        <v>0</v>
      </c>
      <c r="BF280" s="2">
        <f t="shared" si="194"/>
        <v>0</v>
      </c>
      <c r="BG280" s="2">
        <f t="shared" si="194"/>
        <v>0</v>
      </c>
      <c r="BH280" s="2">
        <f t="shared" si="194"/>
        <v>0</v>
      </c>
      <c r="BI280" s="2">
        <f t="shared" si="194"/>
        <v>0</v>
      </c>
      <c r="BJ280" s="2">
        <f t="shared" si="194"/>
        <v>0</v>
      </c>
      <c r="BK280" s="2">
        <f t="shared" si="194"/>
        <v>0</v>
      </c>
      <c r="BL280" s="2">
        <f t="shared" si="194"/>
        <v>0</v>
      </c>
      <c r="BM280" s="2">
        <f t="shared" si="194"/>
        <v>0</v>
      </c>
      <c r="BN280" s="2">
        <f t="shared" si="194"/>
        <v>0</v>
      </c>
      <c r="BO280" s="2">
        <f t="shared" si="194"/>
        <v>0</v>
      </c>
      <c r="BP280" s="2">
        <f t="shared" si="194"/>
        <v>0</v>
      </c>
      <c r="BQ280" s="2">
        <f t="shared" si="194"/>
        <v>0</v>
      </c>
      <c r="BR280" s="2">
        <f t="shared" si="194"/>
        <v>0</v>
      </c>
      <c r="BS280" s="2">
        <f t="shared" si="194"/>
        <v>0</v>
      </c>
      <c r="BT280" s="2">
        <f t="shared" si="194"/>
        <v>0</v>
      </c>
      <c r="BU280" s="2">
        <f t="shared" si="194"/>
        <v>0</v>
      </c>
      <c r="BV280" s="2">
        <f t="shared" si="194"/>
        <v>0</v>
      </c>
      <c r="BW280" s="2">
        <f t="shared" si="194"/>
        <v>0</v>
      </c>
      <c r="BX280" s="2">
        <f t="shared" si="194"/>
        <v>0</v>
      </c>
      <c r="BY280" s="2">
        <f t="shared" si="194"/>
        <v>0</v>
      </c>
      <c r="BZ280" s="2">
        <f t="shared" si="194"/>
        <v>0</v>
      </c>
      <c r="CA280" s="2">
        <f t="shared" ref="CA280:DF280" si="195">CA286</f>
        <v>2694.82</v>
      </c>
      <c r="CB280" s="2">
        <f t="shared" si="195"/>
        <v>0</v>
      </c>
      <c r="CC280" s="2">
        <f t="shared" si="195"/>
        <v>0</v>
      </c>
      <c r="CD280" s="2">
        <f t="shared" si="195"/>
        <v>2694.82</v>
      </c>
      <c r="CE280" s="2">
        <f t="shared" si="195"/>
        <v>1970.84</v>
      </c>
      <c r="CF280" s="2">
        <f t="shared" si="195"/>
        <v>1970.84</v>
      </c>
      <c r="CG280" s="2">
        <f t="shared" si="195"/>
        <v>0</v>
      </c>
      <c r="CH280" s="2">
        <f t="shared" si="195"/>
        <v>1970.84</v>
      </c>
      <c r="CI280" s="2">
        <f t="shared" si="195"/>
        <v>0</v>
      </c>
      <c r="CJ280" s="2">
        <f t="shared" si="195"/>
        <v>0</v>
      </c>
      <c r="CK280" s="2">
        <f t="shared" si="195"/>
        <v>0</v>
      </c>
      <c r="CL280" s="2">
        <f t="shared" si="195"/>
        <v>0</v>
      </c>
      <c r="CM280" s="2">
        <f t="shared" si="195"/>
        <v>0</v>
      </c>
      <c r="CN280" s="2">
        <f t="shared" si="195"/>
        <v>0</v>
      </c>
      <c r="CO280" s="2">
        <f t="shared" si="195"/>
        <v>0</v>
      </c>
      <c r="CP280" s="2">
        <f t="shared" si="195"/>
        <v>0</v>
      </c>
      <c r="CQ280" s="2">
        <f t="shared" si="195"/>
        <v>0</v>
      </c>
      <c r="CR280" s="2">
        <f t="shared" si="195"/>
        <v>0</v>
      </c>
      <c r="CS280" s="2">
        <f t="shared" si="195"/>
        <v>0</v>
      </c>
      <c r="CT280" s="2">
        <f t="shared" si="195"/>
        <v>0</v>
      </c>
      <c r="CU280" s="2">
        <f t="shared" si="195"/>
        <v>0</v>
      </c>
      <c r="CV280" s="2">
        <f t="shared" si="195"/>
        <v>0</v>
      </c>
      <c r="CW280" s="2">
        <f t="shared" si="195"/>
        <v>0</v>
      </c>
      <c r="CX280" s="2">
        <f t="shared" si="195"/>
        <v>0</v>
      </c>
      <c r="CY280" s="2">
        <f t="shared" si="195"/>
        <v>0</v>
      </c>
      <c r="CZ280" s="2">
        <f t="shared" si="195"/>
        <v>0</v>
      </c>
      <c r="DA280" s="2">
        <f t="shared" si="195"/>
        <v>0</v>
      </c>
      <c r="DB280" s="2">
        <f t="shared" si="195"/>
        <v>0</v>
      </c>
      <c r="DC280" s="2">
        <f t="shared" si="195"/>
        <v>0</v>
      </c>
      <c r="DD280" s="2">
        <f t="shared" si="195"/>
        <v>0</v>
      </c>
      <c r="DE280" s="2">
        <f t="shared" si="195"/>
        <v>0</v>
      </c>
      <c r="DF280" s="2">
        <f t="shared" si="195"/>
        <v>0</v>
      </c>
      <c r="DG280" s="3">
        <f t="shared" ref="DG280:EL280" si="196">DG286</f>
        <v>0</v>
      </c>
      <c r="DH280" s="3">
        <f t="shared" si="196"/>
        <v>0</v>
      </c>
      <c r="DI280" s="3">
        <f t="shared" si="196"/>
        <v>0</v>
      </c>
      <c r="DJ280" s="3">
        <f t="shared" si="196"/>
        <v>0</v>
      </c>
      <c r="DK280" s="3">
        <f t="shared" si="196"/>
        <v>0</v>
      </c>
      <c r="DL280" s="3">
        <f t="shared" si="196"/>
        <v>0</v>
      </c>
      <c r="DM280" s="3">
        <f t="shared" si="196"/>
        <v>0</v>
      </c>
      <c r="DN280" s="3">
        <f t="shared" si="196"/>
        <v>0</v>
      </c>
      <c r="DO280" s="3">
        <f t="shared" si="196"/>
        <v>0</v>
      </c>
      <c r="DP280" s="3">
        <f t="shared" si="196"/>
        <v>0</v>
      </c>
      <c r="DQ280" s="3">
        <f t="shared" si="196"/>
        <v>0</v>
      </c>
      <c r="DR280" s="3">
        <f t="shared" si="196"/>
        <v>0</v>
      </c>
      <c r="DS280" s="3">
        <f t="shared" si="196"/>
        <v>0</v>
      </c>
      <c r="DT280" s="3">
        <f t="shared" si="196"/>
        <v>0</v>
      </c>
      <c r="DU280" s="3">
        <f t="shared" si="196"/>
        <v>0</v>
      </c>
      <c r="DV280" s="3">
        <f t="shared" si="196"/>
        <v>0</v>
      </c>
      <c r="DW280" s="3">
        <f t="shared" si="196"/>
        <v>0</v>
      </c>
      <c r="DX280" s="3">
        <f t="shared" si="196"/>
        <v>0</v>
      </c>
      <c r="DY280" s="3">
        <f t="shared" si="196"/>
        <v>0</v>
      </c>
      <c r="DZ280" s="3">
        <f t="shared" si="196"/>
        <v>0</v>
      </c>
      <c r="EA280" s="3">
        <f t="shared" si="196"/>
        <v>0</v>
      </c>
      <c r="EB280" s="3">
        <f t="shared" si="196"/>
        <v>0</v>
      </c>
      <c r="EC280" s="3">
        <f t="shared" si="196"/>
        <v>0</v>
      </c>
      <c r="ED280" s="3">
        <f t="shared" si="196"/>
        <v>0</v>
      </c>
      <c r="EE280" s="3">
        <f t="shared" si="196"/>
        <v>0</v>
      </c>
      <c r="EF280" s="3">
        <f t="shared" si="196"/>
        <v>0</v>
      </c>
      <c r="EG280" s="3">
        <f t="shared" si="196"/>
        <v>0</v>
      </c>
      <c r="EH280" s="3">
        <f t="shared" si="196"/>
        <v>0</v>
      </c>
      <c r="EI280" s="3">
        <f t="shared" si="196"/>
        <v>0</v>
      </c>
      <c r="EJ280" s="3">
        <f t="shared" si="196"/>
        <v>0</v>
      </c>
      <c r="EK280" s="3">
        <f t="shared" si="196"/>
        <v>0</v>
      </c>
      <c r="EL280" s="3">
        <f t="shared" si="196"/>
        <v>0</v>
      </c>
      <c r="EM280" s="3">
        <f t="shared" ref="EM280:FR280" si="197">EM286</f>
        <v>0</v>
      </c>
      <c r="EN280" s="3">
        <f t="shared" si="197"/>
        <v>0</v>
      </c>
      <c r="EO280" s="3">
        <f t="shared" si="197"/>
        <v>0</v>
      </c>
      <c r="EP280" s="3">
        <f t="shared" si="197"/>
        <v>0</v>
      </c>
      <c r="EQ280" s="3">
        <f t="shared" si="197"/>
        <v>0</v>
      </c>
      <c r="ER280" s="3">
        <f t="shared" si="197"/>
        <v>0</v>
      </c>
      <c r="ES280" s="3">
        <f t="shared" si="197"/>
        <v>0</v>
      </c>
      <c r="ET280" s="3">
        <f t="shared" si="197"/>
        <v>0</v>
      </c>
      <c r="EU280" s="3">
        <f t="shared" si="197"/>
        <v>0</v>
      </c>
      <c r="EV280" s="3">
        <f t="shared" si="197"/>
        <v>0</v>
      </c>
      <c r="EW280" s="3">
        <f t="shared" si="197"/>
        <v>0</v>
      </c>
      <c r="EX280" s="3">
        <f t="shared" si="197"/>
        <v>0</v>
      </c>
      <c r="EY280" s="3">
        <f t="shared" si="197"/>
        <v>0</v>
      </c>
      <c r="EZ280" s="3">
        <f t="shared" si="197"/>
        <v>0</v>
      </c>
      <c r="FA280" s="3">
        <f t="shared" si="197"/>
        <v>0</v>
      </c>
      <c r="FB280" s="3">
        <f t="shared" si="197"/>
        <v>0</v>
      </c>
      <c r="FC280" s="3">
        <f t="shared" si="197"/>
        <v>0</v>
      </c>
      <c r="FD280" s="3">
        <f t="shared" si="197"/>
        <v>0</v>
      </c>
      <c r="FE280" s="3">
        <f t="shared" si="197"/>
        <v>0</v>
      </c>
      <c r="FF280" s="3">
        <f t="shared" si="197"/>
        <v>0</v>
      </c>
      <c r="FG280" s="3">
        <f t="shared" si="197"/>
        <v>0</v>
      </c>
      <c r="FH280" s="3">
        <f t="shared" si="197"/>
        <v>0</v>
      </c>
      <c r="FI280" s="3">
        <f t="shared" si="197"/>
        <v>0</v>
      </c>
      <c r="FJ280" s="3">
        <f t="shared" si="197"/>
        <v>0</v>
      </c>
      <c r="FK280" s="3">
        <f t="shared" si="197"/>
        <v>0</v>
      </c>
      <c r="FL280" s="3">
        <f t="shared" si="197"/>
        <v>0</v>
      </c>
      <c r="FM280" s="3">
        <f t="shared" si="197"/>
        <v>0</v>
      </c>
      <c r="FN280" s="3">
        <f t="shared" si="197"/>
        <v>0</v>
      </c>
      <c r="FO280" s="3">
        <f t="shared" si="197"/>
        <v>0</v>
      </c>
      <c r="FP280" s="3">
        <f t="shared" si="197"/>
        <v>0</v>
      </c>
      <c r="FQ280" s="3">
        <f t="shared" si="197"/>
        <v>0</v>
      </c>
      <c r="FR280" s="3">
        <f t="shared" si="197"/>
        <v>0</v>
      </c>
      <c r="FS280" s="3">
        <f t="shared" ref="FS280:GX280" si="198">FS286</f>
        <v>0</v>
      </c>
      <c r="FT280" s="3">
        <f t="shared" si="198"/>
        <v>0</v>
      </c>
      <c r="FU280" s="3">
        <f t="shared" si="198"/>
        <v>0</v>
      </c>
      <c r="FV280" s="3">
        <f t="shared" si="198"/>
        <v>0</v>
      </c>
      <c r="FW280" s="3">
        <f t="shared" si="198"/>
        <v>0</v>
      </c>
      <c r="FX280" s="3">
        <f t="shared" si="198"/>
        <v>0</v>
      </c>
      <c r="FY280" s="3">
        <f t="shared" si="198"/>
        <v>0</v>
      </c>
      <c r="FZ280" s="3">
        <f t="shared" si="198"/>
        <v>0</v>
      </c>
      <c r="GA280" s="3">
        <f t="shared" si="198"/>
        <v>0</v>
      </c>
      <c r="GB280" s="3">
        <f t="shared" si="198"/>
        <v>0</v>
      </c>
      <c r="GC280" s="3">
        <f t="shared" si="198"/>
        <v>0</v>
      </c>
      <c r="GD280" s="3">
        <f t="shared" si="198"/>
        <v>0</v>
      </c>
      <c r="GE280" s="3">
        <f t="shared" si="198"/>
        <v>0</v>
      </c>
      <c r="GF280" s="3">
        <f t="shared" si="198"/>
        <v>0</v>
      </c>
      <c r="GG280" s="3">
        <f t="shared" si="198"/>
        <v>0</v>
      </c>
      <c r="GH280" s="3">
        <f t="shared" si="198"/>
        <v>0</v>
      </c>
      <c r="GI280" s="3">
        <f t="shared" si="198"/>
        <v>0</v>
      </c>
      <c r="GJ280" s="3">
        <f t="shared" si="198"/>
        <v>0</v>
      </c>
      <c r="GK280" s="3">
        <f t="shared" si="198"/>
        <v>0</v>
      </c>
      <c r="GL280" s="3">
        <f t="shared" si="198"/>
        <v>0</v>
      </c>
      <c r="GM280" s="3">
        <f t="shared" si="198"/>
        <v>0</v>
      </c>
      <c r="GN280" s="3">
        <f t="shared" si="198"/>
        <v>0</v>
      </c>
      <c r="GO280" s="3">
        <f t="shared" si="198"/>
        <v>0</v>
      </c>
      <c r="GP280" s="3">
        <f t="shared" si="198"/>
        <v>0</v>
      </c>
      <c r="GQ280" s="3">
        <f t="shared" si="198"/>
        <v>0</v>
      </c>
      <c r="GR280" s="3">
        <f t="shared" si="198"/>
        <v>0</v>
      </c>
      <c r="GS280" s="3">
        <f t="shared" si="198"/>
        <v>0</v>
      </c>
      <c r="GT280" s="3">
        <f t="shared" si="198"/>
        <v>0</v>
      </c>
      <c r="GU280" s="3">
        <f t="shared" si="198"/>
        <v>0</v>
      </c>
      <c r="GV280" s="3">
        <f t="shared" si="198"/>
        <v>0</v>
      </c>
      <c r="GW280" s="3">
        <f t="shared" si="198"/>
        <v>0</v>
      </c>
      <c r="GX280" s="3">
        <f t="shared" si="198"/>
        <v>0</v>
      </c>
    </row>
    <row r="282" spans="1:245" x14ac:dyDescent="0.2">
      <c r="A282">
        <v>17</v>
      </c>
      <c r="B282">
        <v>1</v>
      </c>
      <c r="C282">
        <f>ROW(SmtRes!A111)</f>
        <v>111</v>
      </c>
      <c r="D282">
        <f>ROW(EtalonRes!A102)</f>
        <v>102</v>
      </c>
      <c r="E282" t="s">
        <v>242</v>
      </c>
      <c r="F282" t="s">
        <v>243</v>
      </c>
      <c r="G282" t="s">
        <v>244</v>
      </c>
      <c r="H282" t="s">
        <v>184</v>
      </c>
      <c r="I282">
        <f>ROUND(2/100,9)</f>
        <v>0.02</v>
      </c>
      <c r="J282">
        <v>0</v>
      </c>
      <c r="K282">
        <f>ROUND(2/100,9)</f>
        <v>0.02</v>
      </c>
      <c r="O282">
        <f>ROUND(CP282,2)</f>
        <v>984.71</v>
      </c>
      <c r="P282">
        <f>ROUND(CQ282*I282,2)</f>
        <v>582.5</v>
      </c>
      <c r="Q282">
        <f>ROUND(CR282*I282,2)</f>
        <v>0</v>
      </c>
      <c r="R282">
        <f>ROUND(CS282*I282,2)</f>
        <v>0</v>
      </c>
      <c r="S282">
        <f>ROUND(CT282*I282,2)</f>
        <v>402.21</v>
      </c>
      <c r="T282">
        <f>ROUND(CU282*I282,2)</f>
        <v>0</v>
      </c>
      <c r="U282">
        <f>CV282*I282</f>
        <v>0.92379999999999995</v>
      </c>
      <c r="V282">
        <f>CW282*I282</f>
        <v>0</v>
      </c>
      <c r="W282">
        <f>ROUND(CX282*I282,2)</f>
        <v>0</v>
      </c>
      <c r="X282">
        <f t="shared" ref="X282:Y284" si="199">ROUND(CY282,2)</f>
        <v>281.55</v>
      </c>
      <c r="Y282">
        <f t="shared" si="199"/>
        <v>40.22</v>
      </c>
      <c r="AA282">
        <v>75703208</v>
      </c>
      <c r="AB282">
        <f>ROUND((AC282+AD282+AF282),6)</f>
        <v>49235.54</v>
      </c>
      <c r="AC282">
        <f>ROUND((ES282),6)</f>
        <v>29124.880000000001</v>
      </c>
      <c r="AD282">
        <f>ROUND((((ET282)-(EU282))+AE282),6)</f>
        <v>0</v>
      </c>
      <c r="AE282">
        <f t="shared" ref="AE282:AF284" si="200">ROUND((EU282),6)</f>
        <v>0</v>
      </c>
      <c r="AF282">
        <f t="shared" si="200"/>
        <v>20110.66</v>
      </c>
      <c r="AG282">
        <f>ROUND((AP282),6)</f>
        <v>0</v>
      </c>
      <c r="AH282">
        <f t="shared" ref="AH282:AI284" si="201">(EW282)</f>
        <v>46.19</v>
      </c>
      <c r="AI282">
        <f t="shared" si="201"/>
        <v>0</v>
      </c>
      <c r="AJ282">
        <f>(AS282)</f>
        <v>0</v>
      </c>
      <c r="AK282">
        <v>49235.54</v>
      </c>
      <c r="AL282">
        <v>29124.880000000001</v>
      </c>
      <c r="AM282">
        <v>0</v>
      </c>
      <c r="AN282">
        <v>0</v>
      </c>
      <c r="AO282">
        <v>20110.66</v>
      </c>
      <c r="AP282">
        <v>0</v>
      </c>
      <c r="AQ282">
        <v>46.19</v>
      </c>
      <c r="AR282">
        <v>0</v>
      </c>
      <c r="AS282">
        <v>0</v>
      </c>
      <c r="AT282">
        <v>70</v>
      </c>
      <c r="AU282">
        <v>10</v>
      </c>
      <c r="AV282">
        <v>1</v>
      </c>
      <c r="AW282">
        <v>1</v>
      </c>
      <c r="AZ282">
        <v>1</v>
      </c>
      <c r="BA282">
        <v>1</v>
      </c>
      <c r="BB282">
        <v>1</v>
      </c>
      <c r="BC282">
        <v>1</v>
      </c>
      <c r="BD282" t="s">
        <v>3</v>
      </c>
      <c r="BE282" t="s">
        <v>3</v>
      </c>
      <c r="BF282" t="s">
        <v>3</v>
      </c>
      <c r="BG282" t="s">
        <v>3</v>
      </c>
      <c r="BH282">
        <v>0</v>
      </c>
      <c r="BI282">
        <v>4</v>
      </c>
      <c r="BJ282" t="s">
        <v>245</v>
      </c>
      <c r="BM282">
        <v>0</v>
      </c>
      <c r="BN282">
        <v>75371441</v>
      </c>
      <c r="BO282" t="s">
        <v>3</v>
      </c>
      <c r="BP282">
        <v>0</v>
      </c>
      <c r="BQ282">
        <v>1</v>
      </c>
      <c r="BR282">
        <v>0</v>
      </c>
      <c r="BS282">
        <v>1</v>
      </c>
      <c r="BT282">
        <v>1</v>
      </c>
      <c r="BU282">
        <v>1</v>
      </c>
      <c r="BV282">
        <v>1</v>
      </c>
      <c r="BW282">
        <v>1</v>
      </c>
      <c r="BX282">
        <v>1</v>
      </c>
      <c r="BY282" t="s">
        <v>3</v>
      </c>
      <c r="BZ282">
        <v>70</v>
      </c>
      <c r="CA282">
        <v>10</v>
      </c>
      <c r="CB282" t="s">
        <v>3</v>
      </c>
      <c r="CE282">
        <v>0</v>
      </c>
      <c r="CF282">
        <v>0</v>
      </c>
      <c r="CG282">
        <v>0</v>
      </c>
      <c r="CM282">
        <v>0</v>
      </c>
      <c r="CN282" t="s">
        <v>3</v>
      </c>
      <c r="CO282">
        <v>0</v>
      </c>
      <c r="CP282">
        <f>(P282+Q282+S282)</f>
        <v>984.71</v>
      </c>
      <c r="CQ282">
        <f>(AC282*BC282*AW282)</f>
        <v>29124.880000000001</v>
      </c>
      <c r="CR282">
        <f>((((ET282)*BB282-(EU282)*BS282)+AE282*BS282)*AV282)</f>
        <v>0</v>
      </c>
      <c r="CS282">
        <f>(AE282*BS282*AV282)</f>
        <v>0</v>
      </c>
      <c r="CT282">
        <f>(AF282*BA282*AV282)</f>
        <v>20110.66</v>
      </c>
      <c r="CU282">
        <f>AG282</f>
        <v>0</v>
      </c>
      <c r="CV282">
        <f>(AH282*AV282)</f>
        <v>46.19</v>
      </c>
      <c r="CW282">
        <f t="shared" ref="CW282:CX284" si="202">AI282</f>
        <v>0</v>
      </c>
      <c r="CX282">
        <f t="shared" si="202"/>
        <v>0</v>
      </c>
      <c r="CY282">
        <f>((S282*BZ282)/100)</f>
        <v>281.54699999999997</v>
      </c>
      <c r="CZ282">
        <f>((S282*CA282)/100)</f>
        <v>40.220999999999997</v>
      </c>
      <c r="DC282" t="s">
        <v>3</v>
      </c>
      <c r="DD282" t="s">
        <v>3</v>
      </c>
      <c r="DE282" t="s">
        <v>3</v>
      </c>
      <c r="DF282" t="s">
        <v>3</v>
      </c>
      <c r="DG282" t="s">
        <v>3</v>
      </c>
      <c r="DH282" t="s">
        <v>3</v>
      </c>
      <c r="DI282" t="s">
        <v>3</v>
      </c>
      <c r="DJ282" t="s">
        <v>3</v>
      </c>
      <c r="DK282" t="s">
        <v>3</v>
      </c>
      <c r="DL282" t="s">
        <v>3</v>
      </c>
      <c r="DM282" t="s">
        <v>3</v>
      </c>
      <c r="DN282">
        <v>0</v>
      </c>
      <c r="DO282">
        <v>0</v>
      </c>
      <c r="DP282">
        <v>1</v>
      </c>
      <c r="DQ282">
        <v>1</v>
      </c>
      <c r="DU282">
        <v>1010</v>
      </c>
      <c r="DV282" t="s">
        <v>184</v>
      </c>
      <c r="DW282" t="s">
        <v>184</v>
      </c>
      <c r="DX282">
        <v>100</v>
      </c>
      <c r="DZ282" t="s">
        <v>3</v>
      </c>
      <c r="EA282" t="s">
        <v>3</v>
      </c>
      <c r="EB282" t="s">
        <v>3</v>
      </c>
      <c r="EC282" t="s">
        <v>3</v>
      </c>
      <c r="EE282">
        <v>75371444</v>
      </c>
      <c r="EF282">
        <v>1</v>
      </c>
      <c r="EG282" t="s">
        <v>22</v>
      </c>
      <c r="EH282">
        <v>0</v>
      </c>
      <c r="EI282" t="s">
        <v>3</v>
      </c>
      <c r="EJ282">
        <v>4</v>
      </c>
      <c r="EK282">
        <v>0</v>
      </c>
      <c r="EL282" t="s">
        <v>23</v>
      </c>
      <c r="EM282" t="s">
        <v>24</v>
      </c>
      <c r="EO282" t="s">
        <v>3</v>
      </c>
      <c r="EQ282">
        <v>0</v>
      </c>
      <c r="ER282">
        <v>49235.54</v>
      </c>
      <c r="ES282">
        <v>29124.880000000001</v>
      </c>
      <c r="ET282">
        <v>0</v>
      </c>
      <c r="EU282">
        <v>0</v>
      </c>
      <c r="EV282">
        <v>20110.66</v>
      </c>
      <c r="EW282">
        <v>46.19</v>
      </c>
      <c r="EX282">
        <v>0</v>
      </c>
      <c r="EY282">
        <v>0</v>
      </c>
      <c r="FQ282">
        <v>0</v>
      </c>
      <c r="FR282">
        <f>ROUND(IF(BI282=3,GM282,0),2)</f>
        <v>0</v>
      </c>
      <c r="FS282">
        <v>0</v>
      </c>
      <c r="FX282">
        <v>70</v>
      </c>
      <c r="FY282">
        <v>10</v>
      </c>
      <c r="GA282" t="s">
        <v>3</v>
      </c>
      <c r="GD282">
        <v>0</v>
      </c>
      <c r="GF282">
        <v>-707059149</v>
      </c>
      <c r="GG282">
        <v>2</v>
      </c>
      <c r="GH282">
        <v>1</v>
      </c>
      <c r="GI282">
        <v>-2</v>
      </c>
      <c r="GJ282">
        <v>0</v>
      </c>
      <c r="GK282">
        <f>ROUND(R282*(R12)/100,2)</f>
        <v>0</v>
      </c>
      <c r="GL282">
        <f>ROUND(IF(AND(BH282=3,BI282=3,FS282&lt;&gt;0),P282,0),2)</f>
        <v>0</v>
      </c>
      <c r="GM282">
        <f>ROUND(O282+X282+Y282+GK282,2)+GX282</f>
        <v>1306.48</v>
      </c>
      <c r="GN282">
        <f>IF(OR(BI282=0,BI282=1),GM282-GX282,0)</f>
        <v>0</v>
      </c>
      <c r="GO282">
        <f>IF(BI282=2,GM282-GX282,0)</f>
        <v>0</v>
      </c>
      <c r="GP282">
        <f>IF(BI282=4,GM282-GX282,0)</f>
        <v>1306.48</v>
      </c>
      <c r="GR282">
        <v>0</v>
      </c>
      <c r="GS282">
        <v>3</v>
      </c>
      <c r="GT282">
        <v>0</v>
      </c>
      <c r="GU282" t="s">
        <v>3</v>
      </c>
      <c r="GV282">
        <f>ROUND((GT282),6)</f>
        <v>0</v>
      </c>
      <c r="GW282">
        <v>1</v>
      </c>
      <c r="GX282">
        <f>ROUND(HC282*I282,2)</f>
        <v>0</v>
      </c>
      <c r="HA282">
        <v>0</v>
      </c>
      <c r="HB282">
        <v>0</v>
      </c>
      <c r="HC282">
        <f>GV282*GW282</f>
        <v>0</v>
      </c>
      <c r="HE282" t="s">
        <v>3</v>
      </c>
      <c r="HF282" t="s">
        <v>3</v>
      </c>
      <c r="HM282" t="s">
        <v>3</v>
      </c>
      <c r="HN282" t="s">
        <v>3</v>
      </c>
      <c r="HO282" t="s">
        <v>3</v>
      </c>
      <c r="HP282" t="s">
        <v>3</v>
      </c>
      <c r="HQ282" t="s">
        <v>3</v>
      </c>
      <c r="IK282">
        <v>0</v>
      </c>
    </row>
    <row r="283" spans="1:245" x14ac:dyDescent="0.2">
      <c r="A283">
        <v>18</v>
      </c>
      <c r="B283">
        <v>1</v>
      </c>
      <c r="C283">
        <v>111</v>
      </c>
      <c r="E283" t="s">
        <v>246</v>
      </c>
      <c r="F283" t="s">
        <v>247</v>
      </c>
      <c r="G283" t="s">
        <v>248</v>
      </c>
      <c r="H283" t="s">
        <v>196</v>
      </c>
      <c r="I283">
        <f>I282*J283</f>
        <v>2</v>
      </c>
      <c r="J283">
        <v>100</v>
      </c>
      <c r="K283">
        <v>100</v>
      </c>
      <c r="O283">
        <f>ROUND(CP283,2)</f>
        <v>1962.82</v>
      </c>
      <c r="P283">
        <f>ROUND(CQ283*I283,2)</f>
        <v>1962.82</v>
      </c>
      <c r="Q283">
        <f>ROUND(CR283*I283,2)</f>
        <v>0</v>
      </c>
      <c r="R283">
        <f>ROUND(CS283*I283,2)</f>
        <v>0</v>
      </c>
      <c r="S283">
        <f>ROUND(CT283*I283,2)</f>
        <v>0</v>
      </c>
      <c r="T283">
        <f>ROUND(CU283*I283,2)</f>
        <v>0</v>
      </c>
      <c r="U283">
        <f>CV283*I283</f>
        <v>0</v>
      </c>
      <c r="V283">
        <f>CW283*I283</f>
        <v>0</v>
      </c>
      <c r="W283">
        <f>ROUND(CX283*I283,2)</f>
        <v>0</v>
      </c>
      <c r="X283">
        <f t="shared" si="199"/>
        <v>0</v>
      </c>
      <c r="Y283">
        <f t="shared" si="199"/>
        <v>0</v>
      </c>
      <c r="AA283">
        <v>75703208</v>
      </c>
      <c r="AB283">
        <f>ROUND((AC283+AD283+AF283),6)</f>
        <v>981.41</v>
      </c>
      <c r="AC283">
        <f>ROUND((ES283),6)</f>
        <v>981.41</v>
      </c>
      <c r="AD283">
        <f>ROUND((((ET283)-(EU283))+AE283),6)</f>
        <v>0</v>
      </c>
      <c r="AE283">
        <f t="shared" si="200"/>
        <v>0</v>
      </c>
      <c r="AF283">
        <f t="shared" si="200"/>
        <v>0</v>
      </c>
      <c r="AG283">
        <f>ROUND((AP283),6)</f>
        <v>0</v>
      </c>
      <c r="AH283">
        <f t="shared" si="201"/>
        <v>0</v>
      </c>
      <c r="AI283">
        <f t="shared" si="201"/>
        <v>0</v>
      </c>
      <c r="AJ283">
        <f>(AS283)</f>
        <v>0</v>
      </c>
      <c r="AK283">
        <v>981.41</v>
      </c>
      <c r="AL283">
        <v>981.41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70</v>
      </c>
      <c r="AU283">
        <v>10</v>
      </c>
      <c r="AV283">
        <v>1</v>
      </c>
      <c r="AW283">
        <v>1</v>
      </c>
      <c r="AZ283">
        <v>1</v>
      </c>
      <c r="BA283">
        <v>1</v>
      </c>
      <c r="BB283">
        <v>1</v>
      </c>
      <c r="BC283">
        <v>1</v>
      </c>
      <c r="BD283" t="s">
        <v>3</v>
      </c>
      <c r="BE283" t="s">
        <v>3</v>
      </c>
      <c r="BF283" t="s">
        <v>3</v>
      </c>
      <c r="BG283" t="s">
        <v>3</v>
      </c>
      <c r="BH283">
        <v>3</v>
      </c>
      <c r="BI283">
        <v>4</v>
      </c>
      <c r="BJ283" t="s">
        <v>249</v>
      </c>
      <c r="BM283">
        <v>0</v>
      </c>
      <c r="BN283">
        <v>75371441</v>
      </c>
      <c r="BO283" t="s">
        <v>3</v>
      </c>
      <c r="BP283">
        <v>0</v>
      </c>
      <c r="BQ283">
        <v>1</v>
      </c>
      <c r="BR283">
        <v>0</v>
      </c>
      <c r="BS283">
        <v>1</v>
      </c>
      <c r="BT283">
        <v>1</v>
      </c>
      <c r="BU283">
        <v>1</v>
      </c>
      <c r="BV283">
        <v>1</v>
      </c>
      <c r="BW283">
        <v>1</v>
      </c>
      <c r="BX283">
        <v>1</v>
      </c>
      <c r="BY283" t="s">
        <v>3</v>
      </c>
      <c r="BZ283">
        <v>70</v>
      </c>
      <c r="CA283">
        <v>10</v>
      </c>
      <c r="CB283" t="s">
        <v>3</v>
      </c>
      <c r="CE283">
        <v>0</v>
      </c>
      <c r="CF283">
        <v>0</v>
      </c>
      <c r="CG283">
        <v>0</v>
      </c>
      <c r="CM283">
        <v>0</v>
      </c>
      <c r="CN283" t="s">
        <v>3</v>
      </c>
      <c r="CO283">
        <v>0</v>
      </c>
      <c r="CP283">
        <f>(P283+Q283+S283)</f>
        <v>1962.82</v>
      </c>
      <c r="CQ283">
        <f>(AC283*BC283*AW283)</f>
        <v>981.41</v>
      </c>
      <c r="CR283">
        <f>((((ET283)*BB283-(EU283)*BS283)+AE283*BS283)*AV283)</f>
        <v>0</v>
      </c>
      <c r="CS283">
        <f>(AE283*BS283*AV283)</f>
        <v>0</v>
      </c>
      <c r="CT283">
        <f>(AF283*BA283*AV283)</f>
        <v>0</v>
      </c>
      <c r="CU283">
        <f>AG283</f>
        <v>0</v>
      </c>
      <c r="CV283">
        <f>(AH283*AV283)</f>
        <v>0</v>
      </c>
      <c r="CW283">
        <f t="shared" si="202"/>
        <v>0</v>
      </c>
      <c r="CX283">
        <f t="shared" si="202"/>
        <v>0</v>
      </c>
      <c r="CY283">
        <f>((S283*BZ283)/100)</f>
        <v>0</v>
      </c>
      <c r="CZ283">
        <f>((S283*CA283)/100)</f>
        <v>0</v>
      </c>
      <c r="DC283" t="s">
        <v>3</v>
      </c>
      <c r="DD283" t="s">
        <v>3</v>
      </c>
      <c r="DE283" t="s">
        <v>3</v>
      </c>
      <c r="DF283" t="s">
        <v>3</v>
      </c>
      <c r="DG283" t="s">
        <v>3</v>
      </c>
      <c r="DH283" t="s">
        <v>3</v>
      </c>
      <c r="DI283" t="s">
        <v>3</v>
      </c>
      <c r="DJ283" t="s">
        <v>3</v>
      </c>
      <c r="DK283" t="s">
        <v>3</v>
      </c>
      <c r="DL283" t="s">
        <v>3</v>
      </c>
      <c r="DM283" t="s">
        <v>3</v>
      </c>
      <c r="DN283">
        <v>0</v>
      </c>
      <c r="DO283">
        <v>0</v>
      </c>
      <c r="DP283">
        <v>1</v>
      </c>
      <c r="DQ283">
        <v>1</v>
      </c>
      <c r="DU283">
        <v>1010</v>
      </c>
      <c r="DV283" t="s">
        <v>196</v>
      </c>
      <c r="DW283" t="s">
        <v>196</v>
      </c>
      <c r="DX283">
        <v>1</v>
      </c>
      <c r="DZ283" t="s">
        <v>3</v>
      </c>
      <c r="EA283" t="s">
        <v>3</v>
      </c>
      <c r="EB283" t="s">
        <v>3</v>
      </c>
      <c r="EC283" t="s">
        <v>3</v>
      </c>
      <c r="EE283">
        <v>75371444</v>
      </c>
      <c r="EF283">
        <v>1</v>
      </c>
      <c r="EG283" t="s">
        <v>22</v>
      </c>
      <c r="EH283">
        <v>0</v>
      </c>
      <c r="EI283" t="s">
        <v>3</v>
      </c>
      <c r="EJ283">
        <v>4</v>
      </c>
      <c r="EK283">
        <v>0</v>
      </c>
      <c r="EL283" t="s">
        <v>23</v>
      </c>
      <c r="EM283" t="s">
        <v>24</v>
      </c>
      <c r="EO283" t="s">
        <v>3</v>
      </c>
      <c r="EQ283">
        <v>0</v>
      </c>
      <c r="ER283">
        <v>981.41</v>
      </c>
      <c r="ES283">
        <v>981.41</v>
      </c>
      <c r="ET283">
        <v>0</v>
      </c>
      <c r="EU283">
        <v>0</v>
      </c>
      <c r="EV283">
        <v>0</v>
      </c>
      <c r="EW283">
        <v>0</v>
      </c>
      <c r="EX283">
        <v>0</v>
      </c>
      <c r="FQ283">
        <v>0</v>
      </c>
      <c r="FR283">
        <f>ROUND(IF(BI283=3,GM283,0),2)</f>
        <v>0</v>
      </c>
      <c r="FS283">
        <v>0</v>
      </c>
      <c r="FX283">
        <v>70</v>
      </c>
      <c r="FY283">
        <v>10</v>
      </c>
      <c r="GA283" t="s">
        <v>3</v>
      </c>
      <c r="GD283">
        <v>0</v>
      </c>
      <c r="GF283">
        <v>-2129737567</v>
      </c>
      <c r="GG283">
        <v>2</v>
      </c>
      <c r="GH283">
        <v>1</v>
      </c>
      <c r="GI283">
        <v>-2</v>
      </c>
      <c r="GJ283">
        <v>0</v>
      </c>
      <c r="GK283">
        <f>ROUND(R283*(R12)/100,2)</f>
        <v>0</v>
      </c>
      <c r="GL283">
        <f>ROUND(IF(AND(BH283=3,BI283=3,FS283&lt;&gt;0),P283,0),2)</f>
        <v>0</v>
      </c>
      <c r="GM283">
        <f>ROUND(O283+X283+Y283+GK283,2)+GX283</f>
        <v>1962.82</v>
      </c>
      <c r="GN283">
        <f>IF(OR(BI283=0,BI283=1),GM283-GX283,0)</f>
        <v>0</v>
      </c>
      <c r="GO283">
        <f>IF(BI283=2,GM283-GX283,0)</f>
        <v>0</v>
      </c>
      <c r="GP283">
        <f>IF(BI283=4,GM283-GX283,0)</f>
        <v>1962.82</v>
      </c>
      <c r="GR283">
        <v>0</v>
      </c>
      <c r="GS283">
        <v>3</v>
      </c>
      <c r="GT283">
        <v>0</v>
      </c>
      <c r="GU283" t="s">
        <v>3</v>
      </c>
      <c r="GV283">
        <f>ROUND((GT283),6)</f>
        <v>0</v>
      </c>
      <c r="GW283">
        <v>1</v>
      </c>
      <c r="GX283">
        <f>ROUND(HC283*I283,2)</f>
        <v>0</v>
      </c>
      <c r="HA283">
        <v>0</v>
      </c>
      <c r="HB283">
        <v>0</v>
      </c>
      <c r="HC283">
        <f>GV283*GW283</f>
        <v>0</v>
      </c>
      <c r="HE283" t="s">
        <v>3</v>
      </c>
      <c r="HF283" t="s">
        <v>3</v>
      </c>
      <c r="HM283" t="s">
        <v>3</v>
      </c>
      <c r="HN283" t="s">
        <v>3</v>
      </c>
      <c r="HO283" t="s">
        <v>3</v>
      </c>
      <c r="HP283" t="s">
        <v>3</v>
      </c>
      <c r="HQ283" t="s">
        <v>3</v>
      </c>
      <c r="IK283">
        <v>0</v>
      </c>
    </row>
    <row r="284" spans="1:245" x14ac:dyDescent="0.2">
      <c r="A284">
        <v>18</v>
      </c>
      <c r="B284">
        <v>1</v>
      </c>
      <c r="C284">
        <v>110</v>
      </c>
      <c r="E284" t="s">
        <v>250</v>
      </c>
      <c r="F284" t="s">
        <v>251</v>
      </c>
      <c r="G284" t="s">
        <v>252</v>
      </c>
      <c r="H284" t="s">
        <v>196</v>
      </c>
      <c r="I284">
        <f>I282*J284</f>
        <v>-2</v>
      </c>
      <c r="J284">
        <v>-100</v>
      </c>
      <c r="K284">
        <v>-100</v>
      </c>
      <c r="O284">
        <f>ROUND(CP284,2)</f>
        <v>-574.48</v>
      </c>
      <c r="P284">
        <f>ROUND(CQ284*I284,2)</f>
        <v>-574.48</v>
      </c>
      <c r="Q284">
        <f>ROUND(CR284*I284,2)</f>
        <v>0</v>
      </c>
      <c r="R284">
        <f>ROUND(CS284*I284,2)</f>
        <v>0</v>
      </c>
      <c r="S284">
        <f>ROUND(CT284*I284,2)</f>
        <v>0</v>
      </c>
      <c r="T284">
        <f>ROUND(CU284*I284,2)</f>
        <v>0</v>
      </c>
      <c r="U284">
        <f>CV284*I284</f>
        <v>0</v>
      </c>
      <c r="V284">
        <f>CW284*I284</f>
        <v>0</v>
      </c>
      <c r="W284">
        <f>ROUND(CX284*I284,2)</f>
        <v>0</v>
      </c>
      <c r="X284">
        <f t="shared" si="199"/>
        <v>0</v>
      </c>
      <c r="Y284">
        <f t="shared" si="199"/>
        <v>0</v>
      </c>
      <c r="AA284">
        <v>75703208</v>
      </c>
      <c r="AB284">
        <f>ROUND((AC284+AD284+AF284),6)</f>
        <v>287.24</v>
      </c>
      <c r="AC284">
        <f>ROUND((ES284),6)</f>
        <v>287.24</v>
      </c>
      <c r="AD284">
        <f>ROUND((((ET284)-(EU284))+AE284),6)</f>
        <v>0</v>
      </c>
      <c r="AE284">
        <f t="shared" si="200"/>
        <v>0</v>
      </c>
      <c r="AF284">
        <f t="shared" si="200"/>
        <v>0</v>
      </c>
      <c r="AG284">
        <f>ROUND((AP284),6)</f>
        <v>0</v>
      </c>
      <c r="AH284">
        <f t="shared" si="201"/>
        <v>0</v>
      </c>
      <c r="AI284">
        <f t="shared" si="201"/>
        <v>0</v>
      </c>
      <c r="AJ284">
        <f>(AS284)</f>
        <v>0</v>
      </c>
      <c r="AK284">
        <v>287.24</v>
      </c>
      <c r="AL284">
        <v>287.24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70</v>
      </c>
      <c r="AU284">
        <v>10</v>
      </c>
      <c r="AV284">
        <v>1</v>
      </c>
      <c r="AW284">
        <v>1</v>
      </c>
      <c r="AZ284">
        <v>1</v>
      </c>
      <c r="BA284">
        <v>1</v>
      </c>
      <c r="BB284">
        <v>1</v>
      </c>
      <c r="BC284">
        <v>1</v>
      </c>
      <c r="BD284" t="s">
        <v>3</v>
      </c>
      <c r="BE284" t="s">
        <v>3</v>
      </c>
      <c r="BF284" t="s">
        <v>3</v>
      </c>
      <c r="BG284" t="s">
        <v>3</v>
      </c>
      <c r="BH284">
        <v>3</v>
      </c>
      <c r="BI284">
        <v>4</v>
      </c>
      <c r="BJ284" t="s">
        <v>253</v>
      </c>
      <c r="BM284">
        <v>0</v>
      </c>
      <c r="BN284">
        <v>75371441</v>
      </c>
      <c r="BO284" t="s">
        <v>3</v>
      </c>
      <c r="BP284">
        <v>0</v>
      </c>
      <c r="BQ284">
        <v>1</v>
      </c>
      <c r="BR284">
        <v>1</v>
      </c>
      <c r="BS284">
        <v>1</v>
      </c>
      <c r="BT284">
        <v>1</v>
      </c>
      <c r="BU284">
        <v>1</v>
      </c>
      <c r="BV284">
        <v>1</v>
      </c>
      <c r="BW284">
        <v>1</v>
      </c>
      <c r="BX284">
        <v>1</v>
      </c>
      <c r="BY284" t="s">
        <v>3</v>
      </c>
      <c r="BZ284">
        <v>70</v>
      </c>
      <c r="CA284">
        <v>10</v>
      </c>
      <c r="CB284" t="s">
        <v>3</v>
      </c>
      <c r="CE284">
        <v>0</v>
      </c>
      <c r="CF284">
        <v>0</v>
      </c>
      <c r="CG284">
        <v>0</v>
      </c>
      <c r="CM284">
        <v>0</v>
      </c>
      <c r="CN284" t="s">
        <v>3</v>
      </c>
      <c r="CO284">
        <v>0</v>
      </c>
      <c r="CP284">
        <f>(P284+Q284+S284)</f>
        <v>-574.48</v>
      </c>
      <c r="CQ284">
        <f>(AC284*BC284*AW284)</f>
        <v>287.24</v>
      </c>
      <c r="CR284">
        <f>((((ET284)*BB284-(EU284)*BS284)+AE284*BS284)*AV284)</f>
        <v>0</v>
      </c>
      <c r="CS284">
        <f>(AE284*BS284*AV284)</f>
        <v>0</v>
      </c>
      <c r="CT284">
        <f>(AF284*BA284*AV284)</f>
        <v>0</v>
      </c>
      <c r="CU284">
        <f>AG284</f>
        <v>0</v>
      </c>
      <c r="CV284">
        <f>(AH284*AV284)</f>
        <v>0</v>
      </c>
      <c r="CW284">
        <f t="shared" si="202"/>
        <v>0</v>
      </c>
      <c r="CX284">
        <f t="shared" si="202"/>
        <v>0</v>
      </c>
      <c r="CY284">
        <f>((S284*BZ284)/100)</f>
        <v>0</v>
      </c>
      <c r="CZ284">
        <f>((S284*CA284)/100)</f>
        <v>0</v>
      </c>
      <c r="DC284" t="s">
        <v>3</v>
      </c>
      <c r="DD284" t="s">
        <v>3</v>
      </c>
      <c r="DE284" t="s">
        <v>3</v>
      </c>
      <c r="DF284" t="s">
        <v>3</v>
      </c>
      <c r="DG284" t="s">
        <v>3</v>
      </c>
      <c r="DH284" t="s">
        <v>3</v>
      </c>
      <c r="DI284" t="s">
        <v>3</v>
      </c>
      <c r="DJ284" t="s">
        <v>3</v>
      </c>
      <c r="DK284" t="s">
        <v>3</v>
      </c>
      <c r="DL284" t="s">
        <v>3</v>
      </c>
      <c r="DM284" t="s">
        <v>3</v>
      </c>
      <c r="DN284">
        <v>0</v>
      </c>
      <c r="DO284">
        <v>0</v>
      </c>
      <c r="DP284">
        <v>1</v>
      </c>
      <c r="DQ284">
        <v>1</v>
      </c>
      <c r="DU284">
        <v>1010</v>
      </c>
      <c r="DV284" t="s">
        <v>196</v>
      </c>
      <c r="DW284" t="s">
        <v>196</v>
      </c>
      <c r="DX284">
        <v>1</v>
      </c>
      <c r="DZ284" t="s">
        <v>3</v>
      </c>
      <c r="EA284" t="s">
        <v>3</v>
      </c>
      <c r="EB284" t="s">
        <v>3</v>
      </c>
      <c r="EC284" t="s">
        <v>3</v>
      </c>
      <c r="EE284">
        <v>75371444</v>
      </c>
      <c r="EF284">
        <v>1</v>
      </c>
      <c r="EG284" t="s">
        <v>22</v>
      </c>
      <c r="EH284">
        <v>0</v>
      </c>
      <c r="EI284" t="s">
        <v>3</v>
      </c>
      <c r="EJ284">
        <v>4</v>
      </c>
      <c r="EK284">
        <v>0</v>
      </c>
      <c r="EL284" t="s">
        <v>23</v>
      </c>
      <c r="EM284" t="s">
        <v>24</v>
      </c>
      <c r="EO284" t="s">
        <v>3</v>
      </c>
      <c r="EQ284">
        <v>32768</v>
      </c>
      <c r="ER284">
        <v>287.24</v>
      </c>
      <c r="ES284">
        <v>287.24</v>
      </c>
      <c r="ET284">
        <v>0</v>
      </c>
      <c r="EU284">
        <v>0</v>
      </c>
      <c r="EV284">
        <v>0</v>
      </c>
      <c r="EW284">
        <v>0</v>
      </c>
      <c r="EX284">
        <v>0</v>
      </c>
      <c r="FQ284">
        <v>0</v>
      </c>
      <c r="FR284">
        <f>ROUND(IF(BI284=3,GM284,0),2)</f>
        <v>0</v>
      </c>
      <c r="FS284">
        <v>0</v>
      </c>
      <c r="FX284">
        <v>70</v>
      </c>
      <c r="FY284">
        <v>10</v>
      </c>
      <c r="GA284" t="s">
        <v>3</v>
      </c>
      <c r="GD284">
        <v>0</v>
      </c>
      <c r="GF284">
        <v>118609747</v>
      </c>
      <c r="GG284">
        <v>2</v>
      </c>
      <c r="GH284">
        <v>1</v>
      </c>
      <c r="GI284">
        <v>-2</v>
      </c>
      <c r="GJ284">
        <v>0</v>
      </c>
      <c r="GK284">
        <f>ROUND(R284*(R12)/100,2)</f>
        <v>0</v>
      </c>
      <c r="GL284">
        <f>ROUND(IF(AND(BH284=3,BI284=3,FS284&lt;&gt;0),P284,0),2)</f>
        <v>0</v>
      </c>
      <c r="GM284">
        <f>ROUND(O284+X284+Y284+GK284,2)+GX284</f>
        <v>-574.48</v>
      </c>
      <c r="GN284">
        <f>IF(OR(BI284=0,BI284=1),GM284-GX284,0)</f>
        <v>0</v>
      </c>
      <c r="GO284">
        <f>IF(BI284=2,GM284-GX284,0)</f>
        <v>0</v>
      </c>
      <c r="GP284">
        <f>IF(BI284=4,GM284-GX284,0)</f>
        <v>-574.48</v>
      </c>
      <c r="GR284">
        <v>0</v>
      </c>
      <c r="GS284">
        <v>3</v>
      </c>
      <c r="GT284">
        <v>0</v>
      </c>
      <c r="GU284" t="s">
        <v>3</v>
      </c>
      <c r="GV284">
        <f>ROUND((GT284),6)</f>
        <v>0</v>
      </c>
      <c r="GW284">
        <v>1</v>
      </c>
      <c r="GX284">
        <f>ROUND(HC284*I284,2)</f>
        <v>0</v>
      </c>
      <c r="HA284">
        <v>0</v>
      </c>
      <c r="HB284">
        <v>0</v>
      </c>
      <c r="HC284">
        <f>GV284*GW284</f>
        <v>0</v>
      </c>
      <c r="HE284" t="s">
        <v>3</v>
      </c>
      <c r="HF284" t="s">
        <v>3</v>
      </c>
      <c r="HM284" t="s">
        <v>3</v>
      </c>
      <c r="HN284" t="s">
        <v>3</v>
      </c>
      <c r="HO284" t="s">
        <v>3</v>
      </c>
      <c r="HP284" t="s">
        <v>3</v>
      </c>
      <c r="HQ284" t="s">
        <v>3</v>
      </c>
      <c r="IK284">
        <v>0</v>
      </c>
    </row>
    <row r="286" spans="1:245" x14ac:dyDescent="0.2">
      <c r="A286" s="2">
        <v>51</v>
      </c>
      <c r="B286" s="2">
        <f>B278</f>
        <v>1</v>
      </c>
      <c r="C286" s="2">
        <f>A278</f>
        <v>5</v>
      </c>
      <c r="D286" s="2">
        <f>ROW(A278)</f>
        <v>278</v>
      </c>
      <c r="E286" s="2"/>
      <c r="F286" s="2" t="str">
        <f>IF(F278&lt;&gt;"",F278,"")</f>
        <v>Новый подраздел</v>
      </c>
      <c r="G286" s="2" t="str">
        <f>IF(G278&lt;&gt;"",G278,"")</f>
        <v>Прочее</v>
      </c>
      <c r="H286" s="2">
        <v>0</v>
      </c>
      <c r="I286" s="2"/>
      <c r="J286" s="2"/>
      <c r="K286" s="2"/>
      <c r="L286" s="2"/>
      <c r="M286" s="2"/>
      <c r="N286" s="2"/>
      <c r="O286" s="2">
        <f t="shared" ref="O286:T286" si="203">ROUND(AB286,2)</f>
        <v>2373.0500000000002</v>
      </c>
      <c r="P286" s="2">
        <f t="shared" si="203"/>
        <v>1970.84</v>
      </c>
      <c r="Q286" s="2">
        <f t="shared" si="203"/>
        <v>0</v>
      </c>
      <c r="R286" s="2">
        <f t="shared" si="203"/>
        <v>0</v>
      </c>
      <c r="S286" s="2">
        <f t="shared" si="203"/>
        <v>402.21</v>
      </c>
      <c r="T286" s="2">
        <f t="shared" si="203"/>
        <v>0</v>
      </c>
      <c r="U286" s="2">
        <f>AH286</f>
        <v>0.92379999999999995</v>
      </c>
      <c r="V286" s="2">
        <f>AI286</f>
        <v>0</v>
      </c>
      <c r="W286" s="2">
        <f>ROUND(AJ286,2)</f>
        <v>0</v>
      </c>
      <c r="X286" s="2">
        <f>ROUND(AK286,2)</f>
        <v>281.55</v>
      </c>
      <c r="Y286" s="2">
        <f>ROUND(AL286,2)</f>
        <v>40.22</v>
      </c>
      <c r="Z286" s="2"/>
      <c r="AA286" s="2"/>
      <c r="AB286" s="2">
        <f>ROUND(SUMIF(AA282:AA284,"=75703208",O282:O284),2)</f>
        <v>2373.0500000000002</v>
      </c>
      <c r="AC286" s="2">
        <f>ROUND(SUMIF(AA282:AA284,"=75703208",P282:P284),2)</f>
        <v>1970.84</v>
      </c>
      <c r="AD286" s="2">
        <f>ROUND(SUMIF(AA282:AA284,"=75703208",Q282:Q284),2)</f>
        <v>0</v>
      </c>
      <c r="AE286" s="2">
        <f>ROUND(SUMIF(AA282:AA284,"=75703208",R282:R284),2)</f>
        <v>0</v>
      </c>
      <c r="AF286" s="2">
        <f>ROUND(SUMIF(AA282:AA284,"=75703208",S282:S284),2)</f>
        <v>402.21</v>
      </c>
      <c r="AG286" s="2">
        <f>ROUND(SUMIF(AA282:AA284,"=75703208",T282:T284),2)</f>
        <v>0</v>
      </c>
      <c r="AH286" s="2">
        <f>SUMIF(AA282:AA284,"=75703208",U282:U284)</f>
        <v>0.92379999999999995</v>
      </c>
      <c r="AI286" s="2">
        <f>SUMIF(AA282:AA284,"=75703208",V282:V284)</f>
        <v>0</v>
      </c>
      <c r="AJ286" s="2">
        <f>ROUND(SUMIF(AA282:AA284,"=75703208",W282:W284),2)</f>
        <v>0</v>
      </c>
      <c r="AK286" s="2">
        <f>ROUND(SUMIF(AA282:AA284,"=75703208",X282:X284),2)</f>
        <v>281.55</v>
      </c>
      <c r="AL286" s="2">
        <f>ROUND(SUMIF(AA282:AA284,"=75703208",Y282:Y284),2)</f>
        <v>40.22</v>
      </c>
      <c r="AM286" s="2"/>
      <c r="AN286" s="2"/>
      <c r="AO286" s="2">
        <f t="shared" ref="AO286:BD286" si="204">ROUND(BX286,2)</f>
        <v>0</v>
      </c>
      <c r="AP286" s="2">
        <f t="shared" si="204"/>
        <v>0</v>
      </c>
      <c r="AQ286" s="2">
        <f t="shared" si="204"/>
        <v>0</v>
      </c>
      <c r="AR286" s="2">
        <f t="shared" si="204"/>
        <v>2694.82</v>
      </c>
      <c r="AS286" s="2">
        <f t="shared" si="204"/>
        <v>0</v>
      </c>
      <c r="AT286" s="2">
        <f t="shared" si="204"/>
        <v>0</v>
      </c>
      <c r="AU286" s="2">
        <f t="shared" si="204"/>
        <v>2694.82</v>
      </c>
      <c r="AV286" s="2">
        <f t="shared" si="204"/>
        <v>1970.84</v>
      </c>
      <c r="AW286" s="2">
        <f t="shared" si="204"/>
        <v>1970.84</v>
      </c>
      <c r="AX286" s="2">
        <f t="shared" si="204"/>
        <v>0</v>
      </c>
      <c r="AY286" s="2">
        <f t="shared" si="204"/>
        <v>1970.84</v>
      </c>
      <c r="AZ286" s="2">
        <f t="shared" si="204"/>
        <v>0</v>
      </c>
      <c r="BA286" s="2">
        <f t="shared" si="204"/>
        <v>0</v>
      </c>
      <c r="BB286" s="2">
        <f t="shared" si="204"/>
        <v>0</v>
      </c>
      <c r="BC286" s="2">
        <f t="shared" si="204"/>
        <v>0</v>
      </c>
      <c r="BD286" s="2">
        <f t="shared" si="204"/>
        <v>0</v>
      </c>
      <c r="BE286" s="2"/>
      <c r="BF286" s="2"/>
      <c r="BG286" s="2"/>
      <c r="BH286" s="2"/>
      <c r="BI286" s="2"/>
      <c r="BJ286" s="2"/>
      <c r="BK286" s="2"/>
      <c r="BL286" s="2"/>
      <c r="BM286" s="2"/>
      <c r="BN286" s="2"/>
      <c r="BO286" s="2"/>
      <c r="BP286" s="2"/>
      <c r="BQ286" s="2"/>
      <c r="BR286" s="2"/>
      <c r="BS286" s="2"/>
      <c r="BT286" s="2"/>
      <c r="BU286" s="2"/>
      <c r="BV286" s="2"/>
      <c r="BW286" s="2"/>
      <c r="BX286" s="2">
        <f>ROUND(SUMIF(AA282:AA284,"=75703208",FQ282:FQ284),2)</f>
        <v>0</v>
      </c>
      <c r="BY286" s="2">
        <f>ROUND(SUMIF(AA282:AA284,"=75703208",FR282:FR284),2)</f>
        <v>0</v>
      </c>
      <c r="BZ286" s="2">
        <f>ROUND(SUMIF(AA282:AA284,"=75703208",GL282:GL284),2)</f>
        <v>0</v>
      </c>
      <c r="CA286" s="2">
        <f>ROUND(SUMIF(AA282:AA284,"=75703208",GM282:GM284),2)</f>
        <v>2694.82</v>
      </c>
      <c r="CB286" s="2">
        <f>ROUND(SUMIF(AA282:AA284,"=75703208",GN282:GN284),2)</f>
        <v>0</v>
      </c>
      <c r="CC286" s="2">
        <f>ROUND(SUMIF(AA282:AA284,"=75703208",GO282:GO284),2)</f>
        <v>0</v>
      </c>
      <c r="CD286" s="2">
        <f>ROUND(SUMIF(AA282:AA284,"=75703208",GP282:GP284),2)</f>
        <v>2694.82</v>
      </c>
      <c r="CE286" s="2">
        <f>AC286-BX286</f>
        <v>1970.84</v>
      </c>
      <c r="CF286" s="2">
        <f>AC286-BY286</f>
        <v>1970.84</v>
      </c>
      <c r="CG286" s="2">
        <f>BX286-BZ286</f>
        <v>0</v>
      </c>
      <c r="CH286" s="2">
        <f>AC286-BX286-BY286+BZ286</f>
        <v>1970.84</v>
      </c>
      <c r="CI286" s="2">
        <f>BY286-BZ286</f>
        <v>0</v>
      </c>
      <c r="CJ286" s="2">
        <f>ROUND(SUMIF(AA282:AA284,"=75703208",GX282:GX284),2)</f>
        <v>0</v>
      </c>
      <c r="CK286" s="2">
        <f>ROUND(SUMIF(AA282:AA284,"=75703208",GY282:GY284),2)</f>
        <v>0</v>
      </c>
      <c r="CL286" s="2">
        <f>ROUND(SUMIF(AA282:AA284,"=75703208",GZ282:GZ284),2)</f>
        <v>0</v>
      </c>
      <c r="CM286" s="2">
        <f>ROUND(SUMIF(AA282:AA284,"=75703208",HD282:HD284),2)</f>
        <v>0</v>
      </c>
      <c r="CN286" s="2"/>
      <c r="CO286" s="2"/>
      <c r="CP286" s="2"/>
      <c r="CQ286" s="2"/>
      <c r="CR286" s="2"/>
      <c r="CS286" s="2"/>
      <c r="CT286" s="2"/>
      <c r="CU286" s="2"/>
      <c r="CV286" s="2"/>
      <c r="CW286" s="2"/>
      <c r="CX286" s="2"/>
      <c r="CY286" s="2"/>
      <c r="CZ286" s="2"/>
      <c r="DA286" s="2"/>
      <c r="DB286" s="2"/>
      <c r="DC286" s="2"/>
      <c r="DD286" s="2"/>
      <c r="DE286" s="2"/>
      <c r="DF286" s="2"/>
      <c r="DG286" s="3"/>
      <c r="DH286" s="3"/>
      <c r="DI286" s="3"/>
      <c r="DJ286" s="3"/>
      <c r="DK286" s="3"/>
      <c r="DL286" s="3"/>
      <c r="DM286" s="3"/>
      <c r="DN286" s="3"/>
      <c r="DO286" s="3"/>
      <c r="DP286" s="3"/>
      <c r="DQ286" s="3"/>
      <c r="DR286" s="3"/>
      <c r="DS286" s="3"/>
      <c r="DT286" s="3"/>
      <c r="DU286" s="3"/>
      <c r="DV286" s="3"/>
      <c r="DW286" s="3"/>
      <c r="DX286" s="3"/>
      <c r="DY286" s="3"/>
      <c r="DZ286" s="3"/>
      <c r="EA286" s="3"/>
      <c r="EB286" s="3"/>
      <c r="EC286" s="3"/>
      <c r="ED286" s="3"/>
      <c r="EE286" s="3"/>
      <c r="EF286" s="3"/>
      <c r="EG286" s="3"/>
      <c r="EH286" s="3"/>
      <c r="EI286" s="3"/>
      <c r="EJ286" s="3"/>
      <c r="EK286" s="3"/>
      <c r="EL286" s="3"/>
      <c r="EM286" s="3"/>
      <c r="EN286" s="3"/>
      <c r="EO286" s="3"/>
      <c r="EP286" s="3"/>
      <c r="EQ286" s="3"/>
      <c r="ER286" s="3"/>
      <c r="ES286" s="3"/>
      <c r="ET286" s="3"/>
      <c r="EU286" s="3"/>
      <c r="EV286" s="3"/>
      <c r="EW286" s="3"/>
      <c r="EX286" s="3"/>
      <c r="EY286" s="3"/>
      <c r="EZ286" s="3"/>
      <c r="FA286" s="3"/>
      <c r="FB286" s="3"/>
      <c r="FC286" s="3"/>
      <c r="FD286" s="3"/>
      <c r="FE286" s="3"/>
      <c r="FF286" s="3"/>
      <c r="FG286" s="3"/>
      <c r="FH286" s="3"/>
      <c r="FI286" s="3"/>
      <c r="FJ286" s="3"/>
      <c r="FK286" s="3"/>
      <c r="FL286" s="3"/>
      <c r="FM286" s="3"/>
      <c r="FN286" s="3"/>
      <c r="FO286" s="3"/>
      <c r="FP286" s="3"/>
      <c r="FQ286" s="3"/>
      <c r="FR286" s="3"/>
      <c r="FS286" s="3"/>
      <c r="FT286" s="3"/>
      <c r="FU286" s="3"/>
      <c r="FV286" s="3"/>
      <c r="FW286" s="3"/>
      <c r="FX286" s="3"/>
      <c r="FY286" s="3"/>
      <c r="FZ286" s="3"/>
      <c r="GA286" s="3"/>
      <c r="GB286" s="3"/>
      <c r="GC286" s="3"/>
      <c r="GD286" s="3"/>
      <c r="GE286" s="3"/>
      <c r="GF286" s="3"/>
      <c r="GG286" s="3"/>
      <c r="GH286" s="3"/>
      <c r="GI286" s="3"/>
      <c r="GJ286" s="3"/>
      <c r="GK286" s="3"/>
      <c r="GL286" s="3"/>
      <c r="GM286" s="3"/>
      <c r="GN286" s="3"/>
      <c r="GO286" s="3"/>
      <c r="GP286" s="3"/>
      <c r="GQ286" s="3"/>
      <c r="GR286" s="3"/>
      <c r="GS286" s="3"/>
      <c r="GT286" s="3"/>
      <c r="GU286" s="3"/>
      <c r="GV286" s="3"/>
      <c r="GW286" s="3"/>
      <c r="GX286" s="3">
        <v>0</v>
      </c>
    </row>
    <row r="288" spans="1:245" x14ac:dyDescent="0.2">
      <c r="A288" s="4">
        <v>50</v>
      </c>
      <c r="B288" s="4">
        <v>0</v>
      </c>
      <c r="C288" s="4">
        <v>0</v>
      </c>
      <c r="D288" s="4">
        <v>1</v>
      </c>
      <c r="E288" s="4">
        <v>201</v>
      </c>
      <c r="F288" s="4">
        <f>ROUND(Source!O286,O288)</f>
        <v>2373.0500000000002</v>
      </c>
      <c r="G288" s="4" t="s">
        <v>86</v>
      </c>
      <c r="H288" s="4" t="s">
        <v>87</v>
      </c>
      <c r="I288" s="4"/>
      <c r="J288" s="4"/>
      <c r="K288" s="4">
        <v>201</v>
      </c>
      <c r="L288" s="4">
        <v>1</v>
      </c>
      <c r="M288" s="4">
        <v>3</v>
      </c>
      <c r="N288" s="4" t="s">
        <v>3</v>
      </c>
      <c r="O288" s="4">
        <v>2</v>
      </c>
      <c r="P288" s="4"/>
      <c r="Q288" s="4"/>
      <c r="R288" s="4"/>
      <c r="S288" s="4"/>
      <c r="T288" s="4"/>
      <c r="U288" s="4"/>
      <c r="V288" s="4"/>
      <c r="W288" s="4">
        <v>2373.0500000000002</v>
      </c>
      <c r="X288" s="4">
        <v>1</v>
      </c>
      <c r="Y288" s="4">
        <v>2373.0500000000002</v>
      </c>
      <c r="Z288" s="4"/>
      <c r="AA288" s="4"/>
      <c r="AB288" s="4"/>
    </row>
    <row r="289" spans="1:28" x14ac:dyDescent="0.2">
      <c r="A289" s="4">
        <v>50</v>
      </c>
      <c r="B289" s="4">
        <v>0</v>
      </c>
      <c r="C289" s="4">
        <v>0</v>
      </c>
      <c r="D289" s="4">
        <v>1</v>
      </c>
      <c r="E289" s="4">
        <v>202</v>
      </c>
      <c r="F289" s="4">
        <f>ROUND(Source!P286,O289)</f>
        <v>1970.84</v>
      </c>
      <c r="G289" s="4" t="s">
        <v>88</v>
      </c>
      <c r="H289" s="4" t="s">
        <v>89</v>
      </c>
      <c r="I289" s="4"/>
      <c r="J289" s="4"/>
      <c r="K289" s="4">
        <v>202</v>
      </c>
      <c r="L289" s="4">
        <v>2</v>
      </c>
      <c r="M289" s="4">
        <v>3</v>
      </c>
      <c r="N289" s="4" t="s">
        <v>3</v>
      </c>
      <c r="O289" s="4">
        <v>2</v>
      </c>
      <c r="P289" s="4"/>
      <c r="Q289" s="4"/>
      <c r="R289" s="4"/>
      <c r="S289" s="4"/>
      <c r="T289" s="4"/>
      <c r="U289" s="4"/>
      <c r="V289" s="4"/>
      <c r="W289" s="4">
        <v>1970.84</v>
      </c>
      <c r="X289" s="4">
        <v>1</v>
      </c>
      <c r="Y289" s="4">
        <v>1970.84</v>
      </c>
      <c r="Z289" s="4"/>
      <c r="AA289" s="4"/>
      <c r="AB289" s="4"/>
    </row>
    <row r="290" spans="1:28" x14ac:dyDescent="0.2">
      <c r="A290" s="4">
        <v>50</v>
      </c>
      <c r="B290" s="4">
        <v>0</v>
      </c>
      <c r="C290" s="4">
        <v>0</v>
      </c>
      <c r="D290" s="4">
        <v>1</v>
      </c>
      <c r="E290" s="4">
        <v>222</v>
      </c>
      <c r="F290" s="4">
        <f>ROUND(Source!AO286,O290)</f>
        <v>0</v>
      </c>
      <c r="G290" s="4" t="s">
        <v>90</v>
      </c>
      <c r="H290" s="4" t="s">
        <v>91</v>
      </c>
      <c r="I290" s="4"/>
      <c r="J290" s="4"/>
      <c r="K290" s="4">
        <v>222</v>
      </c>
      <c r="L290" s="4">
        <v>3</v>
      </c>
      <c r="M290" s="4">
        <v>3</v>
      </c>
      <c r="N290" s="4" t="s">
        <v>3</v>
      </c>
      <c r="O290" s="4">
        <v>2</v>
      </c>
      <c r="P290" s="4"/>
      <c r="Q290" s="4"/>
      <c r="R290" s="4"/>
      <c r="S290" s="4"/>
      <c r="T290" s="4"/>
      <c r="U290" s="4"/>
      <c r="V290" s="4"/>
      <c r="W290" s="4">
        <v>0</v>
      </c>
      <c r="X290" s="4">
        <v>1</v>
      </c>
      <c r="Y290" s="4">
        <v>0</v>
      </c>
      <c r="Z290" s="4"/>
      <c r="AA290" s="4"/>
      <c r="AB290" s="4"/>
    </row>
    <row r="291" spans="1:28" x14ac:dyDescent="0.2">
      <c r="A291" s="4">
        <v>50</v>
      </c>
      <c r="B291" s="4">
        <v>0</v>
      </c>
      <c r="C291" s="4">
        <v>0</v>
      </c>
      <c r="D291" s="4">
        <v>1</v>
      </c>
      <c r="E291" s="4">
        <v>225</v>
      </c>
      <c r="F291" s="4">
        <f>ROUND(Source!AV286,O291)</f>
        <v>1970.84</v>
      </c>
      <c r="G291" s="4" t="s">
        <v>92</v>
      </c>
      <c r="H291" s="4" t="s">
        <v>93</v>
      </c>
      <c r="I291" s="4"/>
      <c r="J291" s="4"/>
      <c r="K291" s="4">
        <v>225</v>
      </c>
      <c r="L291" s="4">
        <v>4</v>
      </c>
      <c r="M291" s="4">
        <v>3</v>
      </c>
      <c r="N291" s="4" t="s">
        <v>3</v>
      </c>
      <c r="O291" s="4">
        <v>2</v>
      </c>
      <c r="P291" s="4"/>
      <c r="Q291" s="4"/>
      <c r="R291" s="4"/>
      <c r="S291" s="4"/>
      <c r="T291" s="4"/>
      <c r="U291" s="4"/>
      <c r="V291" s="4"/>
      <c r="W291" s="4">
        <v>1970.84</v>
      </c>
      <c r="X291" s="4">
        <v>1</v>
      </c>
      <c r="Y291" s="4">
        <v>1970.84</v>
      </c>
      <c r="Z291" s="4"/>
      <c r="AA291" s="4"/>
      <c r="AB291" s="4"/>
    </row>
    <row r="292" spans="1:28" x14ac:dyDescent="0.2">
      <c r="A292" s="4">
        <v>50</v>
      </c>
      <c r="B292" s="4">
        <v>0</v>
      </c>
      <c r="C292" s="4">
        <v>0</v>
      </c>
      <c r="D292" s="4">
        <v>1</v>
      </c>
      <c r="E292" s="4">
        <v>226</v>
      </c>
      <c r="F292" s="4">
        <f>ROUND(Source!AW286,O292)</f>
        <v>1970.84</v>
      </c>
      <c r="G292" s="4" t="s">
        <v>94</v>
      </c>
      <c r="H292" s="4" t="s">
        <v>95</v>
      </c>
      <c r="I292" s="4"/>
      <c r="J292" s="4"/>
      <c r="K292" s="4">
        <v>226</v>
      </c>
      <c r="L292" s="4">
        <v>5</v>
      </c>
      <c r="M292" s="4">
        <v>3</v>
      </c>
      <c r="N292" s="4" t="s">
        <v>3</v>
      </c>
      <c r="O292" s="4">
        <v>2</v>
      </c>
      <c r="P292" s="4"/>
      <c r="Q292" s="4"/>
      <c r="R292" s="4"/>
      <c r="S292" s="4"/>
      <c r="T292" s="4"/>
      <c r="U292" s="4"/>
      <c r="V292" s="4"/>
      <c r="W292" s="4">
        <v>1970.84</v>
      </c>
      <c r="X292" s="4">
        <v>1</v>
      </c>
      <c r="Y292" s="4">
        <v>1970.84</v>
      </c>
      <c r="Z292" s="4"/>
      <c r="AA292" s="4"/>
      <c r="AB292" s="4"/>
    </row>
    <row r="293" spans="1:28" x14ac:dyDescent="0.2">
      <c r="A293" s="4">
        <v>50</v>
      </c>
      <c r="B293" s="4">
        <v>0</v>
      </c>
      <c r="C293" s="4">
        <v>0</v>
      </c>
      <c r="D293" s="4">
        <v>1</v>
      </c>
      <c r="E293" s="4">
        <v>227</v>
      </c>
      <c r="F293" s="4">
        <f>ROUND(Source!AX286,O293)</f>
        <v>0</v>
      </c>
      <c r="G293" s="4" t="s">
        <v>96</v>
      </c>
      <c r="H293" s="4" t="s">
        <v>97</v>
      </c>
      <c r="I293" s="4"/>
      <c r="J293" s="4"/>
      <c r="K293" s="4">
        <v>227</v>
      </c>
      <c r="L293" s="4">
        <v>6</v>
      </c>
      <c r="M293" s="4">
        <v>3</v>
      </c>
      <c r="N293" s="4" t="s">
        <v>3</v>
      </c>
      <c r="O293" s="4">
        <v>2</v>
      </c>
      <c r="P293" s="4"/>
      <c r="Q293" s="4"/>
      <c r="R293" s="4"/>
      <c r="S293" s="4"/>
      <c r="T293" s="4"/>
      <c r="U293" s="4"/>
      <c r="V293" s="4"/>
      <c r="W293" s="4">
        <v>0</v>
      </c>
      <c r="X293" s="4">
        <v>1</v>
      </c>
      <c r="Y293" s="4">
        <v>0</v>
      </c>
      <c r="Z293" s="4"/>
      <c r="AA293" s="4"/>
      <c r="AB293" s="4"/>
    </row>
    <row r="294" spans="1:28" x14ac:dyDescent="0.2">
      <c r="A294" s="4">
        <v>50</v>
      </c>
      <c r="B294" s="4">
        <v>0</v>
      </c>
      <c r="C294" s="4">
        <v>0</v>
      </c>
      <c r="D294" s="4">
        <v>1</v>
      </c>
      <c r="E294" s="4">
        <v>228</v>
      </c>
      <c r="F294" s="4">
        <f>ROUND(Source!AY286,O294)</f>
        <v>1970.84</v>
      </c>
      <c r="G294" s="4" t="s">
        <v>98</v>
      </c>
      <c r="H294" s="4" t="s">
        <v>99</v>
      </c>
      <c r="I294" s="4"/>
      <c r="J294" s="4"/>
      <c r="K294" s="4">
        <v>228</v>
      </c>
      <c r="L294" s="4">
        <v>7</v>
      </c>
      <c r="M294" s="4">
        <v>3</v>
      </c>
      <c r="N294" s="4" t="s">
        <v>3</v>
      </c>
      <c r="O294" s="4">
        <v>2</v>
      </c>
      <c r="P294" s="4"/>
      <c r="Q294" s="4"/>
      <c r="R294" s="4"/>
      <c r="S294" s="4"/>
      <c r="T294" s="4"/>
      <c r="U294" s="4"/>
      <c r="V294" s="4"/>
      <c r="W294" s="4">
        <v>1970.84</v>
      </c>
      <c r="X294" s="4">
        <v>1</v>
      </c>
      <c r="Y294" s="4">
        <v>1970.84</v>
      </c>
      <c r="Z294" s="4"/>
      <c r="AA294" s="4"/>
      <c r="AB294" s="4"/>
    </row>
    <row r="295" spans="1:28" x14ac:dyDescent="0.2">
      <c r="A295" s="4">
        <v>50</v>
      </c>
      <c r="B295" s="4">
        <v>0</v>
      </c>
      <c r="C295" s="4">
        <v>0</v>
      </c>
      <c r="D295" s="4">
        <v>1</v>
      </c>
      <c r="E295" s="4">
        <v>216</v>
      </c>
      <c r="F295" s="4">
        <f>ROUND(Source!AP286,O295)</f>
        <v>0</v>
      </c>
      <c r="G295" s="4" t="s">
        <v>100</v>
      </c>
      <c r="H295" s="4" t="s">
        <v>101</v>
      </c>
      <c r="I295" s="4"/>
      <c r="J295" s="4"/>
      <c r="K295" s="4">
        <v>216</v>
      </c>
      <c r="L295" s="4">
        <v>8</v>
      </c>
      <c r="M295" s="4">
        <v>3</v>
      </c>
      <c r="N295" s="4" t="s">
        <v>3</v>
      </c>
      <c r="O295" s="4">
        <v>2</v>
      </c>
      <c r="P295" s="4"/>
      <c r="Q295" s="4"/>
      <c r="R295" s="4"/>
      <c r="S295" s="4"/>
      <c r="T295" s="4"/>
      <c r="U295" s="4"/>
      <c r="V295" s="4"/>
      <c r="W295" s="4">
        <v>0</v>
      </c>
      <c r="X295" s="4">
        <v>1</v>
      </c>
      <c r="Y295" s="4">
        <v>0</v>
      </c>
      <c r="Z295" s="4"/>
      <c r="AA295" s="4"/>
      <c r="AB295" s="4"/>
    </row>
    <row r="296" spans="1:28" x14ac:dyDescent="0.2">
      <c r="A296" s="4">
        <v>50</v>
      </c>
      <c r="B296" s="4">
        <v>0</v>
      </c>
      <c r="C296" s="4">
        <v>0</v>
      </c>
      <c r="D296" s="4">
        <v>1</v>
      </c>
      <c r="E296" s="4">
        <v>223</v>
      </c>
      <c r="F296" s="4">
        <f>ROUND(Source!AQ286,O296)</f>
        <v>0</v>
      </c>
      <c r="G296" s="4" t="s">
        <v>102</v>
      </c>
      <c r="H296" s="4" t="s">
        <v>103</v>
      </c>
      <c r="I296" s="4"/>
      <c r="J296" s="4"/>
      <c r="K296" s="4">
        <v>223</v>
      </c>
      <c r="L296" s="4">
        <v>9</v>
      </c>
      <c r="M296" s="4">
        <v>3</v>
      </c>
      <c r="N296" s="4" t="s">
        <v>3</v>
      </c>
      <c r="O296" s="4">
        <v>2</v>
      </c>
      <c r="P296" s="4"/>
      <c r="Q296" s="4"/>
      <c r="R296" s="4"/>
      <c r="S296" s="4"/>
      <c r="T296" s="4"/>
      <c r="U296" s="4"/>
      <c r="V296" s="4"/>
      <c r="W296" s="4">
        <v>0</v>
      </c>
      <c r="X296" s="4">
        <v>1</v>
      </c>
      <c r="Y296" s="4">
        <v>0</v>
      </c>
      <c r="Z296" s="4"/>
      <c r="AA296" s="4"/>
      <c r="AB296" s="4"/>
    </row>
    <row r="297" spans="1:28" x14ac:dyDescent="0.2">
      <c r="A297" s="4">
        <v>50</v>
      </c>
      <c r="B297" s="4">
        <v>0</v>
      </c>
      <c r="C297" s="4">
        <v>0</v>
      </c>
      <c r="D297" s="4">
        <v>1</v>
      </c>
      <c r="E297" s="4">
        <v>229</v>
      </c>
      <c r="F297" s="4">
        <f>ROUND(Source!AZ286,O297)</f>
        <v>0</v>
      </c>
      <c r="G297" s="4" t="s">
        <v>104</v>
      </c>
      <c r="H297" s="4" t="s">
        <v>105</v>
      </c>
      <c r="I297" s="4"/>
      <c r="J297" s="4"/>
      <c r="K297" s="4">
        <v>229</v>
      </c>
      <c r="L297" s="4">
        <v>10</v>
      </c>
      <c r="M297" s="4">
        <v>3</v>
      </c>
      <c r="N297" s="4" t="s">
        <v>3</v>
      </c>
      <c r="O297" s="4">
        <v>2</v>
      </c>
      <c r="P297" s="4"/>
      <c r="Q297" s="4"/>
      <c r="R297" s="4"/>
      <c r="S297" s="4"/>
      <c r="T297" s="4"/>
      <c r="U297" s="4"/>
      <c r="V297" s="4"/>
      <c r="W297" s="4">
        <v>0</v>
      </c>
      <c r="X297" s="4">
        <v>1</v>
      </c>
      <c r="Y297" s="4">
        <v>0</v>
      </c>
      <c r="Z297" s="4"/>
      <c r="AA297" s="4"/>
      <c r="AB297" s="4"/>
    </row>
    <row r="298" spans="1:28" x14ac:dyDescent="0.2">
      <c r="A298" s="4">
        <v>50</v>
      </c>
      <c r="B298" s="4">
        <v>0</v>
      </c>
      <c r="C298" s="4">
        <v>0</v>
      </c>
      <c r="D298" s="4">
        <v>1</v>
      </c>
      <c r="E298" s="4">
        <v>203</v>
      </c>
      <c r="F298" s="4">
        <f>ROUND(Source!Q286,O298)</f>
        <v>0</v>
      </c>
      <c r="G298" s="4" t="s">
        <v>106</v>
      </c>
      <c r="H298" s="4" t="s">
        <v>107</v>
      </c>
      <c r="I298" s="4"/>
      <c r="J298" s="4"/>
      <c r="K298" s="4">
        <v>203</v>
      </c>
      <c r="L298" s="4">
        <v>11</v>
      </c>
      <c r="M298" s="4">
        <v>3</v>
      </c>
      <c r="N298" s="4" t="s">
        <v>3</v>
      </c>
      <c r="O298" s="4">
        <v>2</v>
      </c>
      <c r="P298" s="4"/>
      <c r="Q298" s="4"/>
      <c r="R298" s="4"/>
      <c r="S298" s="4"/>
      <c r="T298" s="4"/>
      <c r="U298" s="4"/>
      <c r="V298" s="4"/>
      <c r="W298" s="4">
        <v>0</v>
      </c>
      <c r="X298" s="4">
        <v>1</v>
      </c>
      <c r="Y298" s="4">
        <v>0</v>
      </c>
      <c r="Z298" s="4"/>
      <c r="AA298" s="4"/>
      <c r="AB298" s="4"/>
    </row>
    <row r="299" spans="1:28" x14ac:dyDescent="0.2">
      <c r="A299" s="4">
        <v>50</v>
      </c>
      <c r="B299" s="4">
        <v>0</v>
      </c>
      <c r="C299" s="4">
        <v>0</v>
      </c>
      <c r="D299" s="4">
        <v>1</v>
      </c>
      <c r="E299" s="4">
        <v>231</v>
      </c>
      <c r="F299" s="4">
        <f>ROUND(Source!BB286,O299)</f>
        <v>0</v>
      </c>
      <c r="G299" s="4" t="s">
        <v>108</v>
      </c>
      <c r="H299" s="4" t="s">
        <v>109</v>
      </c>
      <c r="I299" s="4"/>
      <c r="J299" s="4"/>
      <c r="K299" s="4">
        <v>231</v>
      </c>
      <c r="L299" s="4">
        <v>12</v>
      </c>
      <c r="M299" s="4">
        <v>3</v>
      </c>
      <c r="N299" s="4" t="s">
        <v>3</v>
      </c>
      <c r="O299" s="4">
        <v>2</v>
      </c>
      <c r="P299" s="4"/>
      <c r="Q299" s="4"/>
      <c r="R299" s="4"/>
      <c r="S299" s="4"/>
      <c r="T299" s="4"/>
      <c r="U299" s="4"/>
      <c r="V299" s="4"/>
      <c r="W299" s="4">
        <v>0</v>
      </c>
      <c r="X299" s="4">
        <v>1</v>
      </c>
      <c r="Y299" s="4">
        <v>0</v>
      </c>
      <c r="Z299" s="4"/>
      <c r="AA299" s="4"/>
      <c r="AB299" s="4"/>
    </row>
    <row r="300" spans="1:28" x14ac:dyDescent="0.2">
      <c r="A300" s="4">
        <v>50</v>
      </c>
      <c r="B300" s="4">
        <v>0</v>
      </c>
      <c r="C300" s="4">
        <v>0</v>
      </c>
      <c r="D300" s="4">
        <v>1</v>
      </c>
      <c r="E300" s="4">
        <v>204</v>
      </c>
      <c r="F300" s="4">
        <f>ROUND(Source!R286,O300)</f>
        <v>0</v>
      </c>
      <c r="G300" s="4" t="s">
        <v>110</v>
      </c>
      <c r="H300" s="4" t="s">
        <v>111</v>
      </c>
      <c r="I300" s="4"/>
      <c r="J300" s="4"/>
      <c r="K300" s="4">
        <v>204</v>
      </c>
      <c r="L300" s="4">
        <v>13</v>
      </c>
      <c r="M300" s="4">
        <v>3</v>
      </c>
      <c r="N300" s="4" t="s">
        <v>3</v>
      </c>
      <c r="O300" s="4">
        <v>2</v>
      </c>
      <c r="P300" s="4"/>
      <c r="Q300" s="4"/>
      <c r="R300" s="4"/>
      <c r="S300" s="4"/>
      <c r="T300" s="4"/>
      <c r="U300" s="4"/>
      <c r="V300" s="4"/>
      <c r="W300" s="4">
        <v>0</v>
      </c>
      <c r="X300" s="4">
        <v>1</v>
      </c>
      <c r="Y300" s="4">
        <v>0</v>
      </c>
      <c r="Z300" s="4"/>
      <c r="AA300" s="4"/>
      <c r="AB300" s="4"/>
    </row>
    <row r="301" spans="1:28" x14ac:dyDescent="0.2">
      <c r="A301" s="4">
        <v>50</v>
      </c>
      <c r="B301" s="4">
        <v>0</v>
      </c>
      <c r="C301" s="4">
        <v>0</v>
      </c>
      <c r="D301" s="4">
        <v>1</v>
      </c>
      <c r="E301" s="4">
        <v>205</v>
      </c>
      <c r="F301" s="4">
        <f>ROUND(Source!S286,O301)</f>
        <v>402.21</v>
      </c>
      <c r="G301" s="4" t="s">
        <v>112</v>
      </c>
      <c r="H301" s="4" t="s">
        <v>113</v>
      </c>
      <c r="I301" s="4"/>
      <c r="J301" s="4"/>
      <c r="K301" s="4">
        <v>205</v>
      </c>
      <c r="L301" s="4">
        <v>14</v>
      </c>
      <c r="M301" s="4">
        <v>3</v>
      </c>
      <c r="N301" s="4" t="s">
        <v>3</v>
      </c>
      <c r="O301" s="4">
        <v>2</v>
      </c>
      <c r="P301" s="4"/>
      <c r="Q301" s="4"/>
      <c r="R301" s="4"/>
      <c r="S301" s="4"/>
      <c r="T301" s="4"/>
      <c r="U301" s="4"/>
      <c r="V301" s="4"/>
      <c r="W301" s="4">
        <v>402.21</v>
      </c>
      <c r="X301" s="4">
        <v>1</v>
      </c>
      <c r="Y301" s="4">
        <v>402.21</v>
      </c>
      <c r="Z301" s="4"/>
      <c r="AA301" s="4"/>
      <c r="AB301" s="4"/>
    </row>
    <row r="302" spans="1:28" x14ac:dyDescent="0.2">
      <c r="A302" s="4">
        <v>50</v>
      </c>
      <c r="B302" s="4">
        <v>0</v>
      </c>
      <c r="C302" s="4">
        <v>0</v>
      </c>
      <c r="D302" s="4">
        <v>1</v>
      </c>
      <c r="E302" s="4">
        <v>232</v>
      </c>
      <c r="F302" s="4">
        <f>ROUND(Source!BC286,O302)</f>
        <v>0</v>
      </c>
      <c r="G302" s="4" t="s">
        <v>114</v>
      </c>
      <c r="H302" s="4" t="s">
        <v>115</v>
      </c>
      <c r="I302" s="4"/>
      <c r="J302" s="4"/>
      <c r="K302" s="4">
        <v>232</v>
      </c>
      <c r="L302" s="4">
        <v>15</v>
      </c>
      <c r="M302" s="4">
        <v>3</v>
      </c>
      <c r="N302" s="4" t="s">
        <v>3</v>
      </c>
      <c r="O302" s="4">
        <v>2</v>
      </c>
      <c r="P302" s="4"/>
      <c r="Q302" s="4"/>
      <c r="R302" s="4"/>
      <c r="S302" s="4"/>
      <c r="T302" s="4"/>
      <c r="U302" s="4"/>
      <c r="V302" s="4"/>
      <c r="W302" s="4">
        <v>0</v>
      </c>
      <c r="X302" s="4">
        <v>1</v>
      </c>
      <c r="Y302" s="4">
        <v>0</v>
      </c>
      <c r="Z302" s="4"/>
      <c r="AA302" s="4"/>
      <c r="AB302" s="4"/>
    </row>
    <row r="303" spans="1:28" x14ac:dyDescent="0.2">
      <c r="A303" s="4">
        <v>50</v>
      </c>
      <c r="B303" s="4">
        <v>0</v>
      </c>
      <c r="C303" s="4">
        <v>0</v>
      </c>
      <c r="D303" s="4">
        <v>1</v>
      </c>
      <c r="E303" s="4">
        <v>214</v>
      </c>
      <c r="F303" s="4">
        <f>ROUND(Source!AS286,O303)</f>
        <v>0</v>
      </c>
      <c r="G303" s="4" t="s">
        <v>116</v>
      </c>
      <c r="H303" s="4" t="s">
        <v>117</v>
      </c>
      <c r="I303" s="4"/>
      <c r="J303" s="4"/>
      <c r="K303" s="4">
        <v>214</v>
      </c>
      <c r="L303" s="4">
        <v>16</v>
      </c>
      <c r="M303" s="4">
        <v>3</v>
      </c>
      <c r="N303" s="4" t="s">
        <v>3</v>
      </c>
      <c r="O303" s="4">
        <v>2</v>
      </c>
      <c r="P303" s="4"/>
      <c r="Q303" s="4"/>
      <c r="R303" s="4"/>
      <c r="S303" s="4"/>
      <c r="T303" s="4"/>
      <c r="U303" s="4"/>
      <c r="V303" s="4"/>
      <c r="W303" s="4">
        <v>0</v>
      </c>
      <c r="X303" s="4">
        <v>1</v>
      </c>
      <c r="Y303" s="4">
        <v>0</v>
      </c>
      <c r="Z303" s="4"/>
      <c r="AA303" s="4"/>
      <c r="AB303" s="4"/>
    </row>
    <row r="304" spans="1:28" x14ac:dyDescent="0.2">
      <c r="A304" s="4">
        <v>50</v>
      </c>
      <c r="B304" s="4">
        <v>0</v>
      </c>
      <c r="C304" s="4">
        <v>0</v>
      </c>
      <c r="D304" s="4">
        <v>1</v>
      </c>
      <c r="E304" s="4">
        <v>215</v>
      </c>
      <c r="F304" s="4">
        <f>ROUND(Source!AT286,O304)</f>
        <v>0</v>
      </c>
      <c r="G304" s="4" t="s">
        <v>118</v>
      </c>
      <c r="H304" s="4" t="s">
        <v>119</v>
      </c>
      <c r="I304" s="4"/>
      <c r="J304" s="4"/>
      <c r="K304" s="4">
        <v>215</v>
      </c>
      <c r="L304" s="4">
        <v>17</v>
      </c>
      <c r="M304" s="4">
        <v>3</v>
      </c>
      <c r="N304" s="4" t="s">
        <v>3</v>
      </c>
      <c r="O304" s="4">
        <v>2</v>
      </c>
      <c r="P304" s="4"/>
      <c r="Q304" s="4"/>
      <c r="R304" s="4"/>
      <c r="S304" s="4"/>
      <c r="T304" s="4"/>
      <c r="U304" s="4"/>
      <c r="V304" s="4"/>
      <c r="W304" s="4">
        <v>0</v>
      </c>
      <c r="X304" s="4">
        <v>1</v>
      </c>
      <c r="Y304" s="4">
        <v>0</v>
      </c>
      <c r="Z304" s="4"/>
      <c r="AA304" s="4"/>
      <c r="AB304" s="4"/>
    </row>
    <row r="305" spans="1:206" x14ac:dyDescent="0.2">
      <c r="A305" s="4">
        <v>50</v>
      </c>
      <c r="B305" s="4">
        <v>0</v>
      </c>
      <c r="C305" s="4">
        <v>0</v>
      </c>
      <c r="D305" s="4">
        <v>1</v>
      </c>
      <c r="E305" s="4">
        <v>217</v>
      </c>
      <c r="F305" s="4">
        <f>ROUND(Source!AU286,O305)</f>
        <v>2694.82</v>
      </c>
      <c r="G305" s="4" t="s">
        <v>120</v>
      </c>
      <c r="H305" s="4" t="s">
        <v>121</v>
      </c>
      <c r="I305" s="4"/>
      <c r="J305" s="4"/>
      <c r="K305" s="4">
        <v>217</v>
      </c>
      <c r="L305" s="4">
        <v>18</v>
      </c>
      <c r="M305" s="4">
        <v>3</v>
      </c>
      <c r="N305" s="4" t="s">
        <v>3</v>
      </c>
      <c r="O305" s="4">
        <v>2</v>
      </c>
      <c r="P305" s="4"/>
      <c r="Q305" s="4"/>
      <c r="R305" s="4"/>
      <c r="S305" s="4"/>
      <c r="T305" s="4"/>
      <c r="U305" s="4"/>
      <c r="V305" s="4"/>
      <c r="W305" s="4">
        <v>2694.82</v>
      </c>
      <c r="X305" s="4">
        <v>1</v>
      </c>
      <c r="Y305" s="4">
        <v>2694.82</v>
      </c>
      <c r="Z305" s="4"/>
      <c r="AA305" s="4"/>
      <c r="AB305" s="4"/>
    </row>
    <row r="306" spans="1:206" x14ac:dyDescent="0.2">
      <c r="A306" s="4">
        <v>50</v>
      </c>
      <c r="B306" s="4">
        <v>0</v>
      </c>
      <c r="C306" s="4">
        <v>0</v>
      </c>
      <c r="D306" s="4">
        <v>1</v>
      </c>
      <c r="E306" s="4">
        <v>230</v>
      </c>
      <c r="F306" s="4">
        <f>ROUND(Source!BA286,O306)</f>
        <v>0</v>
      </c>
      <c r="G306" s="4" t="s">
        <v>122</v>
      </c>
      <c r="H306" s="4" t="s">
        <v>123</v>
      </c>
      <c r="I306" s="4"/>
      <c r="J306" s="4"/>
      <c r="K306" s="4">
        <v>230</v>
      </c>
      <c r="L306" s="4">
        <v>19</v>
      </c>
      <c r="M306" s="4">
        <v>3</v>
      </c>
      <c r="N306" s="4" t="s">
        <v>3</v>
      </c>
      <c r="O306" s="4">
        <v>2</v>
      </c>
      <c r="P306" s="4"/>
      <c r="Q306" s="4"/>
      <c r="R306" s="4"/>
      <c r="S306" s="4"/>
      <c r="T306" s="4"/>
      <c r="U306" s="4"/>
      <c r="V306" s="4"/>
      <c r="W306" s="4">
        <v>0</v>
      </c>
      <c r="X306" s="4">
        <v>1</v>
      </c>
      <c r="Y306" s="4">
        <v>0</v>
      </c>
      <c r="Z306" s="4"/>
      <c r="AA306" s="4"/>
      <c r="AB306" s="4"/>
    </row>
    <row r="307" spans="1:206" x14ac:dyDescent="0.2">
      <c r="A307" s="4">
        <v>50</v>
      </c>
      <c r="B307" s="4">
        <v>0</v>
      </c>
      <c r="C307" s="4">
        <v>0</v>
      </c>
      <c r="D307" s="4">
        <v>1</v>
      </c>
      <c r="E307" s="4">
        <v>206</v>
      </c>
      <c r="F307" s="4">
        <f>ROUND(Source!T286,O307)</f>
        <v>0</v>
      </c>
      <c r="G307" s="4" t="s">
        <v>124</v>
      </c>
      <c r="H307" s="4" t="s">
        <v>125</v>
      </c>
      <c r="I307" s="4"/>
      <c r="J307" s="4"/>
      <c r="K307" s="4">
        <v>206</v>
      </c>
      <c r="L307" s="4">
        <v>20</v>
      </c>
      <c r="M307" s="4">
        <v>3</v>
      </c>
      <c r="N307" s="4" t="s">
        <v>3</v>
      </c>
      <c r="O307" s="4">
        <v>2</v>
      </c>
      <c r="P307" s="4"/>
      <c r="Q307" s="4"/>
      <c r="R307" s="4"/>
      <c r="S307" s="4"/>
      <c r="T307" s="4"/>
      <c r="U307" s="4"/>
      <c r="V307" s="4"/>
      <c r="W307" s="4">
        <v>0</v>
      </c>
      <c r="X307" s="4">
        <v>1</v>
      </c>
      <c r="Y307" s="4">
        <v>0</v>
      </c>
      <c r="Z307" s="4"/>
      <c r="AA307" s="4"/>
      <c r="AB307" s="4"/>
    </row>
    <row r="308" spans="1:206" x14ac:dyDescent="0.2">
      <c r="A308" s="4">
        <v>50</v>
      </c>
      <c r="B308" s="4">
        <v>0</v>
      </c>
      <c r="C308" s="4">
        <v>0</v>
      </c>
      <c r="D308" s="4">
        <v>1</v>
      </c>
      <c r="E308" s="4">
        <v>207</v>
      </c>
      <c r="F308" s="4">
        <f>Source!U286</f>
        <v>0.92379999999999995</v>
      </c>
      <c r="G308" s="4" t="s">
        <v>126</v>
      </c>
      <c r="H308" s="4" t="s">
        <v>127</v>
      </c>
      <c r="I308" s="4"/>
      <c r="J308" s="4"/>
      <c r="K308" s="4">
        <v>207</v>
      </c>
      <c r="L308" s="4">
        <v>21</v>
      </c>
      <c r="M308" s="4">
        <v>3</v>
      </c>
      <c r="N308" s="4" t="s">
        <v>3</v>
      </c>
      <c r="O308" s="4">
        <v>-1</v>
      </c>
      <c r="P308" s="4"/>
      <c r="Q308" s="4"/>
      <c r="R308" s="4"/>
      <c r="S308" s="4"/>
      <c r="T308" s="4"/>
      <c r="U308" s="4"/>
      <c r="V308" s="4"/>
      <c r="W308" s="4">
        <v>0.92379999999999995</v>
      </c>
      <c r="X308" s="4">
        <v>1</v>
      </c>
      <c r="Y308" s="4">
        <v>0.92379999999999995</v>
      </c>
      <c r="Z308" s="4"/>
      <c r="AA308" s="4"/>
      <c r="AB308" s="4"/>
    </row>
    <row r="309" spans="1:206" x14ac:dyDescent="0.2">
      <c r="A309" s="4">
        <v>50</v>
      </c>
      <c r="B309" s="4">
        <v>0</v>
      </c>
      <c r="C309" s="4">
        <v>0</v>
      </c>
      <c r="D309" s="4">
        <v>1</v>
      </c>
      <c r="E309" s="4">
        <v>208</v>
      </c>
      <c r="F309" s="4">
        <f>Source!V286</f>
        <v>0</v>
      </c>
      <c r="G309" s="4" t="s">
        <v>128</v>
      </c>
      <c r="H309" s="4" t="s">
        <v>129</v>
      </c>
      <c r="I309" s="4"/>
      <c r="J309" s="4"/>
      <c r="K309" s="4">
        <v>208</v>
      </c>
      <c r="L309" s="4">
        <v>22</v>
      </c>
      <c r="M309" s="4">
        <v>3</v>
      </c>
      <c r="N309" s="4" t="s">
        <v>3</v>
      </c>
      <c r="O309" s="4">
        <v>-1</v>
      </c>
      <c r="P309" s="4"/>
      <c r="Q309" s="4"/>
      <c r="R309" s="4"/>
      <c r="S309" s="4"/>
      <c r="T309" s="4"/>
      <c r="U309" s="4"/>
      <c r="V309" s="4"/>
      <c r="W309" s="4">
        <v>0</v>
      </c>
      <c r="X309" s="4">
        <v>1</v>
      </c>
      <c r="Y309" s="4">
        <v>0</v>
      </c>
      <c r="Z309" s="4"/>
      <c r="AA309" s="4"/>
      <c r="AB309" s="4"/>
    </row>
    <row r="310" spans="1:206" x14ac:dyDescent="0.2">
      <c r="A310" s="4">
        <v>50</v>
      </c>
      <c r="B310" s="4">
        <v>0</v>
      </c>
      <c r="C310" s="4">
        <v>0</v>
      </c>
      <c r="D310" s="4">
        <v>1</v>
      </c>
      <c r="E310" s="4">
        <v>209</v>
      </c>
      <c r="F310" s="4">
        <f>ROUND(Source!W286,O310)</f>
        <v>0</v>
      </c>
      <c r="G310" s="4" t="s">
        <v>130</v>
      </c>
      <c r="H310" s="4" t="s">
        <v>131</v>
      </c>
      <c r="I310" s="4"/>
      <c r="J310" s="4"/>
      <c r="K310" s="4">
        <v>209</v>
      </c>
      <c r="L310" s="4">
        <v>23</v>
      </c>
      <c r="M310" s="4">
        <v>3</v>
      </c>
      <c r="N310" s="4" t="s">
        <v>3</v>
      </c>
      <c r="O310" s="4">
        <v>2</v>
      </c>
      <c r="P310" s="4"/>
      <c r="Q310" s="4"/>
      <c r="R310" s="4"/>
      <c r="S310" s="4"/>
      <c r="T310" s="4"/>
      <c r="U310" s="4"/>
      <c r="V310" s="4"/>
      <c r="W310" s="4">
        <v>0</v>
      </c>
      <c r="X310" s="4">
        <v>1</v>
      </c>
      <c r="Y310" s="4">
        <v>0</v>
      </c>
      <c r="Z310" s="4"/>
      <c r="AA310" s="4"/>
      <c r="AB310" s="4"/>
    </row>
    <row r="311" spans="1:206" x14ac:dyDescent="0.2">
      <c r="A311" s="4">
        <v>50</v>
      </c>
      <c r="B311" s="4">
        <v>0</v>
      </c>
      <c r="C311" s="4">
        <v>0</v>
      </c>
      <c r="D311" s="4">
        <v>1</v>
      </c>
      <c r="E311" s="4">
        <v>233</v>
      </c>
      <c r="F311" s="4">
        <f>ROUND(Source!BD286,O311)</f>
        <v>0</v>
      </c>
      <c r="G311" s="4" t="s">
        <v>132</v>
      </c>
      <c r="H311" s="4" t="s">
        <v>133</v>
      </c>
      <c r="I311" s="4"/>
      <c r="J311" s="4"/>
      <c r="K311" s="4">
        <v>233</v>
      </c>
      <c r="L311" s="4">
        <v>24</v>
      </c>
      <c r="M311" s="4">
        <v>3</v>
      </c>
      <c r="N311" s="4" t="s">
        <v>3</v>
      </c>
      <c r="O311" s="4">
        <v>2</v>
      </c>
      <c r="P311" s="4"/>
      <c r="Q311" s="4"/>
      <c r="R311" s="4"/>
      <c r="S311" s="4"/>
      <c r="T311" s="4"/>
      <c r="U311" s="4"/>
      <c r="V311" s="4"/>
      <c r="W311" s="4">
        <v>0</v>
      </c>
      <c r="X311" s="4">
        <v>1</v>
      </c>
      <c r="Y311" s="4">
        <v>0</v>
      </c>
      <c r="Z311" s="4"/>
      <c r="AA311" s="4"/>
      <c r="AB311" s="4"/>
    </row>
    <row r="312" spans="1:206" x14ac:dyDescent="0.2">
      <c r="A312" s="4">
        <v>50</v>
      </c>
      <c r="B312" s="4">
        <v>0</v>
      </c>
      <c r="C312" s="4">
        <v>0</v>
      </c>
      <c r="D312" s="4">
        <v>1</v>
      </c>
      <c r="E312" s="4">
        <v>210</v>
      </c>
      <c r="F312" s="4">
        <f>ROUND(Source!X286,O312)</f>
        <v>281.55</v>
      </c>
      <c r="G312" s="4" t="s">
        <v>134</v>
      </c>
      <c r="H312" s="4" t="s">
        <v>135</v>
      </c>
      <c r="I312" s="4"/>
      <c r="J312" s="4"/>
      <c r="K312" s="4">
        <v>210</v>
      </c>
      <c r="L312" s="4">
        <v>25</v>
      </c>
      <c r="M312" s="4">
        <v>3</v>
      </c>
      <c r="N312" s="4" t="s">
        <v>3</v>
      </c>
      <c r="O312" s="4">
        <v>2</v>
      </c>
      <c r="P312" s="4"/>
      <c r="Q312" s="4"/>
      <c r="R312" s="4"/>
      <c r="S312" s="4"/>
      <c r="T312" s="4"/>
      <c r="U312" s="4"/>
      <c r="V312" s="4"/>
      <c r="W312" s="4">
        <v>281.55</v>
      </c>
      <c r="X312" s="4">
        <v>1</v>
      </c>
      <c r="Y312" s="4">
        <v>281.55</v>
      </c>
      <c r="Z312" s="4"/>
      <c r="AA312" s="4"/>
      <c r="AB312" s="4"/>
    </row>
    <row r="313" spans="1:206" x14ac:dyDescent="0.2">
      <c r="A313" s="4">
        <v>50</v>
      </c>
      <c r="B313" s="4">
        <v>0</v>
      </c>
      <c r="C313" s="4">
        <v>0</v>
      </c>
      <c r="D313" s="4">
        <v>1</v>
      </c>
      <c r="E313" s="4">
        <v>211</v>
      </c>
      <c r="F313" s="4">
        <f>ROUND(Source!Y286,O313)</f>
        <v>40.22</v>
      </c>
      <c r="G313" s="4" t="s">
        <v>136</v>
      </c>
      <c r="H313" s="4" t="s">
        <v>137</v>
      </c>
      <c r="I313" s="4"/>
      <c r="J313" s="4"/>
      <c r="K313" s="4">
        <v>211</v>
      </c>
      <c r="L313" s="4">
        <v>26</v>
      </c>
      <c r="M313" s="4">
        <v>3</v>
      </c>
      <c r="N313" s="4" t="s">
        <v>3</v>
      </c>
      <c r="O313" s="4">
        <v>2</v>
      </c>
      <c r="P313" s="4"/>
      <c r="Q313" s="4"/>
      <c r="R313" s="4"/>
      <c r="S313" s="4"/>
      <c r="T313" s="4"/>
      <c r="U313" s="4"/>
      <c r="V313" s="4"/>
      <c r="W313" s="4">
        <v>40.22</v>
      </c>
      <c r="X313" s="4">
        <v>1</v>
      </c>
      <c r="Y313" s="4">
        <v>40.22</v>
      </c>
      <c r="Z313" s="4"/>
      <c r="AA313" s="4"/>
      <c r="AB313" s="4"/>
    </row>
    <row r="314" spans="1:206" x14ac:dyDescent="0.2">
      <c r="A314" s="4">
        <v>50</v>
      </c>
      <c r="B314" s="4">
        <v>0</v>
      </c>
      <c r="C314" s="4">
        <v>0</v>
      </c>
      <c r="D314" s="4">
        <v>1</v>
      </c>
      <c r="E314" s="4">
        <v>224</v>
      </c>
      <c r="F314" s="4">
        <f>ROUND(Source!AR286,O314)</f>
        <v>2694.82</v>
      </c>
      <c r="G314" s="4" t="s">
        <v>138</v>
      </c>
      <c r="H314" s="4" t="s">
        <v>139</v>
      </c>
      <c r="I314" s="4"/>
      <c r="J314" s="4"/>
      <c r="K314" s="4">
        <v>224</v>
      </c>
      <c r="L314" s="4">
        <v>27</v>
      </c>
      <c r="M314" s="4">
        <v>3</v>
      </c>
      <c r="N314" s="4" t="s">
        <v>3</v>
      </c>
      <c r="O314" s="4">
        <v>2</v>
      </c>
      <c r="P314" s="4"/>
      <c r="Q314" s="4"/>
      <c r="R314" s="4"/>
      <c r="S314" s="4"/>
      <c r="T314" s="4"/>
      <c r="U314" s="4"/>
      <c r="V314" s="4"/>
      <c r="W314" s="4">
        <v>2694.82</v>
      </c>
      <c r="X314" s="4">
        <v>1</v>
      </c>
      <c r="Y314" s="4">
        <v>2694.82</v>
      </c>
      <c r="Z314" s="4"/>
      <c r="AA314" s="4"/>
      <c r="AB314" s="4"/>
    </row>
    <row r="316" spans="1:206" x14ac:dyDescent="0.2">
      <c r="A316" s="2">
        <v>51</v>
      </c>
      <c r="B316" s="2">
        <f>B24</f>
        <v>1</v>
      </c>
      <c r="C316" s="2">
        <f>A24</f>
        <v>4</v>
      </c>
      <c r="D316" s="2">
        <f>ROW(A24)</f>
        <v>24</v>
      </c>
      <c r="E316" s="2"/>
      <c r="F316" s="2" t="str">
        <f>IF(F24&lt;&gt;"",F24,"")</f>
        <v>Новый раздел</v>
      </c>
      <c r="G316" s="2" t="str">
        <f>IF(G24&lt;&gt;"",G24,"")</f>
        <v>Второй этаж, кабинет № 204</v>
      </c>
      <c r="H316" s="2">
        <v>0</v>
      </c>
      <c r="I316" s="2"/>
      <c r="J316" s="2"/>
      <c r="K316" s="2"/>
      <c r="L316" s="2"/>
      <c r="M316" s="2"/>
      <c r="N316" s="2"/>
      <c r="O316" s="2">
        <f t="shared" ref="O316:T316" si="205">ROUND(O48+O85+O121+O162+O210+O248+O286+AB316,2)</f>
        <v>197490.53</v>
      </c>
      <c r="P316" s="2">
        <f t="shared" si="205"/>
        <v>139272.47</v>
      </c>
      <c r="Q316" s="2">
        <f t="shared" si="205"/>
        <v>573.6</v>
      </c>
      <c r="R316" s="2">
        <f t="shared" si="205"/>
        <v>17.100000000000001</v>
      </c>
      <c r="S316" s="2">
        <f t="shared" si="205"/>
        <v>57644.46</v>
      </c>
      <c r="T316" s="2">
        <f t="shared" si="205"/>
        <v>0</v>
      </c>
      <c r="U316" s="2">
        <f>U48+U85+U121+U162+U210+U248+U286+AH316</f>
        <v>125.126169</v>
      </c>
      <c r="V316" s="2">
        <f>V48+V85+V121+V162+V210+V248+V286+AI316</f>
        <v>0</v>
      </c>
      <c r="W316" s="2">
        <f>ROUND(W48+W85+W121+W162+W210+W248+W286+AJ316,2)</f>
        <v>0</v>
      </c>
      <c r="X316" s="2">
        <f>ROUND(X48+X85+X121+X162+X210+X248+X286+AK316,2)</f>
        <v>40351.129999999997</v>
      </c>
      <c r="Y316" s="2">
        <f>ROUND(Y48+Y85+Y121+Y162+Y210+Y248+Y286+AL316,2)</f>
        <v>5764.46</v>
      </c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>
        <f t="shared" ref="AO316:BD316" si="206">ROUND(AO48+AO85+AO121+AO162+AO210+AO248+AO286+BX316,2)</f>
        <v>0</v>
      </c>
      <c r="AP316" s="2">
        <f t="shared" si="206"/>
        <v>0</v>
      </c>
      <c r="AQ316" s="2">
        <f t="shared" si="206"/>
        <v>0</v>
      </c>
      <c r="AR316" s="2">
        <f t="shared" si="206"/>
        <v>243624.59</v>
      </c>
      <c r="AS316" s="2">
        <f t="shared" si="206"/>
        <v>0</v>
      </c>
      <c r="AT316" s="2">
        <f t="shared" si="206"/>
        <v>0</v>
      </c>
      <c r="AU316" s="2">
        <f t="shared" si="206"/>
        <v>243624.59</v>
      </c>
      <c r="AV316" s="2">
        <f t="shared" si="206"/>
        <v>139272.47</v>
      </c>
      <c r="AW316" s="2">
        <f t="shared" si="206"/>
        <v>139272.47</v>
      </c>
      <c r="AX316" s="2">
        <f t="shared" si="206"/>
        <v>0</v>
      </c>
      <c r="AY316" s="2">
        <f t="shared" si="206"/>
        <v>139272.47</v>
      </c>
      <c r="AZ316" s="2">
        <f t="shared" si="206"/>
        <v>0</v>
      </c>
      <c r="BA316" s="2">
        <f t="shared" si="206"/>
        <v>0</v>
      </c>
      <c r="BB316" s="2">
        <f t="shared" si="206"/>
        <v>0</v>
      </c>
      <c r="BC316" s="2">
        <f t="shared" si="206"/>
        <v>0</v>
      </c>
      <c r="BD316" s="2">
        <f t="shared" si="206"/>
        <v>0</v>
      </c>
      <c r="BE316" s="2"/>
      <c r="BF316" s="2"/>
      <c r="BG316" s="2"/>
      <c r="BH316" s="2"/>
      <c r="BI316" s="2"/>
      <c r="BJ316" s="2"/>
      <c r="BK316" s="2"/>
      <c r="BL316" s="2"/>
      <c r="BM316" s="2"/>
      <c r="BN316" s="2"/>
      <c r="BO316" s="2"/>
      <c r="BP316" s="2"/>
      <c r="BQ316" s="2"/>
      <c r="BR316" s="2"/>
      <c r="BS316" s="2"/>
      <c r="BT316" s="2"/>
      <c r="BU316" s="2"/>
      <c r="BV316" s="2"/>
      <c r="BW316" s="2"/>
      <c r="BX316" s="2"/>
      <c r="BY316" s="2"/>
      <c r="BZ316" s="2"/>
      <c r="CA316" s="2"/>
      <c r="CB316" s="2"/>
      <c r="CC316" s="2"/>
      <c r="CD316" s="2"/>
      <c r="CE316" s="2"/>
      <c r="CF316" s="2"/>
      <c r="CG316" s="2"/>
      <c r="CH316" s="2"/>
      <c r="CI316" s="2"/>
      <c r="CJ316" s="2"/>
      <c r="CK316" s="2"/>
      <c r="CL316" s="2"/>
      <c r="CM316" s="2"/>
      <c r="CN316" s="2"/>
      <c r="CO316" s="2"/>
      <c r="CP316" s="2"/>
      <c r="CQ316" s="2"/>
      <c r="CR316" s="2"/>
      <c r="CS316" s="2"/>
      <c r="CT316" s="2"/>
      <c r="CU316" s="2"/>
      <c r="CV316" s="2"/>
      <c r="CW316" s="2"/>
      <c r="CX316" s="2"/>
      <c r="CY316" s="2"/>
      <c r="CZ316" s="2"/>
      <c r="DA316" s="2"/>
      <c r="DB316" s="2"/>
      <c r="DC316" s="2"/>
      <c r="DD316" s="2"/>
      <c r="DE316" s="2"/>
      <c r="DF316" s="2"/>
      <c r="DG316" s="3"/>
      <c r="DH316" s="3"/>
      <c r="DI316" s="3"/>
      <c r="DJ316" s="3"/>
      <c r="DK316" s="3"/>
      <c r="DL316" s="3"/>
      <c r="DM316" s="3"/>
      <c r="DN316" s="3"/>
      <c r="DO316" s="3"/>
      <c r="DP316" s="3"/>
      <c r="DQ316" s="3"/>
      <c r="DR316" s="3"/>
      <c r="DS316" s="3"/>
      <c r="DT316" s="3"/>
      <c r="DU316" s="3"/>
      <c r="DV316" s="3"/>
      <c r="DW316" s="3"/>
      <c r="DX316" s="3"/>
      <c r="DY316" s="3"/>
      <c r="DZ316" s="3"/>
      <c r="EA316" s="3"/>
      <c r="EB316" s="3"/>
      <c r="EC316" s="3"/>
      <c r="ED316" s="3"/>
      <c r="EE316" s="3"/>
      <c r="EF316" s="3"/>
      <c r="EG316" s="3"/>
      <c r="EH316" s="3"/>
      <c r="EI316" s="3"/>
      <c r="EJ316" s="3"/>
      <c r="EK316" s="3"/>
      <c r="EL316" s="3"/>
      <c r="EM316" s="3"/>
      <c r="EN316" s="3"/>
      <c r="EO316" s="3"/>
      <c r="EP316" s="3"/>
      <c r="EQ316" s="3"/>
      <c r="ER316" s="3"/>
      <c r="ES316" s="3"/>
      <c r="ET316" s="3"/>
      <c r="EU316" s="3"/>
      <c r="EV316" s="3"/>
      <c r="EW316" s="3"/>
      <c r="EX316" s="3"/>
      <c r="EY316" s="3"/>
      <c r="EZ316" s="3"/>
      <c r="FA316" s="3"/>
      <c r="FB316" s="3"/>
      <c r="FC316" s="3"/>
      <c r="FD316" s="3"/>
      <c r="FE316" s="3"/>
      <c r="FF316" s="3"/>
      <c r="FG316" s="3"/>
      <c r="FH316" s="3"/>
      <c r="FI316" s="3"/>
      <c r="FJ316" s="3"/>
      <c r="FK316" s="3"/>
      <c r="FL316" s="3"/>
      <c r="FM316" s="3"/>
      <c r="FN316" s="3"/>
      <c r="FO316" s="3"/>
      <c r="FP316" s="3"/>
      <c r="FQ316" s="3"/>
      <c r="FR316" s="3"/>
      <c r="FS316" s="3"/>
      <c r="FT316" s="3"/>
      <c r="FU316" s="3"/>
      <c r="FV316" s="3"/>
      <c r="FW316" s="3"/>
      <c r="FX316" s="3"/>
      <c r="FY316" s="3"/>
      <c r="FZ316" s="3"/>
      <c r="GA316" s="3"/>
      <c r="GB316" s="3"/>
      <c r="GC316" s="3"/>
      <c r="GD316" s="3"/>
      <c r="GE316" s="3"/>
      <c r="GF316" s="3"/>
      <c r="GG316" s="3"/>
      <c r="GH316" s="3"/>
      <c r="GI316" s="3"/>
      <c r="GJ316" s="3"/>
      <c r="GK316" s="3"/>
      <c r="GL316" s="3"/>
      <c r="GM316" s="3"/>
      <c r="GN316" s="3"/>
      <c r="GO316" s="3"/>
      <c r="GP316" s="3"/>
      <c r="GQ316" s="3"/>
      <c r="GR316" s="3"/>
      <c r="GS316" s="3"/>
      <c r="GT316" s="3"/>
      <c r="GU316" s="3"/>
      <c r="GV316" s="3"/>
      <c r="GW316" s="3"/>
      <c r="GX316" s="3">
        <v>0</v>
      </c>
    </row>
    <row r="318" spans="1:206" x14ac:dyDescent="0.2">
      <c r="A318" s="4">
        <v>50</v>
      </c>
      <c r="B318" s="4">
        <v>0</v>
      </c>
      <c r="C318" s="4">
        <v>0</v>
      </c>
      <c r="D318" s="4">
        <v>1</v>
      </c>
      <c r="E318" s="4">
        <v>201</v>
      </c>
      <c r="F318" s="4">
        <f>ROUND(Source!O316,O318)</f>
        <v>197490.53</v>
      </c>
      <c r="G318" s="4" t="s">
        <v>86</v>
      </c>
      <c r="H318" s="4" t="s">
        <v>87</v>
      </c>
      <c r="I318" s="4"/>
      <c r="J318" s="4"/>
      <c r="K318" s="4">
        <v>201</v>
      </c>
      <c r="L318" s="4">
        <v>1</v>
      </c>
      <c r="M318" s="4">
        <v>3</v>
      </c>
      <c r="N318" s="4" t="s">
        <v>3</v>
      </c>
      <c r="O318" s="4">
        <v>2</v>
      </c>
      <c r="P318" s="4"/>
      <c r="Q318" s="4"/>
      <c r="R318" s="4"/>
      <c r="S318" s="4"/>
      <c r="T318" s="4"/>
      <c r="U318" s="4"/>
      <c r="V318" s="4"/>
      <c r="W318" s="4">
        <v>197490.53</v>
      </c>
      <c r="X318" s="4">
        <v>1</v>
      </c>
      <c r="Y318" s="4">
        <v>197490.53</v>
      </c>
      <c r="Z318" s="4"/>
      <c r="AA318" s="4"/>
      <c r="AB318" s="4"/>
    </row>
    <row r="319" spans="1:206" x14ac:dyDescent="0.2">
      <c r="A319" s="4">
        <v>50</v>
      </c>
      <c r="B319" s="4">
        <v>0</v>
      </c>
      <c r="C319" s="4">
        <v>0</v>
      </c>
      <c r="D319" s="4">
        <v>1</v>
      </c>
      <c r="E319" s="4">
        <v>202</v>
      </c>
      <c r="F319" s="4">
        <f>ROUND(Source!P316,O319)</f>
        <v>139272.47</v>
      </c>
      <c r="G319" s="4" t="s">
        <v>88</v>
      </c>
      <c r="H319" s="4" t="s">
        <v>89</v>
      </c>
      <c r="I319" s="4"/>
      <c r="J319" s="4"/>
      <c r="K319" s="4">
        <v>202</v>
      </c>
      <c r="L319" s="4">
        <v>2</v>
      </c>
      <c r="M319" s="4">
        <v>3</v>
      </c>
      <c r="N319" s="4" t="s">
        <v>3</v>
      </c>
      <c r="O319" s="4">
        <v>2</v>
      </c>
      <c r="P319" s="4"/>
      <c r="Q319" s="4"/>
      <c r="R319" s="4"/>
      <c r="S319" s="4"/>
      <c r="T319" s="4"/>
      <c r="U319" s="4"/>
      <c r="V319" s="4"/>
      <c r="W319" s="4">
        <v>139272.47</v>
      </c>
      <c r="X319" s="4">
        <v>1</v>
      </c>
      <c r="Y319" s="4">
        <v>139272.47</v>
      </c>
      <c r="Z319" s="4"/>
      <c r="AA319" s="4"/>
      <c r="AB319" s="4"/>
    </row>
    <row r="320" spans="1:206" x14ac:dyDescent="0.2">
      <c r="A320" s="4">
        <v>50</v>
      </c>
      <c r="B320" s="4">
        <v>0</v>
      </c>
      <c r="C320" s="4">
        <v>0</v>
      </c>
      <c r="D320" s="4">
        <v>1</v>
      </c>
      <c r="E320" s="4">
        <v>222</v>
      </c>
      <c r="F320" s="4">
        <f>ROUND(Source!AO316,O320)</f>
        <v>0</v>
      </c>
      <c r="G320" s="4" t="s">
        <v>90</v>
      </c>
      <c r="H320" s="4" t="s">
        <v>91</v>
      </c>
      <c r="I320" s="4"/>
      <c r="J320" s="4"/>
      <c r="K320" s="4">
        <v>222</v>
      </c>
      <c r="L320" s="4">
        <v>3</v>
      </c>
      <c r="M320" s="4">
        <v>3</v>
      </c>
      <c r="N320" s="4" t="s">
        <v>3</v>
      </c>
      <c r="O320" s="4">
        <v>2</v>
      </c>
      <c r="P320" s="4"/>
      <c r="Q320" s="4"/>
      <c r="R320" s="4"/>
      <c r="S320" s="4"/>
      <c r="T320" s="4"/>
      <c r="U320" s="4"/>
      <c r="V320" s="4"/>
      <c r="W320" s="4">
        <v>0</v>
      </c>
      <c r="X320" s="4">
        <v>1</v>
      </c>
      <c r="Y320" s="4">
        <v>0</v>
      </c>
      <c r="Z320" s="4"/>
      <c r="AA320" s="4"/>
      <c r="AB320" s="4"/>
    </row>
    <row r="321" spans="1:28" x14ac:dyDescent="0.2">
      <c r="A321" s="4">
        <v>50</v>
      </c>
      <c r="B321" s="4">
        <v>0</v>
      </c>
      <c r="C321" s="4">
        <v>0</v>
      </c>
      <c r="D321" s="4">
        <v>1</v>
      </c>
      <c r="E321" s="4">
        <v>225</v>
      </c>
      <c r="F321" s="4">
        <f>ROUND(Source!AV316,O321)</f>
        <v>139272.47</v>
      </c>
      <c r="G321" s="4" t="s">
        <v>92</v>
      </c>
      <c r="H321" s="4" t="s">
        <v>93</v>
      </c>
      <c r="I321" s="4"/>
      <c r="J321" s="4"/>
      <c r="K321" s="4">
        <v>225</v>
      </c>
      <c r="L321" s="4">
        <v>4</v>
      </c>
      <c r="M321" s="4">
        <v>3</v>
      </c>
      <c r="N321" s="4" t="s">
        <v>3</v>
      </c>
      <c r="O321" s="4">
        <v>2</v>
      </c>
      <c r="P321" s="4"/>
      <c r="Q321" s="4"/>
      <c r="R321" s="4"/>
      <c r="S321" s="4"/>
      <c r="T321" s="4"/>
      <c r="U321" s="4"/>
      <c r="V321" s="4"/>
      <c r="W321" s="4">
        <v>139272.47</v>
      </c>
      <c r="X321" s="4">
        <v>1</v>
      </c>
      <c r="Y321" s="4">
        <v>139272.47</v>
      </c>
      <c r="Z321" s="4"/>
      <c r="AA321" s="4"/>
      <c r="AB321" s="4"/>
    </row>
    <row r="322" spans="1:28" x14ac:dyDescent="0.2">
      <c r="A322" s="4">
        <v>50</v>
      </c>
      <c r="B322" s="4">
        <v>0</v>
      </c>
      <c r="C322" s="4">
        <v>0</v>
      </c>
      <c r="D322" s="4">
        <v>1</v>
      </c>
      <c r="E322" s="4">
        <v>226</v>
      </c>
      <c r="F322" s="4">
        <f>ROUND(Source!AW316,O322)</f>
        <v>139272.47</v>
      </c>
      <c r="G322" s="4" t="s">
        <v>94</v>
      </c>
      <c r="H322" s="4" t="s">
        <v>95</v>
      </c>
      <c r="I322" s="4"/>
      <c r="J322" s="4"/>
      <c r="K322" s="4">
        <v>226</v>
      </c>
      <c r="L322" s="4">
        <v>5</v>
      </c>
      <c r="M322" s="4">
        <v>3</v>
      </c>
      <c r="N322" s="4" t="s">
        <v>3</v>
      </c>
      <c r="O322" s="4">
        <v>2</v>
      </c>
      <c r="P322" s="4"/>
      <c r="Q322" s="4"/>
      <c r="R322" s="4"/>
      <c r="S322" s="4"/>
      <c r="T322" s="4"/>
      <c r="U322" s="4"/>
      <c r="V322" s="4"/>
      <c r="W322" s="4">
        <v>139272.47</v>
      </c>
      <c r="X322" s="4">
        <v>1</v>
      </c>
      <c r="Y322" s="4">
        <v>139272.47</v>
      </c>
      <c r="Z322" s="4"/>
      <c r="AA322" s="4"/>
      <c r="AB322" s="4"/>
    </row>
    <row r="323" spans="1:28" x14ac:dyDescent="0.2">
      <c r="A323" s="4">
        <v>50</v>
      </c>
      <c r="B323" s="4">
        <v>0</v>
      </c>
      <c r="C323" s="4">
        <v>0</v>
      </c>
      <c r="D323" s="4">
        <v>1</v>
      </c>
      <c r="E323" s="4">
        <v>227</v>
      </c>
      <c r="F323" s="4">
        <f>ROUND(Source!AX316,O323)</f>
        <v>0</v>
      </c>
      <c r="G323" s="4" t="s">
        <v>96</v>
      </c>
      <c r="H323" s="4" t="s">
        <v>97</v>
      </c>
      <c r="I323" s="4"/>
      <c r="J323" s="4"/>
      <c r="K323" s="4">
        <v>227</v>
      </c>
      <c r="L323" s="4">
        <v>6</v>
      </c>
      <c r="M323" s="4">
        <v>3</v>
      </c>
      <c r="N323" s="4" t="s">
        <v>3</v>
      </c>
      <c r="O323" s="4">
        <v>2</v>
      </c>
      <c r="P323" s="4"/>
      <c r="Q323" s="4"/>
      <c r="R323" s="4"/>
      <c r="S323" s="4"/>
      <c r="T323" s="4"/>
      <c r="U323" s="4"/>
      <c r="V323" s="4"/>
      <c r="W323" s="4">
        <v>0</v>
      </c>
      <c r="X323" s="4">
        <v>1</v>
      </c>
      <c r="Y323" s="4">
        <v>0</v>
      </c>
      <c r="Z323" s="4"/>
      <c r="AA323" s="4"/>
      <c r="AB323" s="4"/>
    </row>
    <row r="324" spans="1:28" x14ac:dyDescent="0.2">
      <c r="A324" s="4">
        <v>50</v>
      </c>
      <c r="B324" s="4">
        <v>0</v>
      </c>
      <c r="C324" s="4">
        <v>0</v>
      </c>
      <c r="D324" s="4">
        <v>1</v>
      </c>
      <c r="E324" s="4">
        <v>228</v>
      </c>
      <c r="F324" s="4">
        <f>ROUND(Source!AY316,O324)</f>
        <v>139272.47</v>
      </c>
      <c r="G324" s="4" t="s">
        <v>98</v>
      </c>
      <c r="H324" s="4" t="s">
        <v>99</v>
      </c>
      <c r="I324" s="4"/>
      <c r="J324" s="4"/>
      <c r="K324" s="4">
        <v>228</v>
      </c>
      <c r="L324" s="4">
        <v>7</v>
      </c>
      <c r="M324" s="4">
        <v>3</v>
      </c>
      <c r="N324" s="4" t="s">
        <v>3</v>
      </c>
      <c r="O324" s="4">
        <v>2</v>
      </c>
      <c r="P324" s="4"/>
      <c r="Q324" s="4"/>
      <c r="R324" s="4"/>
      <c r="S324" s="4"/>
      <c r="T324" s="4"/>
      <c r="U324" s="4"/>
      <c r="V324" s="4"/>
      <c r="W324" s="4">
        <v>139272.47</v>
      </c>
      <c r="X324" s="4">
        <v>1</v>
      </c>
      <c r="Y324" s="4">
        <v>139272.47</v>
      </c>
      <c r="Z324" s="4"/>
      <c r="AA324" s="4"/>
      <c r="AB324" s="4"/>
    </row>
    <row r="325" spans="1:28" x14ac:dyDescent="0.2">
      <c r="A325" s="4">
        <v>50</v>
      </c>
      <c r="B325" s="4">
        <v>0</v>
      </c>
      <c r="C325" s="4">
        <v>0</v>
      </c>
      <c r="D325" s="4">
        <v>1</v>
      </c>
      <c r="E325" s="4">
        <v>216</v>
      </c>
      <c r="F325" s="4">
        <f>ROUND(Source!AP316,O325)</f>
        <v>0</v>
      </c>
      <c r="G325" s="4" t="s">
        <v>100</v>
      </c>
      <c r="H325" s="4" t="s">
        <v>101</v>
      </c>
      <c r="I325" s="4"/>
      <c r="J325" s="4"/>
      <c r="K325" s="4">
        <v>216</v>
      </c>
      <c r="L325" s="4">
        <v>8</v>
      </c>
      <c r="M325" s="4">
        <v>3</v>
      </c>
      <c r="N325" s="4" t="s">
        <v>3</v>
      </c>
      <c r="O325" s="4">
        <v>2</v>
      </c>
      <c r="P325" s="4"/>
      <c r="Q325" s="4"/>
      <c r="R325" s="4"/>
      <c r="S325" s="4"/>
      <c r="T325" s="4"/>
      <c r="U325" s="4"/>
      <c r="V325" s="4"/>
      <c r="W325" s="4">
        <v>0</v>
      </c>
      <c r="X325" s="4">
        <v>1</v>
      </c>
      <c r="Y325" s="4">
        <v>0</v>
      </c>
      <c r="Z325" s="4"/>
      <c r="AA325" s="4"/>
      <c r="AB325" s="4"/>
    </row>
    <row r="326" spans="1:28" x14ac:dyDescent="0.2">
      <c r="A326" s="4">
        <v>50</v>
      </c>
      <c r="B326" s="4">
        <v>0</v>
      </c>
      <c r="C326" s="4">
        <v>0</v>
      </c>
      <c r="D326" s="4">
        <v>1</v>
      </c>
      <c r="E326" s="4">
        <v>223</v>
      </c>
      <c r="F326" s="4">
        <f>ROUND(Source!AQ316,O326)</f>
        <v>0</v>
      </c>
      <c r="G326" s="4" t="s">
        <v>102</v>
      </c>
      <c r="H326" s="4" t="s">
        <v>103</v>
      </c>
      <c r="I326" s="4"/>
      <c r="J326" s="4"/>
      <c r="K326" s="4">
        <v>223</v>
      </c>
      <c r="L326" s="4">
        <v>9</v>
      </c>
      <c r="M326" s="4">
        <v>3</v>
      </c>
      <c r="N326" s="4" t="s">
        <v>3</v>
      </c>
      <c r="O326" s="4">
        <v>2</v>
      </c>
      <c r="P326" s="4"/>
      <c r="Q326" s="4"/>
      <c r="R326" s="4"/>
      <c r="S326" s="4"/>
      <c r="T326" s="4"/>
      <c r="U326" s="4"/>
      <c r="V326" s="4"/>
      <c r="W326" s="4">
        <v>0</v>
      </c>
      <c r="X326" s="4">
        <v>1</v>
      </c>
      <c r="Y326" s="4">
        <v>0</v>
      </c>
      <c r="Z326" s="4"/>
      <c r="AA326" s="4"/>
      <c r="AB326" s="4"/>
    </row>
    <row r="327" spans="1:28" x14ac:dyDescent="0.2">
      <c r="A327" s="4">
        <v>50</v>
      </c>
      <c r="B327" s="4">
        <v>0</v>
      </c>
      <c r="C327" s="4">
        <v>0</v>
      </c>
      <c r="D327" s="4">
        <v>1</v>
      </c>
      <c r="E327" s="4">
        <v>229</v>
      </c>
      <c r="F327" s="4">
        <f>ROUND(Source!AZ316,O327)</f>
        <v>0</v>
      </c>
      <c r="G327" s="4" t="s">
        <v>104</v>
      </c>
      <c r="H327" s="4" t="s">
        <v>105</v>
      </c>
      <c r="I327" s="4"/>
      <c r="J327" s="4"/>
      <c r="K327" s="4">
        <v>229</v>
      </c>
      <c r="L327" s="4">
        <v>10</v>
      </c>
      <c r="M327" s="4">
        <v>3</v>
      </c>
      <c r="N327" s="4" t="s">
        <v>3</v>
      </c>
      <c r="O327" s="4">
        <v>2</v>
      </c>
      <c r="P327" s="4"/>
      <c r="Q327" s="4"/>
      <c r="R327" s="4"/>
      <c r="S327" s="4"/>
      <c r="T327" s="4"/>
      <c r="U327" s="4"/>
      <c r="V327" s="4"/>
      <c r="W327" s="4">
        <v>0</v>
      </c>
      <c r="X327" s="4">
        <v>1</v>
      </c>
      <c r="Y327" s="4">
        <v>0</v>
      </c>
      <c r="Z327" s="4"/>
      <c r="AA327" s="4"/>
      <c r="AB327" s="4"/>
    </row>
    <row r="328" spans="1:28" x14ac:dyDescent="0.2">
      <c r="A328" s="4">
        <v>50</v>
      </c>
      <c r="B328" s="4">
        <v>0</v>
      </c>
      <c r="C328" s="4">
        <v>0</v>
      </c>
      <c r="D328" s="4">
        <v>1</v>
      </c>
      <c r="E328" s="4">
        <v>203</v>
      </c>
      <c r="F328" s="4">
        <f>ROUND(Source!Q316,O328)</f>
        <v>573.6</v>
      </c>
      <c r="G328" s="4" t="s">
        <v>106</v>
      </c>
      <c r="H328" s="4" t="s">
        <v>107</v>
      </c>
      <c r="I328" s="4"/>
      <c r="J328" s="4"/>
      <c r="K328" s="4">
        <v>203</v>
      </c>
      <c r="L328" s="4">
        <v>11</v>
      </c>
      <c r="M328" s="4">
        <v>3</v>
      </c>
      <c r="N328" s="4" t="s">
        <v>3</v>
      </c>
      <c r="O328" s="4">
        <v>2</v>
      </c>
      <c r="P328" s="4"/>
      <c r="Q328" s="4"/>
      <c r="R328" s="4"/>
      <c r="S328" s="4"/>
      <c r="T328" s="4"/>
      <c r="U328" s="4"/>
      <c r="V328" s="4"/>
      <c r="W328" s="4">
        <v>573.6</v>
      </c>
      <c r="X328" s="4">
        <v>1</v>
      </c>
      <c r="Y328" s="4">
        <v>573.6</v>
      </c>
      <c r="Z328" s="4"/>
      <c r="AA328" s="4"/>
      <c r="AB328" s="4"/>
    </row>
    <row r="329" spans="1:28" x14ac:dyDescent="0.2">
      <c r="A329" s="4">
        <v>50</v>
      </c>
      <c r="B329" s="4">
        <v>0</v>
      </c>
      <c r="C329" s="4">
        <v>0</v>
      </c>
      <c r="D329" s="4">
        <v>1</v>
      </c>
      <c r="E329" s="4">
        <v>231</v>
      </c>
      <c r="F329" s="4">
        <f>ROUND(Source!BB316,O329)</f>
        <v>0</v>
      </c>
      <c r="G329" s="4" t="s">
        <v>108</v>
      </c>
      <c r="H329" s="4" t="s">
        <v>109</v>
      </c>
      <c r="I329" s="4"/>
      <c r="J329" s="4"/>
      <c r="K329" s="4">
        <v>231</v>
      </c>
      <c r="L329" s="4">
        <v>12</v>
      </c>
      <c r="M329" s="4">
        <v>3</v>
      </c>
      <c r="N329" s="4" t="s">
        <v>3</v>
      </c>
      <c r="O329" s="4">
        <v>2</v>
      </c>
      <c r="P329" s="4"/>
      <c r="Q329" s="4"/>
      <c r="R329" s="4"/>
      <c r="S329" s="4"/>
      <c r="T329" s="4"/>
      <c r="U329" s="4"/>
      <c r="V329" s="4"/>
      <c r="W329" s="4">
        <v>0</v>
      </c>
      <c r="X329" s="4">
        <v>1</v>
      </c>
      <c r="Y329" s="4">
        <v>0</v>
      </c>
      <c r="Z329" s="4"/>
      <c r="AA329" s="4"/>
      <c r="AB329" s="4"/>
    </row>
    <row r="330" spans="1:28" x14ac:dyDescent="0.2">
      <c r="A330" s="4">
        <v>50</v>
      </c>
      <c r="B330" s="4">
        <v>0</v>
      </c>
      <c r="C330" s="4">
        <v>0</v>
      </c>
      <c r="D330" s="4">
        <v>1</v>
      </c>
      <c r="E330" s="4">
        <v>204</v>
      </c>
      <c r="F330" s="4">
        <f>ROUND(Source!R316,O330)</f>
        <v>17.100000000000001</v>
      </c>
      <c r="G330" s="4" t="s">
        <v>110</v>
      </c>
      <c r="H330" s="4" t="s">
        <v>111</v>
      </c>
      <c r="I330" s="4"/>
      <c r="J330" s="4"/>
      <c r="K330" s="4">
        <v>204</v>
      </c>
      <c r="L330" s="4">
        <v>13</v>
      </c>
      <c r="M330" s="4">
        <v>3</v>
      </c>
      <c r="N330" s="4" t="s">
        <v>3</v>
      </c>
      <c r="O330" s="4">
        <v>2</v>
      </c>
      <c r="P330" s="4"/>
      <c r="Q330" s="4"/>
      <c r="R330" s="4"/>
      <c r="S330" s="4"/>
      <c r="T330" s="4"/>
      <c r="U330" s="4"/>
      <c r="V330" s="4"/>
      <c r="W330" s="4">
        <v>17.100000000000001</v>
      </c>
      <c r="X330" s="4">
        <v>1</v>
      </c>
      <c r="Y330" s="4">
        <v>17.100000000000001</v>
      </c>
      <c r="Z330" s="4"/>
      <c r="AA330" s="4"/>
      <c r="AB330" s="4"/>
    </row>
    <row r="331" spans="1:28" x14ac:dyDescent="0.2">
      <c r="A331" s="4">
        <v>50</v>
      </c>
      <c r="B331" s="4">
        <v>0</v>
      </c>
      <c r="C331" s="4">
        <v>0</v>
      </c>
      <c r="D331" s="4">
        <v>1</v>
      </c>
      <c r="E331" s="4">
        <v>205</v>
      </c>
      <c r="F331" s="4">
        <f>ROUND(Source!S316,O331)</f>
        <v>57644.46</v>
      </c>
      <c r="G331" s="4" t="s">
        <v>112</v>
      </c>
      <c r="H331" s="4" t="s">
        <v>113</v>
      </c>
      <c r="I331" s="4"/>
      <c r="J331" s="4"/>
      <c r="K331" s="4">
        <v>205</v>
      </c>
      <c r="L331" s="4">
        <v>14</v>
      </c>
      <c r="M331" s="4">
        <v>3</v>
      </c>
      <c r="N331" s="4" t="s">
        <v>3</v>
      </c>
      <c r="O331" s="4">
        <v>2</v>
      </c>
      <c r="P331" s="4"/>
      <c r="Q331" s="4"/>
      <c r="R331" s="4"/>
      <c r="S331" s="4"/>
      <c r="T331" s="4"/>
      <c r="U331" s="4"/>
      <c r="V331" s="4"/>
      <c r="W331" s="4">
        <v>57644.46</v>
      </c>
      <c r="X331" s="4">
        <v>1</v>
      </c>
      <c r="Y331" s="4">
        <v>57644.46</v>
      </c>
      <c r="Z331" s="4"/>
      <c r="AA331" s="4"/>
      <c r="AB331" s="4"/>
    </row>
    <row r="332" spans="1:28" x14ac:dyDescent="0.2">
      <c r="A332" s="4">
        <v>50</v>
      </c>
      <c r="B332" s="4">
        <v>0</v>
      </c>
      <c r="C332" s="4">
        <v>0</v>
      </c>
      <c r="D332" s="4">
        <v>1</v>
      </c>
      <c r="E332" s="4">
        <v>232</v>
      </c>
      <c r="F332" s="4">
        <f>ROUND(Source!BC316,O332)</f>
        <v>0</v>
      </c>
      <c r="G332" s="4" t="s">
        <v>114</v>
      </c>
      <c r="H332" s="4" t="s">
        <v>115</v>
      </c>
      <c r="I332" s="4"/>
      <c r="J332" s="4"/>
      <c r="K332" s="4">
        <v>232</v>
      </c>
      <c r="L332" s="4">
        <v>15</v>
      </c>
      <c r="M332" s="4">
        <v>3</v>
      </c>
      <c r="N332" s="4" t="s">
        <v>3</v>
      </c>
      <c r="O332" s="4">
        <v>2</v>
      </c>
      <c r="P332" s="4"/>
      <c r="Q332" s="4"/>
      <c r="R332" s="4"/>
      <c r="S332" s="4"/>
      <c r="T332" s="4"/>
      <c r="U332" s="4"/>
      <c r="V332" s="4"/>
      <c r="W332" s="4">
        <v>0</v>
      </c>
      <c r="X332" s="4">
        <v>1</v>
      </c>
      <c r="Y332" s="4">
        <v>0</v>
      </c>
      <c r="Z332" s="4"/>
      <c r="AA332" s="4"/>
      <c r="AB332" s="4"/>
    </row>
    <row r="333" spans="1:28" x14ac:dyDescent="0.2">
      <c r="A333" s="4">
        <v>50</v>
      </c>
      <c r="B333" s="4">
        <v>0</v>
      </c>
      <c r="C333" s="4">
        <v>0</v>
      </c>
      <c r="D333" s="4">
        <v>1</v>
      </c>
      <c r="E333" s="4">
        <v>214</v>
      </c>
      <c r="F333" s="4">
        <f>ROUND(Source!AS316,O333)</f>
        <v>0</v>
      </c>
      <c r="G333" s="4" t="s">
        <v>116</v>
      </c>
      <c r="H333" s="4" t="s">
        <v>117</v>
      </c>
      <c r="I333" s="4"/>
      <c r="J333" s="4"/>
      <c r="K333" s="4">
        <v>214</v>
      </c>
      <c r="L333" s="4">
        <v>16</v>
      </c>
      <c r="M333" s="4">
        <v>3</v>
      </c>
      <c r="N333" s="4" t="s">
        <v>3</v>
      </c>
      <c r="O333" s="4">
        <v>2</v>
      </c>
      <c r="P333" s="4"/>
      <c r="Q333" s="4"/>
      <c r="R333" s="4"/>
      <c r="S333" s="4"/>
      <c r="T333" s="4"/>
      <c r="U333" s="4"/>
      <c r="V333" s="4"/>
      <c r="W333" s="4">
        <v>0</v>
      </c>
      <c r="X333" s="4">
        <v>1</v>
      </c>
      <c r="Y333" s="4">
        <v>0</v>
      </c>
      <c r="Z333" s="4"/>
      <c r="AA333" s="4"/>
      <c r="AB333" s="4"/>
    </row>
    <row r="334" spans="1:28" x14ac:dyDescent="0.2">
      <c r="A334" s="4">
        <v>50</v>
      </c>
      <c r="B334" s="4">
        <v>0</v>
      </c>
      <c r="C334" s="4">
        <v>0</v>
      </c>
      <c r="D334" s="4">
        <v>1</v>
      </c>
      <c r="E334" s="4">
        <v>215</v>
      </c>
      <c r="F334" s="4">
        <f>ROUND(Source!AT316,O334)</f>
        <v>0</v>
      </c>
      <c r="G334" s="4" t="s">
        <v>118</v>
      </c>
      <c r="H334" s="4" t="s">
        <v>119</v>
      </c>
      <c r="I334" s="4"/>
      <c r="J334" s="4"/>
      <c r="K334" s="4">
        <v>215</v>
      </c>
      <c r="L334" s="4">
        <v>17</v>
      </c>
      <c r="M334" s="4">
        <v>3</v>
      </c>
      <c r="N334" s="4" t="s">
        <v>3</v>
      </c>
      <c r="O334" s="4">
        <v>2</v>
      </c>
      <c r="P334" s="4"/>
      <c r="Q334" s="4"/>
      <c r="R334" s="4"/>
      <c r="S334" s="4"/>
      <c r="T334" s="4"/>
      <c r="U334" s="4"/>
      <c r="V334" s="4"/>
      <c r="W334" s="4">
        <v>0</v>
      </c>
      <c r="X334" s="4">
        <v>1</v>
      </c>
      <c r="Y334" s="4">
        <v>0</v>
      </c>
      <c r="Z334" s="4"/>
      <c r="AA334" s="4"/>
      <c r="AB334" s="4"/>
    </row>
    <row r="335" spans="1:28" x14ac:dyDescent="0.2">
      <c r="A335" s="4">
        <v>50</v>
      </c>
      <c r="B335" s="4">
        <v>0</v>
      </c>
      <c r="C335" s="4">
        <v>0</v>
      </c>
      <c r="D335" s="4">
        <v>1</v>
      </c>
      <c r="E335" s="4">
        <v>217</v>
      </c>
      <c r="F335" s="4">
        <f>ROUND(Source!AU316,O335)</f>
        <v>243624.59</v>
      </c>
      <c r="G335" s="4" t="s">
        <v>120</v>
      </c>
      <c r="H335" s="4" t="s">
        <v>121</v>
      </c>
      <c r="I335" s="4"/>
      <c r="J335" s="4"/>
      <c r="K335" s="4">
        <v>217</v>
      </c>
      <c r="L335" s="4">
        <v>18</v>
      </c>
      <c r="M335" s="4">
        <v>3</v>
      </c>
      <c r="N335" s="4" t="s">
        <v>3</v>
      </c>
      <c r="O335" s="4">
        <v>2</v>
      </c>
      <c r="P335" s="4"/>
      <c r="Q335" s="4"/>
      <c r="R335" s="4"/>
      <c r="S335" s="4"/>
      <c r="T335" s="4"/>
      <c r="U335" s="4"/>
      <c r="V335" s="4"/>
      <c r="W335" s="4">
        <v>243624.59</v>
      </c>
      <c r="X335" s="4">
        <v>1</v>
      </c>
      <c r="Y335" s="4">
        <v>243624.59</v>
      </c>
      <c r="Z335" s="4"/>
      <c r="AA335" s="4"/>
      <c r="AB335" s="4"/>
    </row>
    <row r="336" spans="1:28" x14ac:dyDescent="0.2">
      <c r="A336" s="4">
        <v>50</v>
      </c>
      <c r="B336" s="4">
        <v>0</v>
      </c>
      <c r="C336" s="4">
        <v>0</v>
      </c>
      <c r="D336" s="4">
        <v>1</v>
      </c>
      <c r="E336" s="4">
        <v>230</v>
      </c>
      <c r="F336" s="4">
        <f>ROUND(Source!BA316,O336)</f>
        <v>0</v>
      </c>
      <c r="G336" s="4" t="s">
        <v>122</v>
      </c>
      <c r="H336" s="4" t="s">
        <v>123</v>
      </c>
      <c r="I336" s="4"/>
      <c r="J336" s="4"/>
      <c r="K336" s="4">
        <v>230</v>
      </c>
      <c r="L336" s="4">
        <v>19</v>
      </c>
      <c r="M336" s="4">
        <v>3</v>
      </c>
      <c r="N336" s="4" t="s">
        <v>3</v>
      </c>
      <c r="O336" s="4">
        <v>2</v>
      </c>
      <c r="P336" s="4"/>
      <c r="Q336" s="4"/>
      <c r="R336" s="4"/>
      <c r="S336" s="4"/>
      <c r="T336" s="4"/>
      <c r="U336" s="4"/>
      <c r="V336" s="4"/>
      <c r="W336" s="4">
        <v>0</v>
      </c>
      <c r="X336" s="4">
        <v>1</v>
      </c>
      <c r="Y336" s="4">
        <v>0</v>
      </c>
      <c r="Z336" s="4"/>
      <c r="AA336" s="4"/>
      <c r="AB336" s="4"/>
    </row>
    <row r="337" spans="1:245" x14ac:dyDescent="0.2">
      <c r="A337" s="4">
        <v>50</v>
      </c>
      <c r="B337" s="4">
        <v>0</v>
      </c>
      <c r="C337" s="4">
        <v>0</v>
      </c>
      <c r="D337" s="4">
        <v>1</v>
      </c>
      <c r="E337" s="4">
        <v>206</v>
      </c>
      <c r="F337" s="4">
        <f>ROUND(Source!T316,O337)</f>
        <v>0</v>
      </c>
      <c r="G337" s="4" t="s">
        <v>124</v>
      </c>
      <c r="H337" s="4" t="s">
        <v>125</v>
      </c>
      <c r="I337" s="4"/>
      <c r="J337" s="4"/>
      <c r="K337" s="4">
        <v>206</v>
      </c>
      <c r="L337" s="4">
        <v>20</v>
      </c>
      <c r="M337" s="4">
        <v>3</v>
      </c>
      <c r="N337" s="4" t="s">
        <v>3</v>
      </c>
      <c r="O337" s="4">
        <v>2</v>
      </c>
      <c r="P337" s="4"/>
      <c r="Q337" s="4"/>
      <c r="R337" s="4"/>
      <c r="S337" s="4"/>
      <c r="T337" s="4"/>
      <c r="U337" s="4"/>
      <c r="V337" s="4"/>
      <c r="W337" s="4">
        <v>0</v>
      </c>
      <c r="X337" s="4">
        <v>1</v>
      </c>
      <c r="Y337" s="4">
        <v>0</v>
      </c>
      <c r="Z337" s="4"/>
      <c r="AA337" s="4"/>
      <c r="AB337" s="4"/>
    </row>
    <row r="338" spans="1:245" x14ac:dyDescent="0.2">
      <c r="A338" s="4">
        <v>50</v>
      </c>
      <c r="B338" s="4">
        <v>0</v>
      </c>
      <c r="C338" s="4">
        <v>0</v>
      </c>
      <c r="D338" s="4">
        <v>1</v>
      </c>
      <c r="E338" s="4">
        <v>207</v>
      </c>
      <c r="F338" s="4">
        <f>Source!U316</f>
        <v>125.126169</v>
      </c>
      <c r="G338" s="4" t="s">
        <v>126</v>
      </c>
      <c r="H338" s="4" t="s">
        <v>127</v>
      </c>
      <c r="I338" s="4"/>
      <c r="J338" s="4"/>
      <c r="K338" s="4">
        <v>207</v>
      </c>
      <c r="L338" s="4">
        <v>21</v>
      </c>
      <c r="M338" s="4">
        <v>3</v>
      </c>
      <c r="N338" s="4" t="s">
        <v>3</v>
      </c>
      <c r="O338" s="4">
        <v>-1</v>
      </c>
      <c r="P338" s="4"/>
      <c r="Q338" s="4"/>
      <c r="R338" s="4"/>
      <c r="S338" s="4"/>
      <c r="T338" s="4"/>
      <c r="U338" s="4"/>
      <c r="V338" s="4"/>
      <c r="W338" s="4">
        <v>125.126169</v>
      </c>
      <c r="X338" s="4">
        <v>1</v>
      </c>
      <c r="Y338" s="4">
        <v>125.126169</v>
      </c>
      <c r="Z338" s="4"/>
      <c r="AA338" s="4"/>
      <c r="AB338" s="4"/>
    </row>
    <row r="339" spans="1:245" x14ac:dyDescent="0.2">
      <c r="A339" s="4">
        <v>50</v>
      </c>
      <c r="B339" s="4">
        <v>0</v>
      </c>
      <c r="C339" s="4">
        <v>0</v>
      </c>
      <c r="D339" s="4">
        <v>1</v>
      </c>
      <c r="E339" s="4">
        <v>208</v>
      </c>
      <c r="F339" s="4">
        <f>Source!V316</f>
        <v>0</v>
      </c>
      <c r="G339" s="4" t="s">
        <v>128</v>
      </c>
      <c r="H339" s="4" t="s">
        <v>129</v>
      </c>
      <c r="I339" s="4"/>
      <c r="J339" s="4"/>
      <c r="K339" s="4">
        <v>208</v>
      </c>
      <c r="L339" s="4">
        <v>22</v>
      </c>
      <c r="M339" s="4">
        <v>3</v>
      </c>
      <c r="N339" s="4" t="s">
        <v>3</v>
      </c>
      <c r="O339" s="4">
        <v>-1</v>
      </c>
      <c r="P339" s="4"/>
      <c r="Q339" s="4"/>
      <c r="R339" s="4"/>
      <c r="S339" s="4"/>
      <c r="T339" s="4"/>
      <c r="U339" s="4"/>
      <c r="V339" s="4"/>
      <c r="W339" s="4">
        <v>0</v>
      </c>
      <c r="X339" s="4">
        <v>1</v>
      </c>
      <c r="Y339" s="4">
        <v>0</v>
      </c>
      <c r="Z339" s="4"/>
      <c r="AA339" s="4"/>
      <c r="AB339" s="4"/>
    </row>
    <row r="340" spans="1:245" x14ac:dyDescent="0.2">
      <c r="A340" s="4">
        <v>50</v>
      </c>
      <c r="B340" s="4">
        <v>0</v>
      </c>
      <c r="C340" s="4">
        <v>0</v>
      </c>
      <c r="D340" s="4">
        <v>1</v>
      </c>
      <c r="E340" s="4">
        <v>209</v>
      </c>
      <c r="F340" s="4">
        <f>ROUND(Source!W316,O340)</f>
        <v>0</v>
      </c>
      <c r="G340" s="4" t="s">
        <v>130</v>
      </c>
      <c r="H340" s="4" t="s">
        <v>131</v>
      </c>
      <c r="I340" s="4"/>
      <c r="J340" s="4"/>
      <c r="K340" s="4">
        <v>209</v>
      </c>
      <c r="L340" s="4">
        <v>23</v>
      </c>
      <c r="M340" s="4">
        <v>3</v>
      </c>
      <c r="N340" s="4" t="s">
        <v>3</v>
      </c>
      <c r="O340" s="4">
        <v>2</v>
      </c>
      <c r="P340" s="4"/>
      <c r="Q340" s="4"/>
      <c r="R340" s="4"/>
      <c r="S340" s="4"/>
      <c r="T340" s="4"/>
      <c r="U340" s="4"/>
      <c r="V340" s="4"/>
      <c r="W340" s="4">
        <v>0</v>
      </c>
      <c r="X340" s="4">
        <v>1</v>
      </c>
      <c r="Y340" s="4">
        <v>0</v>
      </c>
      <c r="Z340" s="4"/>
      <c r="AA340" s="4"/>
      <c r="AB340" s="4"/>
    </row>
    <row r="341" spans="1:245" x14ac:dyDescent="0.2">
      <c r="A341" s="4">
        <v>50</v>
      </c>
      <c r="B341" s="4">
        <v>0</v>
      </c>
      <c r="C341" s="4">
        <v>0</v>
      </c>
      <c r="D341" s="4">
        <v>1</v>
      </c>
      <c r="E341" s="4">
        <v>233</v>
      </c>
      <c r="F341" s="4">
        <f>ROUND(Source!BD316,O341)</f>
        <v>0</v>
      </c>
      <c r="G341" s="4" t="s">
        <v>132</v>
      </c>
      <c r="H341" s="4" t="s">
        <v>133</v>
      </c>
      <c r="I341" s="4"/>
      <c r="J341" s="4"/>
      <c r="K341" s="4">
        <v>233</v>
      </c>
      <c r="L341" s="4">
        <v>24</v>
      </c>
      <c r="M341" s="4">
        <v>3</v>
      </c>
      <c r="N341" s="4" t="s">
        <v>3</v>
      </c>
      <c r="O341" s="4">
        <v>2</v>
      </c>
      <c r="P341" s="4"/>
      <c r="Q341" s="4"/>
      <c r="R341" s="4"/>
      <c r="S341" s="4"/>
      <c r="T341" s="4"/>
      <c r="U341" s="4"/>
      <c r="V341" s="4"/>
      <c r="W341" s="4">
        <v>0</v>
      </c>
      <c r="X341" s="4">
        <v>1</v>
      </c>
      <c r="Y341" s="4">
        <v>0</v>
      </c>
      <c r="Z341" s="4"/>
      <c r="AA341" s="4"/>
      <c r="AB341" s="4"/>
    </row>
    <row r="342" spans="1:245" x14ac:dyDescent="0.2">
      <c r="A342" s="4">
        <v>50</v>
      </c>
      <c r="B342" s="4">
        <v>0</v>
      </c>
      <c r="C342" s="4">
        <v>0</v>
      </c>
      <c r="D342" s="4">
        <v>1</v>
      </c>
      <c r="E342" s="4">
        <v>210</v>
      </c>
      <c r="F342" s="4">
        <f>ROUND(Source!X316,O342)</f>
        <v>40351.129999999997</v>
      </c>
      <c r="G342" s="4" t="s">
        <v>134</v>
      </c>
      <c r="H342" s="4" t="s">
        <v>135</v>
      </c>
      <c r="I342" s="4"/>
      <c r="J342" s="4"/>
      <c r="K342" s="4">
        <v>210</v>
      </c>
      <c r="L342" s="4">
        <v>25</v>
      </c>
      <c r="M342" s="4">
        <v>3</v>
      </c>
      <c r="N342" s="4" t="s">
        <v>3</v>
      </c>
      <c r="O342" s="4">
        <v>2</v>
      </c>
      <c r="P342" s="4"/>
      <c r="Q342" s="4"/>
      <c r="R342" s="4"/>
      <c r="S342" s="4"/>
      <c r="T342" s="4"/>
      <c r="U342" s="4"/>
      <c r="V342" s="4"/>
      <c r="W342" s="4">
        <v>40351.129999999997</v>
      </c>
      <c r="X342" s="4">
        <v>1</v>
      </c>
      <c r="Y342" s="4">
        <v>40351.129999999997</v>
      </c>
      <c r="Z342" s="4"/>
      <c r="AA342" s="4"/>
      <c r="AB342" s="4"/>
    </row>
    <row r="343" spans="1:245" x14ac:dyDescent="0.2">
      <c r="A343" s="4">
        <v>50</v>
      </c>
      <c r="B343" s="4">
        <v>0</v>
      </c>
      <c r="C343" s="4">
        <v>0</v>
      </c>
      <c r="D343" s="4">
        <v>1</v>
      </c>
      <c r="E343" s="4">
        <v>211</v>
      </c>
      <c r="F343" s="4">
        <f>ROUND(Source!Y316,O343)</f>
        <v>5764.46</v>
      </c>
      <c r="G343" s="4" t="s">
        <v>136</v>
      </c>
      <c r="H343" s="4" t="s">
        <v>137</v>
      </c>
      <c r="I343" s="4"/>
      <c r="J343" s="4"/>
      <c r="K343" s="4">
        <v>211</v>
      </c>
      <c r="L343" s="4">
        <v>26</v>
      </c>
      <c r="M343" s="4">
        <v>3</v>
      </c>
      <c r="N343" s="4" t="s">
        <v>3</v>
      </c>
      <c r="O343" s="4">
        <v>2</v>
      </c>
      <c r="P343" s="4"/>
      <c r="Q343" s="4"/>
      <c r="R343" s="4"/>
      <c r="S343" s="4"/>
      <c r="T343" s="4"/>
      <c r="U343" s="4"/>
      <c r="V343" s="4"/>
      <c r="W343" s="4">
        <v>5764.46</v>
      </c>
      <c r="X343" s="4">
        <v>1</v>
      </c>
      <c r="Y343" s="4">
        <v>5764.46</v>
      </c>
      <c r="Z343" s="4"/>
      <c r="AA343" s="4"/>
      <c r="AB343" s="4"/>
    </row>
    <row r="344" spans="1:245" x14ac:dyDescent="0.2">
      <c r="A344" s="4">
        <v>50</v>
      </c>
      <c r="B344" s="4">
        <v>0</v>
      </c>
      <c r="C344" s="4">
        <v>0</v>
      </c>
      <c r="D344" s="4">
        <v>1</v>
      </c>
      <c r="E344" s="4">
        <v>224</v>
      </c>
      <c r="F344" s="4">
        <f>ROUND(Source!AR316,O344)</f>
        <v>243624.59</v>
      </c>
      <c r="G344" s="4" t="s">
        <v>138</v>
      </c>
      <c r="H344" s="4" t="s">
        <v>139</v>
      </c>
      <c r="I344" s="4"/>
      <c r="J344" s="4"/>
      <c r="K344" s="4">
        <v>224</v>
      </c>
      <c r="L344" s="4">
        <v>27</v>
      </c>
      <c r="M344" s="4">
        <v>3</v>
      </c>
      <c r="N344" s="4" t="s">
        <v>3</v>
      </c>
      <c r="O344" s="4">
        <v>2</v>
      </c>
      <c r="P344" s="4"/>
      <c r="Q344" s="4"/>
      <c r="R344" s="4"/>
      <c r="S344" s="4"/>
      <c r="T344" s="4"/>
      <c r="U344" s="4"/>
      <c r="V344" s="4"/>
      <c r="W344" s="4">
        <v>243624.59</v>
      </c>
      <c r="X344" s="4">
        <v>1</v>
      </c>
      <c r="Y344" s="4">
        <v>243624.59</v>
      </c>
      <c r="Z344" s="4"/>
      <c r="AA344" s="4"/>
      <c r="AB344" s="4"/>
    </row>
    <row r="346" spans="1:245" x14ac:dyDescent="0.2">
      <c r="A346" s="1">
        <v>4</v>
      </c>
      <c r="B346" s="1">
        <v>1</v>
      </c>
      <c r="C346" s="1"/>
      <c r="D346" s="1">
        <f>ROW(A354)</f>
        <v>354</v>
      </c>
      <c r="E346" s="1"/>
      <c r="F346" s="1" t="s">
        <v>13</v>
      </c>
      <c r="G346" s="1" t="s">
        <v>254</v>
      </c>
      <c r="H346" s="1" t="s">
        <v>3</v>
      </c>
      <c r="I346" s="1">
        <v>0</v>
      </c>
      <c r="J346" s="1"/>
      <c r="K346" s="1">
        <v>0</v>
      </c>
      <c r="L346" s="1"/>
      <c r="M346" s="1" t="s">
        <v>3</v>
      </c>
      <c r="N346" s="1"/>
      <c r="O346" s="1"/>
      <c r="P346" s="1"/>
      <c r="Q346" s="1"/>
      <c r="R346" s="1"/>
      <c r="S346" s="1">
        <v>0</v>
      </c>
      <c r="T346" s="1"/>
      <c r="U346" s="1" t="s">
        <v>3</v>
      </c>
      <c r="V346" s="1">
        <v>0</v>
      </c>
      <c r="W346" s="1"/>
      <c r="X346" s="1"/>
      <c r="Y346" s="1"/>
      <c r="Z346" s="1"/>
      <c r="AA346" s="1"/>
      <c r="AB346" s="1" t="s">
        <v>3</v>
      </c>
      <c r="AC346" s="1" t="s">
        <v>3</v>
      </c>
      <c r="AD346" s="1" t="s">
        <v>3</v>
      </c>
      <c r="AE346" s="1" t="s">
        <v>3</v>
      </c>
      <c r="AF346" s="1" t="s">
        <v>3</v>
      </c>
      <c r="AG346" s="1" t="s">
        <v>3</v>
      </c>
      <c r="AH346" s="1"/>
      <c r="AI346" s="1"/>
      <c r="AJ346" s="1"/>
      <c r="AK346" s="1"/>
      <c r="AL346" s="1"/>
      <c r="AM346" s="1"/>
      <c r="AN346" s="1"/>
      <c r="AO346" s="1"/>
      <c r="AP346" s="1" t="s">
        <v>3</v>
      </c>
      <c r="AQ346" s="1" t="s">
        <v>3</v>
      </c>
      <c r="AR346" s="1" t="s">
        <v>3</v>
      </c>
      <c r="AS346" s="1"/>
      <c r="AT346" s="1"/>
      <c r="AU346" s="1"/>
      <c r="AV346" s="1"/>
      <c r="AW346" s="1"/>
      <c r="AX346" s="1"/>
      <c r="AY346" s="1"/>
      <c r="AZ346" s="1" t="s">
        <v>3</v>
      </c>
      <c r="BA346" s="1"/>
      <c r="BB346" s="1" t="s">
        <v>3</v>
      </c>
      <c r="BC346" s="1" t="s">
        <v>3</v>
      </c>
      <c r="BD346" s="1" t="s">
        <v>3</v>
      </c>
      <c r="BE346" s="1" t="s">
        <v>3</v>
      </c>
      <c r="BF346" s="1" t="s">
        <v>3</v>
      </c>
      <c r="BG346" s="1" t="s">
        <v>3</v>
      </c>
      <c r="BH346" s="1" t="s">
        <v>3</v>
      </c>
      <c r="BI346" s="1" t="s">
        <v>3</v>
      </c>
      <c r="BJ346" s="1" t="s">
        <v>3</v>
      </c>
      <c r="BK346" s="1" t="s">
        <v>3</v>
      </c>
      <c r="BL346" s="1" t="s">
        <v>3</v>
      </c>
      <c r="BM346" s="1" t="s">
        <v>3</v>
      </c>
      <c r="BN346" s="1" t="s">
        <v>3</v>
      </c>
      <c r="BO346" s="1" t="s">
        <v>3</v>
      </c>
      <c r="BP346" s="1" t="s">
        <v>3</v>
      </c>
      <c r="BQ346" s="1"/>
      <c r="BR346" s="1"/>
      <c r="BS346" s="1"/>
      <c r="BT346" s="1"/>
      <c r="BU346" s="1"/>
      <c r="BV346" s="1"/>
      <c r="BW346" s="1"/>
      <c r="BX346" s="1">
        <v>0</v>
      </c>
      <c r="BY346" s="1"/>
      <c r="BZ346" s="1"/>
      <c r="CA346" s="1"/>
      <c r="CB346" s="1"/>
      <c r="CC346" s="1"/>
      <c r="CD346" s="1"/>
      <c r="CE346" s="1"/>
      <c r="CF346" s="1"/>
      <c r="CG346" s="1"/>
      <c r="CH346" s="1"/>
      <c r="CI346" s="1"/>
      <c r="CJ346" s="1">
        <v>0</v>
      </c>
    </row>
    <row r="348" spans="1:245" x14ac:dyDescent="0.2">
      <c r="A348" s="2">
        <v>52</v>
      </c>
      <c r="B348" s="2">
        <f t="shared" ref="B348:G348" si="207">B354</f>
        <v>1</v>
      </c>
      <c r="C348" s="2">
        <f t="shared" si="207"/>
        <v>4</v>
      </c>
      <c r="D348" s="2">
        <f t="shared" si="207"/>
        <v>346</v>
      </c>
      <c r="E348" s="2">
        <f t="shared" si="207"/>
        <v>0</v>
      </c>
      <c r="F348" s="2" t="str">
        <f t="shared" si="207"/>
        <v>Новый раздел</v>
      </c>
      <c r="G348" s="2" t="str">
        <f t="shared" si="207"/>
        <v>Мусор</v>
      </c>
      <c r="H348" s="2"/>
      <c r="I348" s="2"/>
      <c r="J348" s="2"/>
      <c r="K348" s="2"/>
      <c r="L348" s="2"/>
      <c r="M348" s="2"/>
      <c r="N348" s="2"/>
      <c r="O348" s="2">
        <f t="shared" ref="O348:AT348" si="208">O354</f>
        <v>707.36</v>
      </c>
      <c r="P348" s="2">
        <f t="shared" si="208"/>
        <v>0</v>
      </c>
      <c r="Q348" s="2">
        <f t="shared" si="208"/>
        <v>707.36</v>
      </c>
      <c r="R348" s="2">
        <f t="shared" si="208"/>
        <v>424.85</v>
      </c>
      <c r="S348" s="2">
        <f t="shared" si="208"/>
        <v>0</v>
      </c>
      <c r="T348" s="2">
        <f t="shared" si="208"/>
        <v>0</v>
      </c>
      <c r="U348" s="2">
        <f t="shared" si="208"/>
        <v>0</v>
      </c>
      <c r="V348" s="2">
        <f t="shared" si="208"/>
        <v>0</v>
      </c>
      <c r="W348" s="2">
        <f t="shared" si="208"/>
        <v>0</v>
      </c>
      <c r="X348" s="2">
        <f t="shared" si="208"/>
        <v>0</v>
      </c>
      <c r="Y348" s="2">
        <f t="shared" si="208"/>
        <v>0</v>
      </c>
      <c r="Z348" s="2">
        <f t="shared" si="208"/>
        <v>0</v>
      </c>
      <c r="AA348" s="2">
        <f t="shared" si="208"/>
        <v>0</v>
      </c>
      <c r="AB348" s="2">
        <f t="shared" si="208"/>
        <v>707.36</v>
      </c>
      <c r="AC348" s="2">
        <f t="shared" si="208"/>
        <v>0</v>
      </c>
      <c r="AD348" s="2">
        <f t="shared" si="208"/>
        <v>707.36</v>
      </c>
      <c r="AE348" s="2">
        <f t="shared" si="208"/>
        <v>424.85</v>
      </c>
      <c r="AF348" s="2">
        <f t="shared" si="208"/>
        <v>0</v>
      </c>
      <c r="AG348" s="2">
        <f t="shared" si="208"/>
        <v>0</v>
      </c>
      <c r="AH348" s="2">
        <f t="shared" si="208"/>
        <v>0</v>
      </c>
      <c r="AI348" s="2">
        <f t="shared" si="208"/>
        <v>0</v>
      </c>
      <c r="AJ348" s="2">
        <f t="shared" si="208"/>
        <v>0</v>
      </c>
      <c r="AK348" s="2">
        <f t="shared" si="208"/>
        <v>0</v>
      </c>
      <c r="AL348" s="2">
        <f t="shared" si="208"/>
        <v>0</v>
      </c>
      <c r="AM348" s="2">
        <f t="shared" si="208"/>
        <v>0</v>
      </c>
      <c r="AN348" s="2">
        <f t="shared" si="208"/>
        <v>0</v>
      </c>
      <c r="AO348" s="2">
        <f t="shared" si="208"/>
        <v>0</v>
      </c>
      <c r="AP348" s="2">
        <f t="shared" si="208"/>
        <v>0</v>
      </c>
      <c r="AQ348" s="2">
        <f t="shared" si="208"/>
        <v>0</v>
      </c>
      <c r="AR348" s="2">
        <f t="shared" si="208"/>
        <v>724.21</v>
      </c>
      <c r="AS348" s="2">
        <f t="shared" si="208"/>
        <v>0</v>
      </c>
      <c r="AT348" s="2">
        <f t="shared" si="208"/>
        <v>0</v>
      </c>
      <c r="AU348" s="2">
        <f t="shared" ref="AU348:BZ348" si="209">AU354</f>
        <v>724.21</v>
      </c>
      <c r="AV348" s="2">
        <f t="shared" si="209"/>
        <v>0</v>
      </c>
      <c r="AW348" s="2">
        <f t="shared" si="209"/>
        <v>0</v>
      </c>
      <c r="AX348" s="2">
        <f t="shared" si="209"/>
        <v>0</v>
      </c>
      <c r="AY348" s="2">
        <f t="shared" si="209"/>
        <v>0</v>
      </c>
      <c r="AZ348" s="2">
        <f t="shared" si="209"/>
        <v>0</v>
      </c>
      <c r="BA348" s="2">
        <f t="shared" si="209"/>
        <v>0</v>
      </c>
      <c r="BB348" s="2">
        <f t="shared" si="209"/>
        <v>0</v>
      </c>
      <c r="BC348" s="2">
        <f t="shared" si="209"/>
        <v>0</v>
      </c>
      <c r="BD348" s="2">
        <f t="shared" si="209"/>
        <v>0</v>
      </c>
      <c r="BE348" s="2">
        <f t="shared" si="209"/>
        <v>0</v>
      </c>
      <c r="BF348" s="2">
        <f t="shared" si="209"/>
        <v>0</v>
      </c>
      <c r="BG348" s="2">
        <f t="shared" si="209"/>
        <v>0</v>
      </c>
      <c r="BH348" s="2">
        <f t="shared" si="209"/>
        <v>0</v>
      </c>
      <c r="BI348" s="2">
        <f t="shared" si="209"/>
        <v>0</v>
      </c>
      <c r="BJ348" s="2">
        <f t="shared" si="209"/>
        <v>0</v>
      </c>
      <c r="BK348" s="2">
        <f t="shared" si="209"/>
        <v>0</v>
      </c>
      <c r="BL348" s="2">
        <f t="shared" si="209"/>
        <v>0</v>
      </c>
      <c r="BM348" s="2">
        <f t="shared" si="209"/>
        <v>0</v>
      </c>
      <c r="BN348" s="2">
        <f t="shared" si="209"/>
        <v>0</v>
      </c>
      <c r="BO348" s="2">
        <f t="shared" si="209"/>
        <v>0</v>
      </c>
      <c r="BP348" s="2">
        <f t="shared" si="209"/>
        <v>0</v>
      </c>
      <c r="BQ348" s="2">
        <f t="shared" si="209"/>
        <v>0</v>
      </c>
      <c r="BR348" s="2">
        <f t="shared" si="209"/>
        <v>0</v>
      </c>
      <c r="BS348" s="2">
        <f t="shared" si="209"/>
        <v>0</v>
      </c>
      <c r="BT348" s="2">
        <f t="shared" si="209"/>
        <v>0</v>
      </c>
      <c r="BU348" s="2">
        <f t="shared" si="209"/>
        <v>0</v>
      </c>
      <c r="BV348" s="2">
        <f t="shared" si="209"/>
        <v>0</v>
      </c>
      <c r="BW348" s="2">
        <f t="shared" si="209"/>
        <v>0</v>
      </c>
      <c r="BX348" s="2">
        <f t="shared" si="209"/>
        <v>0</v>
      </c>
      <c r="BY348" s="2">
        <f t="shared" si="209"/>
        <v>0</v>
      </c>
      <c r="BZ348" s="2">
        <f t="shared" si="209"/>
        <v>0</v>
      </c>
      <c r="CA348" s="2">
        <f t="shared" ref="CA348:DF348" si="210">CA354</f>
        <v>724.21</v>
      </c>
      <c r="CB348" s="2">
        <f t="shared" si="210"/>
        <v>0</v>
      </c>
      <c r="CC348" s="2">
        <f t="shared" si="210"/>
        <v>0</v>
      </c>
      <c r="CD348" s="2">
        <f t="shared" si="210"/>
        <v>724.21</v>
      </c>
      <c r="CE348" s="2">
        <f t="shared" si="210"/>
        <v>0</v>
      </c>
      <c r="CF348" s="2">
        <f t="shared" si="210"/>
        <v>0</v>
      </c>
      <c r="CG348" s="2">
        <f t="shared" si="210"/>
        <v>0</v>
      </c>
      <c r="CH348" s="2">
        <f t="shared" si="210"/>
        <v>0</v>
      </c>
      <c r="CI348" s="2">
        <f t="shared" si="210"/>
        <v>0</v>
      </c>
      <c r="CJ348" s="2">
        <f t="shared" si="210"/>
        <v>0</v>
      </c>
      <c r="CK348" s="2">
        <f t="shared" si="210"/>
        <v>0</v>
      </c>
      <c r="CL348" s="2">
        <f t="shared" si="210"/>
        <v>0</v>
      </c>
      <c r="CM348" s="2">
        <f t="shared" si="210"/>
        <v>0</v>
      </c>
      <c r="CN348" s="2">
        <f t="shared" si="210"/>
        <v>0</v>
      </c>
      <c r="CO348" s="2">
        <f t="shared" si="210"/>
        <v>0</v>
      </c>
      <c r="CP348" s="2">
        <f t="shared" si="210"/>
        <v>0</v>
      </c>
      <c r="CQ348" s="2">
        <f t="shared" si="210"/>
        <v>0</v>
      </c>
      <c r="CR348" s="2">
        <f t="shared" si="210"/>
        <v>0</v>
      </c>
      <c r="CS348" s="2">
        <f t="shared" si="210"/>
        <v>0</v>
      </c>
      <c r="CT348" s="2">
        <f t="shared" si="210"/>
        <v>0</v>
      </c>
      <c r="CU348" s="2">
        <f t="shared" si="210"/>
        <v>0</v>
      </c>
      <c r="CV348" s="2">
        <f t="shared" si="210"/>
        <v>0</v>
      </c>
      <c r="CW348" s="2">
        <f t="shared" si="210"/>
        <v>0</v>
      </c>
      <c r="CX348" s="2">
        <f t="shared" si="210"/>
        <v>0</v>
      </c>
      <c r="CY348" s="2">
        <f t="shared" si="210"/>
        <v>0</v>
      </c>
      <c r="CZ348" s="2">
        <f t="shared" si="210"/>
        <v>0</v>
      </c>
      <c r="DA348" s="2">
        <f t="shared" si="210"/>
        <v>0</v>
      </c>
      <c r="DB348" s="2">
        <f t="shared" si="210"/>
        <v>0</v>
      </c>
      <c r="DC348" s="2">
        <f t="shared" si="210"/>
        <v>0</v>
      </c>
      <c r="DD348" s="2">
        <f t="shared" si="210"/>
        <v>0</v>
      </c>
      <c r="DE348" s="2">
        <f t="shared" si="210"/>
        <v>0</v>
      </c>
      <c r="DF348" s="2">
        <f t="shared" si="210"/>
        <v>0</v>
      </c>
      <c r="DG348" s="3">
        <f t="shared" ref="DG348:EL348" si="211">DG354</f>
        <v>0</v>
      </c>
      <c r="DH348" s="3">
        <f t="shared" si="211"/>
        <v>0</v>
      </c>
      <c r="DI348" s="3">
        <f t="shared" si="211"/>
        <v>0</v>
      </c>
      <c r="DJ348" s="3">
        <f t="shared" si="211"/>
        <v>0</v>
      </c>
      <c r="DK348" s="3">
        <f t="shared" si="211"/>
        <v>0</v>
      </c>
      <c r="DL348" s="3">
        <f t="shared" si="211"/>
        <v>0</v>
      </c>
      <c r="DM348" s="3">
        <f t="shared" si="211"/>
        <v>0</v>
      </c>
      <c r="DN348" s="3">
        <f t="shared" si="211"/>
        <v>0</v>
      </c>
      <c r="DO348" s="3">
        <f t="shared" si="211"/>
        <v>0</v>
      </c>
      <c r="DP348" s="3">
        <f t="shared" si="211"/>
        <v>0</v>
      </c>
      <c r="DQ348" s="3">
        <f t="shared" si="211"/>
        <v>0</v>
      </c>
      <c r="DR348" s="3">
        <f t="shared" si="211"/>
        <v>0</v>
      </c>
      <c r="DS348" s="3">
        <f t="shared" si="211"/>
        <v>0</v>
      </c>
      <c r="DT348" s="3">
        <f t="shared" si="211"/>
        <v>0</v>
      </c>
      <c r="DU348" s="3">
        <f t="shared" si="211"/>
        <v>0</v>
      </c>
      <c r="DV348" s="3">
        <f t="shared" si="211"/>
        <v>0</v>
      </c>
      <c r="DW348" s="3">
        <f t="shared" si="211"/>
        <v>0</v>
      </c>
      <c r="DX348" s="3">
        <f t="shared" si="211"/>
        <v>0</v>
      </c>
      <c r="DY348" s="3">
        <f t="shared" si="211"/>
        <v>0</v>
      </c>
      <c r="DZ348" s="3">
        <f t="shared" si="211"/>
        <v>0</v>
      </c>
      <c r="EA348" s="3">
        <f t="shared" si="211"/>
        <v>0</v>
      </c>
      <c r="EB348" s="3">
        <f t="shared" si="211"/>
        <v>0</v>
      </c>
      <c r="EC348" s="3">
        <f t="shared" si="211"/>
        <v>0</v>
      </c>
      <c r="ED348" s="3">
        <f t="shared" si="211"/>
        <v>0</v>
      </c>
      <c r="EE348" s="3">
        <f t="shared" si="211"/>
        <v>0</v>
      </c>
      <c r="EF348" s="3">
        <f t="shared" si="211"/>
        <v>0</v>
      </c>
      <c r="EG348" s="3">
        <f t="shared" si="211"/>
        <v>0</v>
      </c>
      <c r="EH348" s="3">
        <f t="shared" si="211"/>
        <v>0</v>
      </c>
      <c r="EI348" s="3">
        <f t="shared" si="211"/>
        <v>0</v>
      </c>
      <c r="EJ348" s="3">
        <f t="shared" si="211"/>
        <v>0</v>
      </c>
      <c r="EK348" s="3">
        <f t="shared" si="211"/>
        <v>0</v>
      </c>
      <c r="EL348" s="3">
        <f t="shared" si="211"/>
        <v>0</v>
      </c>
      <c r="EM348" s="3">
        <f t="shared" ref="EM348:FR348" si="212">EM354</f>
        <v>0</v>
      </c>
      <c r="EN348" s="3">
        <f t="shared" si="212"/>
        <v>0</v>
      </c>
      <c r="EO348" s="3">
        <f t="shared" si="212"/>
        <v>0</v>
      </c>
      <c r="EP348" s="3">
        <f t="shared" si="212"/>
        <v>0</v>
      </c>
      <c r="EQ348" s="3">
        <f t="shared" si="212"/>
        <v>0</v>
      </c>
      <c r="ER348" s="3">
        <f t="shared" si="212"/>
        <v>0</v>
      </c>
      <c r="ES348" s="3">
        <f t="shared" si="212"/>
        <v>0</v>
      </c>
      <c r="ET348" s="3">
        <f t="shared" si="212"/>
        <v>0</v>
      </c>
      <c r="EU348" s="3">
        <f t="shared" si="212"/>
        <v>0</v>
      </c>
      <c r="EV348" s="3">
        <f t="shared" si="212"/>
        <v>0</v>
      </c>
      <c r="EW348" s="3">
        <f t="shared" si="212"/>
        <v>0</v>
      </c>
      <c r="EX348" s="3">
        <f t="shared" si="212"/>
        <v>0</v>
      </c>
      <c r="EY348" s="3">
        <f t="shared" si="212"/>
        <v>0</v>
      </c>
      <c r="EZ348" s="3">
        <f t="shared" si="212"/>
        <v>0</v>
      </c>
      <c r="FA348" s="3">
        <f t="shared" si="212"/>
        <v>0</v>
      </c>
      <c r="FB348" s="3">
        <f t="shared" si="212"/>
        <v>0</v>
      </c>
      <c r="FC348" s="3">
        <f t="shared" si="212"/>
        <v>0</v>
      </c>
      <c r="FD348" s="3">
        <f t="shared" si="212"/>
        <v>0</v>
      </c>
      <c r="FE348" s="3">
        <f t="shared" si="212"/>
        <v>0</v>
      </c>
      <c r="FF348" s="3">
        <f t="shared" si="212"/>
        <v>0</v>
      </c>
      <c r="FG348" s="3">
        <f t="shared" si="212"/>
        <v>0</v>
      </c>
      <c r="FH348" s="3">
        <f t="shared" si="212"/>
        <v>0</v>
      </c>
      <c r="FI348" s="3">
        <f t="shared" si="212"/>
        <v>0</v>
      </c>
      <c r="FJ348" s="3">
        <f t="shared" si="212"/>
        <v>0</v>
      </c>
      <c r="FK348" s="3">
        <f t="shared" si="212"/>
        <v>0</v>
      </c>
      <c r="FL348" s="3">
        <f t="shared" si="212"/>
        <v>0</v>
      </c>
      <c r="FM348" s="3">
        <f t="shared" si="212"/>
        <v>0</v>
      </c>
      <c r="FN348" s="3">
        <f t="shared" si="212"/>
        <v>0</v>
      </c>
      <c r="FO348" s="3">
        <f t="shared" si="212"/>
        <v>0</v>
      </c>
      <c r="FP348" s="3">
        <f t="shared" si="212"/>
        <v>0</v>
      </c>
      <c r="FQ348" s="3">
        <f t="shared" si="212"/>
        <v>0</v>
      </c>
      <c r="FR348" s="3">
        <f t="shared" si="212"/>
        <v>0</v>
      </c>
      <c r="FS348" s="3">
        <f t="shared" ref="FS348:GX348" si="213">FS354</f>
        <v>0</v>
      </c>
      <c r="FT348" s="3">
        <f t="shared" si="213"/>
        <v>0</v>
      </c>
      <c r="FU348" s="3">
        <f t="shared" si="213"/>
        <v>0</v>
      </c>
      <c r="FV348" s="3">
        <f t="shared" si="213"/>
        <v>0</v>
      </c>
      <c r="FW348" s="3">
        <f t="shared" si="213"/>
        <v>0</v>
      </c>
      <c r="FX348" s="3">
        <f t="shared" si="213"/>
        <v>0</v>
      </c>
      <c r="FY348" s="3">
        <f t="shared" si="213"/>
        <v>0</v>
      </c>
      <c r="FZ348" s="3">
        <f t="shared" si="213"/>
        <v>0</v>
      </c>
      <c r="GA348" s="3">
        <f t="shared" si="213"/>
        <v>0</v>
      </c>
      <c r="GB348" s="3">
        <f t="shared" si="213"/>
        <v>0</v>
      </c>
      <c r="GC348" s="3">
        <f t="shared" si="213"/>
        <v>0</v>
      </c>
      <c r="GD348" s="3">
        <f t="shared" si="213"/>
        <v>0</v>
      </c>
      <c r="GE348" s="3">
        <f t="shared" si="213"/>
        <v>0</v>
      </c>
      <c r="GF348" s="3">
        <f t="shared" si="213"/>
        <v>0</v>
      </c>
      <c r="GG348" s="3">
        <f t="shared" si="213"/>
        <v>0</v>
      </c>
      <c r="GH348" s="3">
        <f t="shared" si="213"/>
        <v>0</v>
      </c>
      <c r="GI348" s="3">
        <f t="shared" si="213"/>
        <v>0</v>
      </c>
      <c r="GJ348" s="3">
        <f t="shared" si="213"/>
        <v>0</v>
      </c>
      <c r="GK348" s="3">
        <f t="shared" si="213"/>
        <v>0</v>
      </c>
      <c r="GL348" s="3">
        <f t="shared" si="213"/>
        <v>0</v>
      </c>
      <c r="GM348" s="3">
        <f t="shared" si="213"/>
        <v>0</v>
      </c>
      <c r="GN348" s="3">
        <f t="shared" si="213"/>
        <v>0</v>
      </c>
      <c r="GO348" s="3">
        <f t="shared" si="213"/>
        <v>0</v>
      </c>
      <c r="GP348" s="3">
        <f t="shared" si="213"/>
        <v>0</v>
      </c>
      <c r="GQ348" s="3">
        <f t="shared" si="213"/>
        <v>0</v>
      </c>
      <c r="GR348" s="3">
        <f t="shared" si="213"/>
        <v>0</v>
      </c>
      <c r="GS348" s="3">
        <f t="shared" si="213"/>
        <v>0</v>
      </c>
      <c r="GT348" s="3">
        <f t="shared" si="213"/>
        <v>0</v>
      </c>
      <c r="GU348" s="3">
        <f t="shared" si="213"/>
        <v>0</v>
      </c>
      <c r="GV348" s="3">
        <f t="shared" si="213"/>
        <v>0</v>
      </c>
      <c r="GW348" s="3">
        <f t="shared" si="213"/>
        <v>0</v>
      </c>
      <c r="GX348" s="3">
        <f t="shared" si="213"/>
        <v>0</v>
      </c>
    </row>
    <row r="350" spans="1:245" x14ac:dyDescent="0.2">
      <c r="A350">
        <v>17</v>
      </c>
      <c r="B350">
        <v>1</v>
      </c>
      <c r="C350">
        <f>ROW(SmtRes!A112)</f>
        <v>112</v>
      </c>
      <c r="D350">
        <f>ROW(EtalonRes!A103)</f>
        <v>103</v>
      </c>
      <c r="E350" t="s">
        <v>255</v>
      </c>
      <c r="F350" t="s">
        <v>256</v>
      </c>
      <c r="G350" t="s">
        <v>257</v>
      </c>
      <c r="H350" t="s">
        <v>56</v>
      </c>
      <c r="I350">
        <v>0.309</v>
      </c>
      <c r="J350">
        <v>0</v>
      </c>
      <c r="K350">
        <v>0.309</v>
      </c>
      <c r="O350">
        <f>ROUND(CP350,2)</f>
        <v>36.42</v>
      </c>
      <c r="P350">
        <f>ROUND(CQ350*I350,2)</f>
        <v>0</v>
      </c>
      <c r="Q350">
        <f>ROUND(CR350*I350,2)</f>
        <v>36.42</v>
      </c>
      <c r="R350">
        <f>ROUND(CS350*I350,2)</f>
        <v>15.6</v>
      </c>
      <c r="S350">
        <f>ROUND(CT350*I350,2)</f>
        <v>0</v>
      </c>
      <c r="T350">
        <f>ROUND(CU350*I350,2)</f>
        <v>0</v>
      </c>
      <c r="U350">
        <f>CV350*I350</f>
        <v>0</v>
      </c>
      <c r="V350">
        <f>CW350*I350</f>
        <v>0</v>
      </c>
      <c r="W350">
        <f>ROUND(CX350*I350,2)</f>
        <v>0</v>
      </c>
      <c r="X350">
        <f t="shared" ref="X350:Y352" si="214">ROUND(CY350,2)</f>
        <v>0</v>
      </c>
      <c r="Y350">
        <f t="shared" si="214"/>
        <v>0</v>
      </c>
      <c r="AA350">
        <v>75703208</v>
      </c>
      <c r="AB350">
        <f>ROUND((AC350+AD350+AF350),6)</f>
        <v>117.87</v>
      </c>
      <c r="AC350">
        <f>ROUND((ES350),6)</f>
        <v>0</v>
      </c>
      <c r="AD350">
        <f>ROUND((((ET350)-(EU350))+AE350),6)</f>
        <v>117.87</v>
      </c>
      <c r="AE350">
        <f>ROUND((EU350),6)</f>
        <v>50.5</v>
      </c>
      <c r="AF350">
        <f>ROUND((EV350),6)</f>
        <v>0</v>
      </c>
      <c r="AG350">
        <f>ROUND((AP350),6)</f>
        <v>0</v>
      </c>
      <c r="AH350">
        <f>(EW350)</f>
        <v>0</v>
      </c>
      <c r="AI350">
        <f>(EX350)</f>
        <v>0</v>
      </c>
      <c r="AJ350">
        <f>(AS350)</f>
        <v>0</v>
      </c>
      <c r="AK350">
        <v>117.87</v>
      </c>
      <c r="AL350">
        <v>0</v>
      </c>
      <c r="AM350">
        <v>117.87</v>
      </c>
      <c r="AN350">
        <v>50.5</v>
      </c>
      <c r="AO350">
        <v>0</v>
      </c>
      <c r="AP350">
        <v>0</v>
      </c>
      <c r="AQ350">
        <v>0</v>
      </c>
      <c r="AR350">
        <v>0</v>
      </c>
      <c r="AS350">
        <v>0</v>
      </c>
      <c r="AT350">
        <v>70</v>
      </c>
      <c r="AU350">
        <v>10</v>
      </c>
      <c r="AV350">
        <v>1</v>
      </c>
      <c r="AW350">
        <v>1</v>
      </c>
      <c r="AZ350">
        <v>1</v>
      </c>
      <c r="BA350">
        <v>1</v>
      </c>
      <c r="BB350">
        <v>1</v>
      </c>
      <c r="BC350">
        <v>1</v>
      </c>
      <c r="BD350" t="s">
        <v>3</v>
      </c>
      <c r="BE350" t="s">
        <v>3</v>
      </c>
      <c r="BF350" t="s">
        <v>3</v>
      </c>
      <c r="BG350" t="s">
        <v>3</v>
      </c>
      <c r="BH350">
        <v>0</v>
      </c>
      <c r="BI350">
        <v>4</v>
      </c>
      <c r="BJ350" t="s">
        <v>258</v>
      </c>
      <c r="BM350">
        <v>0</v>
      </c>
      <c r="BN350">
        <v>75371441</v>
      </c>
      <c r="BO350" t="s">
        <v>3</v>
      </c>
      <c r="BP350">
        <v>0</v>
      </c>
      <c r="BQ350">
        <v>1</v>
      </c>
      <c r="BR350">
        <v>0</v>
      </c>
      <c r="BS350">
        <v>1</v>
      </c>
      <c r="BT350">
        <v>1</v>
      </c>
      <c r="BU350">
        <v>1</v>
      </c>
      <c r="BV350">
        <v>1</v>
      </c>
      <c r="BW350">
        <v>1</v>
      </c>
      <c r="BX350">
        <v>1</v>
      </c>
      <c r="BY350" t="s">
        <v>3</v>
      </c>
      <c r="BZ350">
        <v>70</v>
      </c>
      <c r="CA350">
        <v>10</v>
      </c>
      <c r="CB350" t="s">
        <v>3</v>
      </c>
      <c r="CE350">
        <v>0</v>
      </c>
      <c r="CF350">
        <v>0</v>
      </c>
      <c r="CG350">
        <v>0</v>
      </c>
      <c r="CM350">
        <v>0</v>
      </c>
      <c r="CN350" t="s">
        <v>3</v>
      </c>
      <c r="CO350">
        <v>0</v>
      </c>
      <c r="CP350">
        <f>(P350+Q350+S350)</f>
        <v>36.42</v>
      </c>
      <c r="CQ350">
        <f>(AC350*BC350*AW350)</f>
        <v>0</v>
      </c>
      <c r="CR350">
        <f>((((ET350)*BB350-(EU350)*BS350)+AE350*BS350)*AV350)</f>
        <v>117.87</v>
      </c>
      <c r="CS350">
        <f>(AE350*BS350*AV350)</f>
        <v>50.5</v>
      </c>
      <c r="CT350">
        <f>(AF350*BA350*AV350)</f>
        <v>0</v>
      </c>
      <c r="CU350">
        <f>AG350</f>
        <v>0</v>
      </c>
      <c r="CV350">
        <f>(AH350*AV350)</f>
        <v>0</v>
      </c>
      <c r="CW350">
        <f t="shared" ref="CW350:CX352" si="215">AI350</f>
        <v>0</v>
      </c>
      <c r="CX350">
        <f t="shared" si="215"/>
        <v>0</v>
      </c>
      <c r="CY350">
        <f>((S350*BZ350)/100)</f>
        <v>0</v>
      </c>
      <c r="CZ350">
        <f>((S350*CA350)/100)</f>
        <v>0</v>
      </c>
      <c r="DC350" t="s">
        <v>3</v>
      </c>
      <c r="DD350" t="s">
        <v>3</v>
      </c>
      <c r="DE350" t="s">
        <v>3</v>
      </c>
      <c r="DF350" t="s">
        <v>3</v>
      </c>
      <c r="DG350" t="s">
        <v>3</v>
      </c>
      <c r="DH350" t="s">
        <v>3</v>
      </c>
      <c r="DI350" t="s">
        <v>3</v>
      </c>
      <c r="DJ350" t="s">
        <v>3</v>
      </c>
      <c r="DK350" t="s">
        <v>3</v>
      </c>
      <c r="DL350" t="s">
        <v>3</v>
      </c>
      <c r="DM350" t="s">
        <v>3</v>
      </c>
      <c r="DN350">
        <v>0</v>
      </c>
      <c r="DO350">
        <v>0</v>
      </c>
      <c r="DP350">
        <v>1</v>
      </c>
      <c r="DQ350">
        <v>1</v>
      </c>
      <c r="DU350">
        <v>1009</v>
      </c>
      <c r="DV350" t="s">
        <v>56</v>
      </c>
      <c r="DW350" t="s">
        <v>56</v>
      </c>
      <c r="DX350">
        <v>1000</v>
      </c>
      <c r="DZ350" t="s">
        <v>3</v>
      </c>
      <c r="EA350" t="s">
        <v>3</v>
      </c>
      <c r="EB350" t="s">
        <v>3</v>
      </c>
      <c r="EC350" t="s">
        <v>3</v>
      </c>
      <c r="EE350">
        <v>75371444</v>
      </c>
      <c r="EF350">
        <v>1</v>
      </c>
      <c r="EG350" t="s">
        <v>22</v>
      </c>
      <c r="EH350">
        <v>0</v>
      </c>
      <c r="EI350" t="s">
        <v>3</v>
      </c>
      <c r="EJ350">
        <v>4</v>
      </c>
      <c r="EK350">
        <v>0</v>
      </c>
      <c r="EL350" t="s">
        <v>23</v>
      </c>
      <c r="EM350" t="s">
        <v>24</v>
      </c>
      <c r="EO350" t="s">
        <v>3</v>
      </c>
      <c r="EQ350">
        <v>0</v>
      </c>
      <c r="ER350">
        <v>117.87</v>
      </c>
      <c r="ES350">
        <v>0</v>
      </c>
      <c r="ET350">
        <v>117.87</v>
      </c>
      <c r="EU350">
        <v>50.5</v>
      </c>
      <c r="EV350">
        <v>0</v>
      </c>
      <c r="EW350">
        <v>0</v>
      </c>
      <c r="EX350">
        <v>0</v>
      </c>
      <c r="EY350">
        <v>0</v>
      </c>
      <c r="FQ350">
        <v>0</v>
      </c>
      <c r="FR350">
        <f>ROUND(IF(BI350=3,GM350,0),2)</f>
        <v>0</v>
      </c>
      <c r="FS350">
        <v>0</v>
      </c>
      <c r="FX350">
        <v>70</v>
      </c>
      <c r="FY350">
        <v>10</v>
      </c>
      <c r="GA350" t="s">
        <v>3</v>
      </c>
      <c r="GD350">
        <v>0</v>
      </c>
      <c r="GF350">
        <v>202864010</v>
      </c>
      <c r="GG350">
        <v>2</v>
      </c>
      <c r="GH350">
        <v>1</v>
      </c>
      <c r="GI350">
        <v>-2</v>
      </c>
      <c r="GJ350">
        <v>0</v>
      </c>
      <c r="GK350">
        <f>ROUND(R350*(R12)/100,2)</f>
        <v>16.850000000000001</v>
      </c>
      <c r="GL350">
        <f>ROUND(IF(AND(BH350=3,BI350=3,FS350&lt;&gt;0),P350,0),2)</f>
        <v>0</v>
      </c>
      <c r="GM350">
        <f>ROUND(O350+X350+Y350+GK350,2)+GX350</f>
        <v>53.27</v>
      </c>
      <c r="GN350">
        <f>IF(OR(BI350=0,BI350=1),GM350-GX350,0)</f>
        <v>0</v>
      </c>
      <c r="GO350">
        <f>IF(BI350=2,GM350-GX350,0)</f>
        <v>0</v>
      </c>
      <c r="GP350">
        <f>IF(BI350=4,GM350-GX350,0)</f>
        <v>53.27</v>
      </c>
      <c r="GR350">
        <v>0</v>
      </c>
      <c r="GS350">
        <v>3</v>
      </c>
      <c r="GT350">
        <v>0</v>
      </c>
      <c r="GU350" t="s">
        <v>3</v>
      </c>
      <c r="GV350">
        <f>ROUND((GT350),6)</f>
        <v>0</v>
      </c>
      <c r="GW350">
        <v>1</v>
      </c>
      <c r="GX350">
        <f>ROUND(HC350*I350,2)</f>
        <v>0</v>
      </c>
      <c r="HA350">
        <v>0</v>
      </c>
      <c r="HB350">
        <v>0</v>
      </c>
      <c r="HC350">
        <f>GV350*GW350</f>
        <v>0</v>
      </c>
      <c r="HE350" t="s">
        <v>3</v>
      </c>
      <c r="HF350" t="s">
        <v>3</v>
      </c>
      <c r="HM350" t="s">
        <v>3</v>
      </c>
      <c r="HN350" t="s">
        <v>3</v>
      </c>
      <c r="HO350" t="s">
        <v>3</v>
      </c>
      <c r="HP350" t="s">
        <v>3</v>
      </c>
      <c r="HQ350" t="s">
        <v>3</v>
      </c>
      <c r="IK350">
        <v>0</v>
      </c>
    </row>
    <row r="351" spans="1:245" x14ac:dyDescent="0.2">
      <c r="A351">
        <v>17</v>
      </c>
      <c r="B351">
        <v>1</v>
      </c>
      <c r="C351">
        <f>ROW(SmtRes!A114)</f>
        <v>114</v>
      </c>
      <c r="D351">
        <f>ROW(EtalonRes!A105)</f>
        <v>105</v>
      </c>
      <c r="E351" t="s">
        <v>259</v>
      </c>
      <c r="F351" t="s">
        <v>260</v>
      </c>
      <c r="G351" t="s">
        <v>261</v>
      </c>
      <c r="H351" t="s">
        <v>56</v>
      </c>
      <c r="I351">
        <f>ROUND(I350,9)</f>
        <v>0.309</v>
      </c>
      <c r="J351">
        <v>0</v>
      </c>
      <c r="K351">
        <f>ROUND(I350,9)</f>
        <v>0.309</v>
      </c>
      <c r="O351">
        <f>ROUND(CP351,2)</f>
        <v>28.27</v>
      </c>
      <c r="P351">
        <f>ROUND(CQ351*I351,2)</f>
        <v>0</v>
      </c>
      <c r="Q351">
        <f>ROUND(CR351*I351,2)</f>
        <v>28.27</v>
      </c>
      <c r="R351">
        <f>ROUND(CS351*I351,2)</f>
        <v>17.239999999999998</v>
      </c>
      <c r="S351">
        <f>ROUND(CT351*I351,2)</f>
        <v>0</v>
      </c>
      <c r="T351">
        <f>ROUND(CU351*I351,2)</f>
        <v>0</v>
      </c>
      <c r="U351">
        <f>CV351*I351</f>
        <v>0</v>
      </c>
      <c r="V351">
        <f>CW351*I351</f>
        <v>0</v>
      </c>
      <c r="W351">
        <f>ROUND(CX351*I351,2)</f>
        <v>0</v>
      </c>
      <c r="X351">
        <f t="shared" si="214"/>
        <v>0</v>
      </c>
      <c r="Y351">
        <f t="shared" si="214"/>
        <v>0</v>
      </c>
      <c r="AA351">
        <v>75703208</v>
      </c>
      <c r="AB351">
        <f>ROUND((AC351+AD351+AF351),6)</f>
        <v>91.5</v>
      </c>
      <c r="AC351">
        <f>ROUND((ES351),6)</f>
        <v>0</v>
      </c>
      <c r="AD351">
        <f>ROUND((((ET351)-(EU351))+AE351),6)</f>
        <v>91.5</v>
      </c>
      <c r="AE351">
        <f>ROUND((EU351),6)</f>
        <v>55.79</v>
      </c>
      <c r="AF351">
        <f>ROUND((EV351),6)</f>
        <v>0</v>
      </c>
      <c r="AG351">
        <f>ROUND((AP351),6)</f>
        <v>0</v>
      </c>
      <c r="AH351">
        <f>(EW351)</f>
        <v>0</v>
      </c>
      <c r="AI351">
        <f>(EX351)</f>
        <v>0</v>
      </c>
      <c r="AJ351">
        <f>(AS351)</f>
        <v>0</v>
      </c>
      <c r="AK351">
        <v>91.5</v>
      </c>
      <c r="AL351">
        <v>0</v>
      </c>
      <c r="AM351">
        <v>91.5</v>
      </c>
      <c r="AN351">
        <v>55.79</v>
      </c>
      <c r="AO351">
        <v>0</v>
      </c>
      <c r="AP351">
        <v>0</v>
      </c>
      <c r="AQ351">
        <v>0</v>
      </c>
      <c r="AR351">
        <v>0</v>
      </c>
      <c r="AS351">
        <v>0</v>
      </c>
      <c r="AT351">
        <v>0</v>
      </c>
      <c r="AU351">
        <v>0</v>
      </c>
      <c r="AV351">
        <v>1</v>
      </c>
      <c r="AW351">
        <v>1</v>
      </c>
      <c r="AZ351">
        <v>1</v>
      </c>
      <c r="BA351">
        <v>1</v>
      </c>
      <c r="BB351">
        <v>1</v>
      </c>
      <c r="BC351">
        <v>1</v>
      </c>
      <c r="BD351" t="s">
        <v>3</v>
      </c>
      <c r="BE351" t="s">
        <v>3</v>
      </c>
      <c r="BF351" t="s">
        <v>3</v>
      </c>
      <c r="BG351" t="s">
        <v>3</v>
      </c>
      <c r="BH351">
        <v>0</v>
      </c>
      <c r="BI351">
        <v>4</v>
      </c>
      <c r="BJ351" t="s">
        <v>262</v>
      </c>
      <c r="BM351">
        <v>1</v>
      </c>
      <c r="BN351">
        <v>75371441</v>
      </c>
      <c r="BO351" t="s">
        <v>3</v>
      </c>
      <c r="BP351">
        <v>0</v>
      </c>
      <c r="BQ351">
        <v>1</v>
      </c>
      <c r="BR351">
        <v>0</v>
      </c>
      <c r="BS351">
        <v>1</v>
      </c>
      <c r="BT351">
        <v>1</v>
      </c>
      <c r="BU351">
        <v>1</v>
      </c>
      <c r="BV351">
        <v>1</v>
      </c>
      <c r="BW351">
        <v>1</v>
      </c>
      <c r="BX351">
        <v>1</v>
      </c>
      <c r="BY351" t="s">
        <v>3</v>
      </c>
      <c r="BZ351">
        <v>0</v>
      </c>
      <c r="CA351">
        <v>0</v>
      </c>
      <c r="CB351" t="s">
        <v>3</v>
      </c>
      <c r="CE351">
        <v>0</v>
      </c>
      <c r="CF351">
        <v>0</v>
      </c>
      <c r="CG351">
        <v>0</v>
      </c>
      <c r="CM351">
        <v>0</v>
      </c>
      <c r="CN351" t="s">
        <v>3</v>
      </c>
      <c r="CO351">
        <v>0</v>
      </c>
      <c r="CP351">
        <f>(P351+Q351+S351)</f>
        <v>28.27</v>
      </c>
      <c r="CQ351">
        <f>(AC351*BC351*AW351)</f>
        <v>0</v>
      </c>
      <c r="CR351">
        <f>((((ET351)*BB351-(EU351)*BS351)+AE351*BS351)*AV351)</f>
        <v>91.5</v>
      </c>
      <c r="CS351">
        <f>(AE351*BS351*AV351)</f>
        <v>55.79</v>
      </c>
      <c r="CT351">
        <f>(AF351*BA351*AV351)</f>
        <v>0</v>
      </c>
      <c r="CU351">
        <f>AG351</f>
        <v>0</v>
      </c>
      <c r="CV351">
        <f>(AH351*AV351)</f>
        <v>0</v>
      </c>
      <c r="CW351">
        <f t="shared" si="215"/>
        <v>0</v>
      </c>
      <c r="CX351">
        <f t="shared" si="215"/>
        <v>0</v>
      </c>
      <c r="CY351">
        <f>((S351*BZ351)/100)</f>
        <v>0</v>
      </c>
      <c r="CZ351">
        <f>((S351*CA351)/100)</f>
        <v>0</v>
      </c>
      <c r="DC351" t="s">
        <v>3</v>
      </c>
      <c r="DD351" t="s">
        <v>3</v>
      </c>
      <c r="DE351" t="s">
        <v>3</v>
      </c>
      <c r="DF351" t="s">
        <v>3</v>
      </c>
      <c r="DG351" t="s">
        <v>3</v>
      </c>
      <c r="DH351" t="s">
        <v>3</v>
      </c>
      <c r="DI351" t="s">
        <v>3</v>
      </c>
      <c r="DJ351" t="s">
        <v>3</v>
      </c>
      <c r="DK351" t="s">
        <v>3</v>
      </c>
      <c r="DL351" t="s">
        <v>3</v>
      </c>
      <c r="DM351" t="s">
        <v>3</v>
      </c>
      <c r="DN351">
        <v>0</v>
      </c>
      <c r="DO351">
        <v>0</v>
      </c>
      <c r="DP351">
        <v>1</v>
      </c>
      <c r="DQ351">
        <v>1</v>
      </c>
      <c r="DU351">
        <v>1009</v>
      </c>
      <c r="DV351" t="s">
        <v>56</v>
      </c>
      <c r="DW351" t="s">
        <v>56</v>
      </c>
      <c r="DX351">
        <v>1000</v>
      </c>
      <c r="DZ351" t="s">
        <v>3</v>
      </c>
      <c r="EA351" t="s">
        <v>3</v>
      </c>
      <c r="EB351" t="s">
        <v>3</v>
      </c>
      <c r="EC351" t="s">
        <v>3</v>
      </c>
      <c r="EE351">
        <v>75371446</v>
      </c>
      <c r="EF351">
        <v>1</v>
      </c>
      <c r="EG351" t="s">
        <v>22</v>
      </c>
      <c r="EH351">
        <v>0</v>
      </c>
      <c r="EI351" t="s">
        <v>3</v>
      </c>
      <c r="EJ351">
        <v>4</v>
      </c>
      <c r="EK351">
        <v>1</v>
      </c>
      <c r="EL351" t="s">
        <v>263</v>
      </c>
      <c r="EM351" t="s">
        <v>24</v>
      </c>
      <c r="EO351" t="s">
        <v>3</v>
      </c>
      <c r="EQ351">
        <v>0</v>
      </c>
      <c r="ER351">
        <v>91.5</v>
      </c>
      <c r="ES351">
        <v>0</v>
      </c>
      <c r="ET351">
        <v>91.5</v>
      </c>
      <c r="EU351">
        <v>55.79</v>
      </c>
      <c r="EV351">
        <v>0</v>
      </c>
      <c r="EW351">
        <v>0</v>
      </c>
      <c r="EX351">
        <v>0</v>
      </c>
      <c r="EY351">
        <v>0</v>
      </c>
      <c r="FQ351">
        <v>0</v>
      </c>
      <c r="FR351">
        <f>ROUND(IF(BI351=3,GM351,0),2)</f>
        <v>0</v>
      </c>
      <c r="FS351">
        <v>0</v>
      </c>
      <c r="FX351">
        <v>0</v>
      </c>
      <c r="FY351">
        <v>0</v>
      </c>
      <c r="GA351" t="s">
        <v>3</v>
      </c>
      <c r="GD351">
        <v>1</v>
      </c>
      <c r="GF351">
        <v>877741387</v>
      </c>
      <c r="GG351">
        <v>2</v>
      </c>
      <c r="GH351">
        <v>1</v>
      </c>
      <c r="GI351">
        <v>-2</v>
      </c>
      <c r="GJ351">
        <v>0</v>
      </c>
      <c r="GK351">
        <v>0</v>
      </c>
      <c r="GL351">
        <f>ROUND(IF(AND(BH351=3,BI351=3,FS351&lt;&gt;0),P351,0),2)</f>
        <v>0</v>
      </c>
      <c r="GM351">
        <f>ROUND(O351+X351+Y351,2)+GX351</f>
        <v>28.27</v>
      </c>
      <c r="GN351">
        <f>IF(OR(BI351=0,BI351=1),GM351-GX351,0)</f>
        <v>0</v>
      </c>
      <c r="GO351">
        <f>IF(BI351=2,GM351-GX351,0)</f>
        <v>0</v>
      </c>
      <c r="GP351">
        <f>IF(BI351=4,GM351-GX351,0)</f>
        <v>28.27</v>
      </c>
      <c r="GR351">
        <v>0</v>
      </c>
      <c r="GS351">
        <v>3</v>
      </c>
      <c r="GT351">
        <v>0</v>
      </c>
      <c r="GU351" t="s">
        <v>3</v>
      </c>
      <c r="GV351">
        <f>ROUND((GT351),6)</f>
        <v>0</v>
      </c>
      <c r="GW351">
        <v>1</v>
      </c>
      <c r="GX351">
        <f>ROUND(HC351*I351,2)</f>
        <v>0</v>
      </c>
      <c r="HA351">
        <v>0</v>
      </c>
      <c r="HB351">
        <v>0</v>
      </c>
      <c r="HC351">
        <f>GV351*GW351</f>
        <v>0</v>
      </c>
      <c r="HE351" t="s">
        <v>3</v>
      </c>
      <c r="HF351" t="s">
        <v>3</v>
      </c>
      <c r="HM351" t="s">
        <v>3</v>
      </c>
      <c r="HN351" t="s">
        <v>3</v>
      </c>
      <c r="HO351" t="s">
        <v>3</v>
      </c>
      <c r="HP351" t="s">
        <v>3</v>
      </c>
      <c r="HQ351" t="s">
        <v>3</v>
      </c>
      <c r="IK351">
        <v>0</v>
      </c>
    </row>
    <row r="352" spans="1:245" x14ac:dyDescent="0.2">
      <c r="A352">
        <v>17</v>
      </c>
      <c r="B352">
        <v>1</v>
      </c>
      <c r="C352">
        <f>ROW(SmtRes!A116)</f>
        <v>116</v>
      </c>
      <c r="D352">
        <f>ROW(EtalonRes!A107)</f>
        <v>107</v>
      </c>
      <c r="E352" t="s">
        <v>264</v>
      </c>
      <c r="F352" t="s">
        <v>265</v>
      </c>
      <c r="G352" t="s">
        <v>266</v>
      </c>
      <c r="H352" t="s">
        <v>56</v>
      </c>
      <c r="I352">
        <f>ROUND(I350,9)</f>
        <v>0.309</v>
      </c>
      <c r="J352">
        <v>0</v>
      </c>
      <c r="K352">
        <f>ROUND(I350,9)</f>
        <v>0.309</v>
      </c>
      <c r="O352">
        <f>ROUND(CP352,2)</f>
        <v>642.66999999999996</v>
      </c>
      <c r="P352">
        <f>ROUND(CQ352*I352,2)</f>
        <v>0</v>
      </c>
      <c r="Q352">
        <f>ROUND(CR352*I352,2)</f>
        <v>642.66999999999996</v>
      </c>
      <c r="R352">
        <f>ROUND(CS352*I352,2)</f>
        <v>392.01</v>
      </c>
      <c r="S352">
        <f>ROUND(CT352*I352,2)</f>
        <v>0</v>
      </c>
      <c r="T352">
        <f>ROUND(CU352*I352,2)</f>
        <v>0</v>
      </c>
      <c r="U352">
        <f>CV352*I352</f>
        <v>0</v>
      </c>
      <c r="V352">
        <f>CW352*I352</f>
        <v>0</v>
      </c>
      <c r="W352">
        <f>ROUND(CX352*I352,2)</f>
        <v>0</v>
      </c>
      <c r="X352">
        <f t="shared" si="214"/>
        <v>0</v>
      </c>
      <c r="Y352">
        <f t="shared" si="214"/>
        <v>0</v>
      </c>
      <c r="AA352">
        <v>75703208</v>
      </c>
      <c r="AB352">
        <f>ROUND((AC352+AD352+AF352),6)</f>
        <v>2079.84</v>
      </c>
      <c r="AC352">
        <f>ROUND((ES352),6)</f>
        <v>0</v>
      </c>
      <c r="AD352">
        <f>ROUND(((((ET352*48))-((EU352*48)))+AE352),6)</f>
        <v>2079.84</v>
      </c>
      <c r="AE352">
        <f>ROUND(((EU352*48)),6)</f>
        <v>1268.6400000000001</v>
      </c>
      <c r="AF352">
        <f>ROUND(((EV352*48)),6)</f>
        <v>0</v>
      </c>
      <c r="AG352">
        <f>ROUND((AP352),6)</f>
        <v>0</v>
      </c>
      <c r="AH352">
        <f>((EW352*48))</f>
        <v>0</v>
      </c>
      <c r="AI352">
        <f>((EX352*48))</f>
        <v>0</v>
      </c>
      <c r="AJ352">
        <f>(AS352)</f>
        <v>0</v>
      </c>
      <c r="AK352">
        <v>43.33</v>
      </c>
      <c r="AL352">
        <v>0</v>
      </c>
      <c r="AM352">
        <v>43.33</v>
      </c>
      <c r="AN352">
        <v>26.43</v>
      </c>
      <c r="AO352">
        <v>0</v>
      </c>
      <c r="AP352">
        <v>0</v>
      </c>
      <c r="AQ352">
        <v>0</v>
      </c>
      <c r="AR352">
        <v>0</v>
      </c>
      <c r="AS352">
        <v>0</v>
      </c>
      <c r="AT352">
        <v>0</v>
      </c>
      <c r="AU352">
        <v>0</v>
      </c>
      <c r="AV352">
        <v>1</v>
      </c>
      <c r="AW352">
        <v>1</v>
      </c>
      <c r="AZ352">
        <v>1</v>
      </c>
      <c r="BA352">
        <v>1</v>
      </c>
      <c r="BB352">
        <v>1</v>
      </c>
      <c r="BC352">
        <v>1</v>
      </c>
      <c r="BD352" t="s">
        <v>3</v>
      </c>
      <c r="BE352" t="s">
        <v>3</v>
      </c>
      <c r="BF352" t="s">
        <v>3</v>
      </c>
      <c r="BG352" t="s">
        <v>3</v>
      </c>
      <c r="BH352">
        <v>0</v>
      </c>
      <c r="BI352">
        <v>4</v>
      </c>
      <c r="BJ352" t="s">
        <v>267</v>
      </c>
      <c r="BM352">
        <v>1</v>
      </c>
      <c r="BN352">
        <v>75371441</v>
      </c>
      <c r="BO352" t="s">
        <v>3</v>
      </c>
      <c r="BP352">
        <v>0</v>
      </c>
      <c r="BQ352">
        <v>1</v>
      </c>
      <c r="BR352">
        <v>0</v>
      </c>
      <c r="BS352">
        <v>1</v>
      </c>
      <c r="BT352">
        <v>1</v>
      </c>
      <c r="BU352">
        <v>1</v>
      </c>
      <c r="BV352">
        <v>1</v>
      </c>
      <c r="BW352">
        <v>1</v>
      </c>
      <c r="BX352">
        <v>1</v>
      </c>
      <c r="BY352" t="s">
        <v>3</v>
      </c>
      <c r="BZ352">
        <v>0</v>
      </c>
      <c r="CA352">
        <v>0</v>
      </c>
      <c r="CB352" t="s">
        <v>3</v>
      </c>
      <c r="CE352">
        <v>0</v>
      </c>
      <c r="CF352">
        <v>0</v>
      </c>
      <c r="CG352">
        <v>0</v>
      </c>
      <c r="CM352">
        <v>0</v>
      </c>
      <c r="CN352" t="s">
        <v>3</v>
      </c>
      <c r="CO352">
        <v>0</v>
      </c>
      <c r="CP352">
        <f>(P352+Q352+S352)</f>
        <v>642.66999999999996</v>
      </c>
      <c r="CQ352">
        <f>(AC352*BC352*AW352)</f>
        <v>0</v>
      </c>
      <c r="CR352">
        <f>(((((ET352*48))*BB352-((EU352*48))*BS352)+AE352*BS352)*AV352)</f>
        <v>2079.84</v>
      </c>
      <c r="CS352">
        <f>(AE352*BS352*AV352)</f>
        <v>1268.6400000000001</v>
      </c>
      <c r="CT352">
        <f>(AF352*BA352*AV352)</f>
        <v>0</v>
      </c>
      <c r="CU352">
        <f>AG352</f>
        <v>0</v>
      </c>
      <c r="CV352">
        <f>(AH352*AV352)</f>
        <v>0</v>
      </c>
      <c r="CW352">
        <f t="shared" si="215"/>
        <v>0</v>
      </c>
      <c r="CX352">
        <f t="shared" si="215"/>
        <v>0</v>
      </c>
      <c r="CY352">
        <f>((S352*BZ352)/100)</f>
        <v>0</v>
      </c>
      <c r="CZ352">
        <f>((S352*CA352)/100)</f>
        <v>0</v>
      </c>
      <c r="DC352" t="s">
        <v>3</v>
      </c>
      <c r="DD352" t="s">
        <v>3</v>
      </c>
      <c r="DE352" t="s">
        <v>268</v>
      </c>
      <c r="DF352" t="s">
        <v>268</v>
      </c>
      <c r="DG352" t="s">
        <v>268</v>
      </c>
      <c r="DH352" t="s">
        <v>3</v>
      </c>
      <c r="DI352" t="s">
        <v>268</v>
      </c>
      <c r="DJ352" t="s">
        <v>268</v>
      </c>
      <c r="DK352" t="s">
        <v>3</v>
      </c>
      <c r="DL352" t="s">
        <v>3</v>
      </c>
      <c r="DM352" t="s">
        <v>3</v>
      </c>
      <c r="DN352">
        <v>0</v>
      </c>
      <c r="DO352">
        <v>0</v>
      </c>
      <c r="DP352">
        <v>1</v>
      </c>
      <c r="DQ352">
        <v>1</v>
      </c>
      <c r="DU352">
        <v>1009</v>
      </c>
      <c r="DV352" t="s">
        <v>56</v>
      </c>
      <c r="DW352" t="s">
        <v>56</v>
      </c>
      <c r="DX352">
        <v>1000</v>
      </c>
      <c r="DZ352" t="s">
        <v>3</v>
      </c>
      <c r="EA352" t="s">
        <v>3</v>
      </c>
      <c r="EB352" t="s">
        <v>3</v>
      </c>
      <c r="EC352" t="s">
        <v>3</v>
      </c>
      <c r="EE352">
        <v>75371446</v>
      </c>
      <c r="EF352">
        <v>1</v>
      </c>
      <c r="EG352" t="s">
        <v>22</v>
      </c>
      <c r="EH352">
        <v>0</v>
      </c>
      <c r="EI352" t="s">
        <v>3</v>
      </c>
      <c r="EJ352">
        <v>4</v>
      </c>
      <c r="EK352">
        <v>1</v>
      </c>
      <c r="EL352" t="s">
        <v>263</v>
      </c>
      <c r="EM352" t="s">
        <v>24</v>
      </c>
      <c r="EO352" t="s">
        <v>3</v>
      </c>
      <c r="EQ352">
        <v>0</v>
      </c>
      <c r="ER352">
        <v>43.33</v>
      </c>
      <c r="ES352">
        <v>0</v>
      </c>
      <c r="ET352">
        <v>43.33</v>
      </c>
      <c r="EU352">
        <v>26.43</v>
      </c>
      <c r="EV352">
        <v>0</v>
      </c>
      <c r="EW352">
        <v>0</v>
      </c>
      <c r="EX352">
        <v>0</v>
      </c>
      <c r="EY352">
        <v>0</v>
      </c>
      <c r="FQ352">
        <v>0</v>
      </c>
      <c r="FR352">
        <f>ROUND(IF(BI352=3,GM352,0),2)</f>
        <v>0</v>
      </c>
      <c r="FS352">
        <v>0</v>
      </c>
      <c r="FX352">
        <v>0</v>
      </c>
      <c r="FY352">
        <v>0</v>
      </c>
      <c r="GA352" t="s">
        <v>3</v>
      </c>
      <c r="GD352">
        <v>1</v>
      </c>
      <c r="GF352">
        <v>134341046</v>
      </c>
      <c r="GG352">
        <v>2</v>
      </c>
      <c r="GH352">
        <v>1</v>
      </c>
      <c r="GI352">
        <v>-2</v>
      </c>
      <c r="GJ352">
        <v>0</v>
      </c>
      <c r="GK352">
        <v>0</v>
      </c>
      <c r="GL352">
        <f>ROUND(IF(AND(BH352=3,BI352=3,FS352&lt;&gt;0),P352,0),2)</f>
        <v>0</v>
      </c>
      <c r="GM352">
        <f>ROUND(O352+X352+Y352,2)+GX352</f>
        <v>642.66999999999996</v>
      </c>
      <c r="GN352">
        <f>IF(OR(BI352=0,BI352=1),GM352-GX352,0)</f>
        <v>0</v>
      </c>
      <c r="GO352">
        <f>IF(BI352=2,GM352-GX352,0)</f>
        <v>0</v>
      </c>
      <c r="GP352">
        <f>IF(BI352=4,GM352-GX352,0)</f>
        <v>642.66999999999996</v>
      </c>
      <c r="GR352">
        <v>0</v>
      </c>
      <c r="GS352">
        <v>3</v>
      </c>
      <c r="GT352">
        <v>0</v>
      </c>
      <c r="GU352" t="s">
        <v>3</v>
      </c>
      <c r="GV352">
        <f>ROUND((GT352),6)</f>
        <v>0</v>
      </c>
      <c r="GW352">
        <v>1</v>
      </c>
      <c r="GX352">
        <f>ROUND(HC352*I352,2)</f>
        <v>0</v>
      </c>
      <c r="HA352">
        <v>0</v>
      </c>
      <c r="HB352">
        <v>0</v>
      </c>
      <c r="HC352">
        <f>GV352*GW352</f>
        <v>0</v>
      </c>
      <c r="HE352" t="s">
        <v>3</v>
      </c>
      <c r="HF352" t="s">
        <v>3</v>
      </c>
      <c r="HM352" t="s">
        <v>3</v>
      </c>
      <c r="HN352" t="s">
        <v>3</v>
      </c>
      <c r="HO352" t="s">
        <v>3</v>
      </c>
      <c r="HP352" t="s">
        <v>3</v>
      </c>
      <c r="HQ352" t="s">
        <v>3</v>
      </c>
      <c r="IK352">
        <v>0</v>
      </c>
    </row>
    <row r="354" spans="1:206" x14ac:dyDescent="0.2">
      <c r="A354" s="2">
        <v>51</v>
      </c>
      <c r="B354" s="2">
        <f>B346</f>
        <v>1</v>
      </c>
      <c r="C354" s="2">
        <f>A346</f>
        <v>4</v>
      </c>
      <c r="D354" s="2">
        <f>ROW(A346)</f>
        <v>346</v>
      </c>
      <c r="E354" s="2"/>
      <c r="F354" s="2" t="str">
        <f>IF(F346&lt;&gt;"",F346,"")</f>
        <v>Новый раздел</v>
      </c>
      <c r="G354" s="2" t="str">
        <f>IF(G346&lt;&gt;"",G346,"")</f>
        <v>Мусор</v>
      </c>
      <c r="H354" s="2">
        <v>0</v>
      </c>
      <c r="I354" s="2"/>
      <c r="J354" s="2"/>
      <c r="K354" s="2"/>
      <c r="L354" s="2"/>
      <c r="M354" s="2"/>
      <c r="N354" s="2"/>
      <c r="O354" s="2">
        <f t="shared" ref="O354:T354" si="216">ROUND(AB354,2)</f>
        <v>707.36</v>
      </c>
      <c r="P354" s="2">
        <f t="shared" si="216"/>
        <v>0</v>
      </c>
      <c r="Q354" s="2">
        <f t="shared" si="216"/>
        <v>707.36</v>
      </c>
      <c r="R354" s="2">
        <f t="shared" si="216"/>
        <v>424.85</v>
      </c>
      <c r="S354" s="2">
        <f t="shared" si="216"/>
        <v>0</v>
      </c>
      <c r="T354" s="2">
        <f t="shared" si="216"/>
        <v>0</v>
      </c>
      <c r="U354" s="2">
        <f>AH354</f>
        <v>0</v>
      </c>
      <c r="V354" s="2">
        <f>AI354</f>
        <v>0</v>
      </c>
      <c r="W354" s="2">
        <f>ROUND(AJ354,2)</f>
        <v>0</v>
      </c>
      <c r="X354" s="2">
        <f>ROUND(AK354,2)</f>
        <v>0</v>
      </c>
      <c r="Y354" s="2">
        <f>ROUND(AL354,2)</f>
        <v>0</v>
      </c>
      <c r="Z354" s="2"/>
      <c r="AA354" s="2"/>
      <c r="AB354" s="2">
        <f>ROUND(SUMIF(AA350:AA352,"=75703208",O350:O352),2)</f>
        <v>707.36</v>
      </c>
      <c r="AC354" s="2">
        <f>ROUND(SUMIF(AA350:AA352,"=75703208",P350:P352),2)</f>
        <v>0</v>
      </c>
      <c r="AD354" s="2">
        <f>ROUND(SUMIF(AA350:AA352,"=75703208",Q350:Q352),2)</f>
        <v>707.36</v>
      </c>
      <c r="AE354" s="2">
        <f>ROUND(SUMIF(AA350:AA352,"=75703208",R350:R352),2)</f>
        <v>424.85</v>
      </c>
      <c r="AF354" s="2">
        <f>ROUND(SUMIF(AA350:AA352,"=75703208",S350:S352),2)</f>
        <v>0</v>
      </c>
      <c r="AG354" s="2">
        <f>ROUND(SUMIF(AA350:AA352,"=75703208",T350:T352),2)</f>
        <v>0</v>
      </c>
      <c r="AH354" s="2">
        <f>SUMIF(AA350:AA352,"=75703208",U350:U352)</f>
        <v>0</v>
      </c>
      <c r="AI354" s="2">
        <f>SUMIF(AA350:AA352,"=75703208",V350:V352)</f>
        <v>0</v>
      </c>
      <c r="AJ354" s="2">
        <f>ROUND(SUMIF(AA350:AA352,"=75703208",W350:W352),2)</f>
        <v>0</v>
      </c>
      <c r="AK354" s="2">
        <f>ROUND(SUMIF(AA350:AA352,"=75703208",X350:X352),2)</f>
        <v>0</v>
      </c>
      <c r="AL354" s="2">
        <f>ROUND(SUMIF(AA350:AA352,"=75703208",Y350:Y352),2)</f>
        <v>0</v>
      </c>
      <c r="AM354" s="2"/>
      <c r="AN354" s="2"/>
      <c r="AO354" s="2">
        <f t="shared" ref="AO354:BD354" si="217">ROUND(BX354,2)</f>
        <v>0</v>
      </c>
      <c r="AP354" s="2">
        <f t="shared" si="217"/>
        <v>0</v>
      </c>
      <c r="AQ354" s="2">
        <f t="shared" si="217"/>
        <v>0</v>
      </c>
      <c r="AR354" s="2">
        <f t="shared" si="217"/>
        <v>724.21</v>
      </c>
      <c r="AS354" s="2">
        <f t="shared" si="217"/>
        <v>0</v>
      </c>
      <c r="AT354" s="2">
        <f t="shared" si="217"/>
        <v>0</v>
      </c>
      <c r="AU354" s="2">
        <f t="shared" si="217"/>
        <v>724.21</v>
      </c>
      <c r="AV354" s="2">
        <f t="shared" si="217"/>
        <v>0</v>
      </c>
      <c r="AW354" s="2">
        <f t="shared" si="217"/>
        <v>0</v>
      </c>
      <c r="AX354" s="2">
        <f t="shared" si="217"/>
        <v>0</v>
      </c>
      <c r="AY354" s="2">
        <f t="shared" si="217"/>
        <v>0</v>
      </c>
      <c r="AZ354" s="2">
        <f t="shared" si="217"/>
        <v>0</v>
      </c>
      <c r="BA354" s="2">
        <f t="shared" si="217"/>
        <v>0</v>
      </c>
      <c r="BB354" s="2">
        <f t="shared" si="217"/>
        <v>0</v>
      </c>
      <c r="BC354" s="2">
        <f t="shared" si="217"/>
        <v>0</v>
      </c>
      <c r="BD354" s="2">
        <f t="shared" si="217"/>
        <v>0</v>
      </c>
      <c r="BE354" s="2"/>
      <c r="BF354" s="2"/>
      <c r="BG354" s="2"/>
      <c r="BH354" s="2"/>
      <c r="BI354" s="2"/>
      <c r="BJ354" s="2"/>
      <c r="BK354" s="2"/>
      <c r="BL354" s="2"/>
      <c r="BM354" s="2"/>
      <c r="BN354" s="2"/>
      <c r="BO354" s="2"/>
      <c r="BP354" s="2"/>
      <c r="BQ354" s="2"/>
      <c r="BR354" s="2"/>
      <c r="BS354" s="2"/>
      <c r="BT354" s="2"/>
      <c r="BU354" s="2"/>
      <c r="BV354" s="2"/>
      <c r="BW354" s="2"/>
      <c r="BX354" s="2">
        <f>ROUND(SUMIF(AA350:AA352,"=75703208",FQ350:FQ352),2)</f>
        <v>0</v>
      </c>
      <c r="BY354" s="2">
        <f>ROUND(SUMIF(AA350:AA352,"=75703208",FR350:FR352),2)</f>
        <v>0</v>
      </c>
      <c r="BZ354" s="2">
        <f>ROUND(SUMIF(AA350:AA352,"=75703208",GL350:GL352),2)</f>
        <v>0</v>
      </c>
      <c r="CA354" s="2">
        <f>ROUND(SUMIF(AA350:AA352,"=75703208",GM350:GM352),2)</f>
        <v>724.21</v>
      </c>
      <c r="CB354" s="2">
        <f>ROUND(SUMIF(AA350:AA352,"=75703208",GN350:GN352),2)</f>
        <v>0</v>
      </c>
      <c r="CC354" s="2">
        <f>ROUND(SUMIF(AA350:AA352,"=75703208",GO350:GO352),2)</f>
        <v>0</v>
      </c>
      <c r="CD354" s="2">
        <f>ROUND(SUMIF(AA350:AA352,"=75703208",GP350:GP352),2)</f>
        <v>724.21</v>
      </c>
      <c r="CE354" s="2">
        <f>AC354-BX354</f>
        <v>0</v>
      </c>
      <c r="CF354" s="2">
        <f>AC354-BY354</f>
        <v>0</v>
      </c>
      <c r="CG354" s="2">
        <f>BX354-BZ354</f>
        <v>0</v>
      </c>
      <c r="CH354" s="2">
        <f>AC354-BX354-BY354+BZ354</f>
        <v>0</v>
      </c>
      <c r="CI354" s="2">
        <f>BY354-BZ354</f>
        <v>0</v>
      </c>
      <c r="CJ354" s="2">
        <f>ROUND(SUMIF(AA350:AA352,"=75703208",GX350:GX352),2)</f>
        <v>0</v>
      </c>
      <c r="CK354" s="2">
        <f>ROUND(SUMIF(AA350:AA352,"=75703208",GY350:GY352),2)</f>
        <v>0</v>
      </c>
      <c r="CL354" s="2">
        <f>ROUND(SUMIF(AA350:AA352,"=75703208",GZ350:GZ352),2)</f>
        <v>0</v>
      </c>
      <c r="CM354" s="2">
        <f>ROUND(SUMIF(AA350:AA352,"=75703208",HD350:HD352),2)</f>
        <v>0</v>
      </c>
      <c r="CN354" s="2"/>
      <c r="CO354" s="2"/>
      <c r="CP354" s="2"/>
      <c r="CQ354" s="2"/>
      <c r="CR354" s="2"/>
      <c r="CS354" s="2"/>
      <c r="CT354" s="2"/>
      <c r="CU354" s="2"/>
      <c r="CV354" s="2"/>
      <c r="CW354" s="2"/>
      <c r="CX354" s="2"/>
      <c r="CY354" s="2"/>
      <c r="CZ354" s="2"/>
      <c r="DA354" s="2"/>
      <c r="DB354" s="2"/>
      <c r="DC354" s="2"/>
      <c r="DD354" s="2"/>
      <c r="DE354" s="2"/>
      <c r="DF354" s="2"/>
      <c r="DG354" s="3"/>
      <c r="DH354" s="3"/>
      <c r="DI354" s="3"/>
      <c r="DJ354" s="3"/>
      <c r="DK354" s="3"/>
      <c r="DL354" s="3"/>
      <c r="DM354" s="3"/>
      <c r="DN354" s="3"/>
      <c r="DO354" s="3"/>
      <c r="DP354" s="3"/>
      <c r="DQ354" s="3"/>
      <c r="DR354" s="3"/>
      <c r="DS354" s="3"/>
      <c r="DT354" s="3"/>
      <c r="DU354" s="3"/>
      <c r="DV354" s="3"/>
      <c r="DW354" s="3"/>
      <c r="DX354" s="3"/>
      <c r="DY354" s="3"/>
      <c r="DZ354" s="3"/>
      <c r="EA354" s="3"/>
      <c r="EB354" s="3"/>
      <c r="EC354" s="3"/>
      <c r="ED354" s="3"/>
      <c r="EE354" s="3"/>
      <c r="EF354" s="3"/>
      <c r="EG354" s="3"/>
      <c r="EH354" s="3"/>
      <c r="EI354" s="3"/>
      <c r="EJ354" s="3"/>
      <c r="EK354" s="3"/>
      <c r="EL354" s="3"/>
      <c r="EM354" s="3"/>
      <c r="EN354" s="3"/>
      <c r="EO354" s="3"/>
      <c r="EP354" s="3"/>
      <c r="EQ354" s="3"/>
      <c r="ER354" s="3"/>
      <c r="ES354" s="3"/>
      <c r="ET354" s="3"/>
      <c r="EU354" s="3"/>
      <c r="EV354" s="3"/>
      <c r="EW354" s="3"/>
      <c r="EX354" s="3"/>
      <c r="EY354" s="3"/>
      <c r="EZ354" s="3"/>
      <c r="FA354" s="3"/>
      <c r="FB354" s="3"/>
      <c r="FC354" s="3"/>
      <c r="FD354" s="3"/>
      <c r="FE354" s="3"/>
      <c r="FF354" s="3"/>
      <c r="FG354" s="3"/>
      <c r="FH354" s="3"/>
      <c r="FI354" s="3"/>
      <c r="FJ354" s="3"/>
      <c r="FK354" s="3"/>
      <c r="FL354" s="3"/>
      <c r="FM354" s="3"/>
      <c r="FN354" s="3"/>
      <c r="FO354" s="3"/>
      <c r="FP354" s="3"/>
      <c r="FQ354" s="3"/>
      <c r="FR354" s="3"/>
      <c r="FS354" s="3"/>
      <c r="FT354" s="3"/>
      <c r="FU354" s="3"/>
      <c r="FV354" s="3"/>
      <c r="FW354" s="3"/>
      <c r="FX354" s="3"/>
      <c r="FY354" s="3"/>
      <c r="FZ354" s="3"/>
      <c r="GA354" s="3"/>
      <c r="GB354" s="3"/>
      <c r="GC354" s="3"/>
      <c r="GD354" s="3"/>
      <c r="GE354" s="3"/>
      <c r="GF354" s="3"/>
      <c r="GG354" s="3"/>
      <c r="GH354" s="3"/>
      <c r="GI354" s="3"/>
      <c r="GJ354" s="3"/>
      <c r="GK354" s="3"/>
      <c r="GL354" s="3"/>
      <c r="GM354" s="3"/>
      <c r="GN354" s="3"/>
      <c r="GO354" s="3"/>
      <c r="GP354" s="3"/>
      <c r="GQ354" s="3"/>
      <c r="GR354" s="3"/>
      <c r="GS354" s="3"/>
      <c r="GT354" s="3"/>
      <c r="GU354" s="3"/>
      <c r="GV354" s="3"/>
      <c r="GW354" s="3"/>
      <c r="GX354" s="3">
        <v>0</v>
      </c>
    </row>
    <row r="356" spans="1:206" x14ac:dyDescent="0.2">
      <c r="A356" s="4">
        <v>50</v>
      </c>
      <c r="B356" s="4">
        <v>0</v>
      </c>
      <c r="C356" s="4">
        <v>0</v>
      </c>
      <c r="D356" s="4">
        <v>1</v>
      </c>
      <c r="E356" s="4">
        <v>201</v>
      </c>
      <c r="F356" s="4">
        <f>ROUND(Source!O354,O356)</f>
        <v>707.36</v>
      </c>
      <c r="G356" s="4" t="s">
        <v>86</v>
      </c>
      <c r="H356" s="4" t="s">
        <v>87</v>
      </c>
      <c r="I356" s="4"/>
      <c r="J356" s="4"/>
      <c r="K356" s="4">
        <v>201</v>
      </c>
      <c r="L356" s="4">
        <v>1</v>
      </c>
      <c r="M356" s="4">
        <v>3</v>
      </c>
      <c r="N356" s="4" t="s">
        <v>3</v>
      </c>
      <c r="O356" s="4">
        <v>2</v>
      </c>
      <c r="P356" s="4"/>
      <c r="Q356" s="4"/>
      <c r="R356" s="4"/>
      <c r="S356" s="4"/>
      <c r="T356" s="4"/>
      <c r="U356" s="4"/>
      <c r="V356" s="4"/>
      <c r="W356" s="4">
        <v>707.36</v>
      </c>
      <c r="X356" s="4">
        <v>1</v>
      </c>
      <c r="Y356" s="4">
        <v>707.36</v>
      </c>
      <c r="Z356" s="4"/>
      <c r="AA356" s="4"/>
      <c r="AB356" s="4"/>
    </row>
    <row r="357" spans="1:206" x14ac:dyDescent="0.2">
      <c r="A357" s="4">
        <v>50</v>
      </c>
      <c r="B357" s="4">
        <v>0</v>
      </c>
      <c r="C357" s="4">
        <v>0</v>
      </c>
      <c r="D357" s="4">
        <v>1</v>
      </c>
      <c r="E357" s="4">
        <v>202</v>
      </c>
      <c r="F357" s="4">
        <f>ROUND(Source!P354,O357)</f>
        <v>0</v>
      </c>
      <c r="G357" s="4" t="s">
        <v>88</v>
      </c>
      <c r="H357" s="4" t="s">
        <v>89</v>
      </c>
      <c r="I357" s="4"/>
      <c r="J357" s="4"/>
      <c r="K357" s="4">
        <v>202</v>
      </c>
      <c r="L357" s="4">
        <v>2</v>
      </c>
      <c r="M357" s="4">
        <v>3</v>
      </c>
      <c r="N357" s="4" t="s">
        <v>3</v>
      </c>
      <c r="O357" s="4">
        <v>2</v>
      </c>
      <c r="P357" s="4"/>
      <c r="Q357" s="4"/>
      <c r="R357" s="4"/>
      <c r="S357" s="4"/>
      <c r="T357" s="4"/>
      <c r="U357" s="4"/>
      <c r="V357" s="4"/>
      <c r="W357" s="4">
        <v>0</v>
      </c>
      <c r="X357" s="4">
        <v>1</v>
      </c>
      <c r="Y357" s="4">
        <v>0</v>
      </c>
      <c r="Z357" s="4"/>
      <c r="AA357" s="4"/>
      <c r="AB357" s="4"/>
    </row>
    <row r="358" spans="1:206" x14ac:dyDescent="0.2">
      <c r="A358" s="4">
        <v>50</v>
      </c>
      <c r="B358" s="4">
        <v>0</v>
      </c>
      <c r="C358" s="4">
        <v>0</v>
      </c>
      <c r="D358" s="4">
        <v>1</v>
      </c>
      <c r="E358" s="4">
        <v>222</v>
      </c>
      <c r="F358" s="4">
        <f>ROUND(Source!AO354,O358)</f>
        <v>0</v>
      </c>
      <c r="G358" s="4" t="s">
        <v>90</v>
      </c>
      <c r="H358" s="4" t="s">
        <v>91</v>
      </c>
      <c r="I358" s="4"/>
      <c r="J358" s="4"/>
      <c r="K358" s="4">
        <v>222</v>
      </c>
      <c r="L358" s="4">
        <v>3</v>
      </c>
      <c r="M358" s="4">
        <v>3</v>
      </c>
      <c r="N358" s="4" t="s">
        <v>3</v>
      </c>
      <c r="O358" s="4">
        <v>2</v>
      </c>
      <c r="P358" s="4"/>
      <c r="Q358" s="4"/>
      <c r="R358" s="4"/>
      <c r="S358" s="4"/>
      <c r="T358" s="4"/>
      <c r="U358" s="4"/>
      <c r="V358" s="4"/>
      <c r="W358" s="4">
        <v>0</v>
      </c>
      <c r="X358" s="4">
        <v>1</v>
      </c>
      <c r="Y358" s="4">
        <v>0</v>
      </c>
      <c r="Z358" s="4"/>
      <c r="AA358" s="4"/>
      <c r="AB358" s="4"/>
    </row>
    <row r="359" spans="1:206" x14ac:dyDescent="0.2">
      <c r="A359" s="4">
        <v>50</v>
      </c>
      <c r="B359" s="4">
        <v>0</v>
      </c>
      <c r="C359" s="4">
        <v>0</v>
      </c>
      <c r="D359" s="4">
        <v>1</v>
      </c>
      <c r="E359" s="4">
        <v>225</v>
      </c>
      <c r="F359" s="4">
        <f>ROUND(Source!AV354,O359)</f>
        <v>0</v>
      </c>
      <c r="G359" s="4" t="s">
        <v>92</v>
      </c>
      <c r="H359" s="4" t="s">
        <v>93</v>
      </c>
      <c r="I359" s="4"/>
      <c r="J359" s="4"/>
      <c r="K359" s="4">
        <v>225</v>
      </c>
      <c r="L359" s="4">
        <v>4</v>
      </c>
      <c r="M359" s="4">
        <v>3</v>
      </c>
      <c r="N359" s="4" t="s">
        <v>3</v>
      </c>
      <c r="O359" s="4">
        <v>2</v>
      </c>
      <c r="P359" s="4"/>
      <c r="Q359" s="4"/>
      <c r="R359" s="4"/>
      <c r="S359" s="4"/>
      <c r="T359" s="4"/>
      <c r="U359" s="4"/>
      <c r="V359" s="4"/>
      <c r="W359" s="4">
        <v>0</v>
      </c>
      <c r="X359" s="4">
        <v>1</v>
      </c>
      <c r="Y359" s="4">
        <v>0</v>
      </c>
      <c r="Z359" s="4"/>
      <c r="AA359" s="4"/>
      <c r="AB359" s="4"/>
    </row>
    <row r="360" spans="1:206" x14ac:dyDescent="0.2">
      <c r="A360" s="4">
        <v>50</v>
      </c>
      <c r="B360" s="4">
        <v>0</v>
      </c>
      <c r="C360" s="4">
        <v>0</v>
      </c>
      <c r="D360" s="4">
        <v>1</v>
      </c>
      <c r="E360" s="4">
        <v>226</v>
      </c>
      <c r="F360" s="4">
        <f>ROUND(Source!AW354,O360)</f>
        <v>0</v>
      </c>
      <c r="G360" s="4" t="s">
        <v>94</v>
      </c>
      <c r="H360" s="4" t="s">
        <v>95</v>
      </c>
      <c r="I360" s="4"/>
      <c r="J360" s="4"/>
      <c r="K360" s="4">
        <v>226</v>
      </c>
      <c r="L360" s="4">
        <v>5</v>
      </c>
      <c r="M360" s="4">
        <v>3</v>
      </c>
      <c r="N360" s="4" t="s">
        <v>3</v>
      </c>
      <c r="O360" s="4">
        <v>2</v>
      </c>
      <c r="P360" s="4"/>
      <c r="Q360" s="4"/>
      <c r="R360" s="4"/>
      <c r="S360" s="4"/>
      <c r="T360" s="4"/>
      <c r="U360" s="4"/>
      <c r="V360" s="4"/>
      <c r="W360" s="4">
        <v>0</v>
      </c>
      <c r="X360" s="4">
        <v>1</v>
      </c>
      <c r="Y360" s="4">
        <v>0</v>
      </c>
      <c r="Z360" s="4"/>
      <c r="AA360" s="4"/>
      <c r="AB360" s="4"/>
    </row>
    <row r="361" spans="1:206" x14ac:dyDescent="0.2">
      <c r="A361" s="4">
        <v>50</v>
      </c>
      <c r="B361" s="4">
        <v>0</v>
      </c>
      <c r="C361" s="4">
        <v>0</v>
      </c>
      <c r="D361" s="4">
        <v>1</v>
      </c>
      <c r="E361" s="4">
        <v>227</v>
      </c>
      <c r="F361" s="4">
        <f>ROUND(Source!AX354,O361)</f>
        <v>0</v>
      </c>
      <c r="G361" s="4" t="s">
        <v>96</v>
      </c>
      <c r="H361" s="4" t="s">
        <v>97</v>
      </c>
      <c r="I361" s="4"/>
      <c r="J361" s="4"/>
      <c r="K361" s="4">
        <v>227</v>
      </c>
      <c r="L361" s="4">
        <v>6</v>
      </c>
      <c r="M361" s="4">
        <v>3</v>
      </c>
      <c r="N361" s="4" t="s">
        <v>3</v>
      </c>
      <c r="O361" s="4">
        <v>2</v>
      </c>
      <c r="P361" s="4"/>
      <c r="Q361" s="4"/>
      <c r="R361" s="4"/>
      <c r="S361" s="4"/>
      <c r="T361" s="4"/>
      <c r="U361" s="4"/>
      <c r="V361" s="4"/>
      <c r="W361" s="4">
        <v>0</v>
      </c>
      <c r="X361" s="4">
        <v>1</v>
      </c>
      <c r="Y361" s="4">
        <v>0</v>
      </c>
      <c r="Z361" s="4"/>
      <c r="AA361" s="4"/>
      <c r="AB361" s="4"/>
    </row>
    <row r="362" spans="1:206" x14ac:dyDescent="0.2">
      <c r="A362" s="4">
        <v>50</v>
      </c>
      <c r="B362" s="4">
        <v>0</v>
      </c>
      <c r="C362" s="4">
        <v>0</v>
      </c>
      <c r="D362" s="4">
        <v>1</v>
      </c>
      <c r="E362" s="4">
        <v>228</v>
      </c>
      <c r="F362" s="4">
        <f>ROUND(Source!AY354,O362)</f>
        <v>0</v>
      </c>
      <c r="G362" s="4" t="s">
        <v>98</v>
      </c>
      <c r="H362" s="4" t="s">
        <v>99</v>
      </c>
      <c r="I362" s="4"/>
      <c r="J362" s="4"/>
      <c r="K362" s="4">
        <v>228</v>
      </c>
      <c r="L362" s="4">
        <v>7</v>
      </c>
      <c r="M362" s="4">
        <v>3</v>
      </c>
      <c r="N362" s="4" t="s">
        <v>3</v>
      </c>
      <c r="O362" s="4">
        <v>2</v>
      </c>
      <c r="P362" s="4"/>
      <c r="Q362" s="4"/>
      <c r="R362" s="4"/>
      <c r="S362" s="4"/>
      <c r="T362" s="4"/>
      <c r="U362" s="4"/>
      <c r="V362" s="4"/>
      <c r="W362" s="4">
        <v>0</v>
      </c>
      <c r="X362" s="4">
        <v>1</v>
      </c>
      <c r="Y362" s="4">
        <v>0</v>
      </c>
      <c r="Z362" s="4"/>
      <c r="AA362" s="4"/>
      <c r="AB362" s="4"/>
    </row>
    <row r="363" spans="1:206" x14ac:dyDescent="0.2">
      <c r="A363" s="4">
        <v>50</v>
      </c>
      <c r="B363" s="4">
        <v>0</v>
      </c>
      <c r="C363" s="4">
        <v>0</v>
      </c>
      <c r="D363" s="4">
        <v>1</v>
      </c>
      <c r="E363" s="4">
        <v>216</v>
      </c>
      <c r="F363" s="4">
        <f>ROUND(Source!AP354,O363)</f>
        <v>0</v>
      </c>
      <c r="G363" s="4" t="s">
        <v>100</v>
      </c>
      <c r="H363" s="4" t="s">
        <v>101</v>
      </c>
      <c r="I363" s="4"/>
      <c r="J363" s="4"/>
      <c r="K363" s="4">
        <v>216</v>
      </c>
      <c r="L363" s="4">
        <v>8</v>
      </c>
      <c r="M363" s="4">
        <v>3</v>
      </c>
      <c r="N363" s="4" t="s">
        <v>3</v>
      </c>
      <c r="O363" s="4">
        <v>2</v>
      </c>
      <c r="P363" s="4"/>
      <c r="Q363" s="4"/>
      <c r="R363" s="4"/>
      <c r="S363" s="4"/>
      <c r="T363" s="4"/>
      <c r="U363" s="4"/>
      <c r="V363" s="4"/>
      <c r="W363" s="4">
        <v>0</v>
      </c>
      <c r="X363" s="4">
        <v>1</v>
      </c>
      <c r="Y363" s="4">
        <v>0</v>
      </c>
      <c r="Z363" s="4"/>
      <c r="AA363" s="4"/>
      <c r="AB363" s="4"/>
    </row>
    <row r="364" spans="1:206" x14ac:dyDescent="0.2">
      <c r="A364" s="4">
        <v>50</v>
      </c>
      <c r="B364" s="4">
        <v>0</v>
      </c>
      <c r="C364" s="4">
        <v>0</v>
      </c>
      <c r="D364" s="4">
        <v>1</v>
      </c>
      <c r="E364" s="4">
        <v>223</v>
      </c>
      <c r="F364" s="4">
        <f>ROUND(Source!AQ354,O364)</f>
        <v>0</v>
      </c>
      <c r="G364" s="4" t="s">
        <v>102</v>
      </c>
      <c r="H364" s="4" t="s">
        <v>103</v>
      </c>
      <c r="I364" s="4"/>
      <c r="J364" s="4"/>
      <c r="K364" s="4">
        <v>223</v>
      </c>
      <c r="L364" s="4">
        <v>9</v>
      </c>
      <c r="M364" s="4">
        <v>3</v>
      </c>
      <c r="N364" s="4" t="s">
        <v>3</v>
      </c>
      <c r="O364" s="4">
        <v>2</v>
      </c>
      <c r="P364" s="4"/>
      <c r="Q364" s="4"/>
      <c r="R364" s="4"/>
      <c r="S364" s="4"/>
      <c r="T364" s="4"/>
      <c r="U364" s="4"/>
      <c r="V364" s="4"/>
      <c r="W364" s="4">
        <v>0</v>
      </c>
      <c r="X364" s="4">
        <v>1</v>
      </c>
      <c r="Y364" s="4">
        <v>0</v>
      </c>
      <c r="Z364" s="4"/>
      <c r="AA364" s="4"/>
      <c r="AB364" s="4"/>
    </row>
    <row r="365" spans="1:206" x14ac:dyDescent="0.2">
      <c r="A365" s="4">
        <v>50</v>
      </c>
      <c r="B365" s="4">
        <v>0</v>
      </c>
      <c r="C365" s="4">
        <v>0</v>
      </c>
      <c r="D365" s="4">
        <v>1</v>
      </c>
      <c r="E365" s="4">
        <v>229</v>
      </c>
      <c r="F365" s="4">
        <f>ROUND(Source!AZ354,O365)</f>
        <v>0</v>
      </c>
      <c r="G365" s="4" t="s">
        <v>104</v>
      </c>
      <c r="H365" s="4" t="s">
        <v>105</v>
      </c>
      <c r="I365" s="4"/>
      <c r="J365" s="4"/>
      <c r="K365" s="4">
        <v>229</v>
      </c>
      <c r="L365" s="4">
        <v>10</v>
      </c>
      <c r="M365" s="4">
        <v>3</v>
      </c>
      <c r="N365" s="4" t="s">
        <v>3</v>
      </c>
      <c r="O365" s="4">
        <v>2</v>
      </c>
      <c r="P365" s="4"/>
      <c r="Q365" s="4"/>
      <c r="R365" s="4"/>
      <c r="S365" s="4"/>
      <c r="T365" s="4"/>
      <c r="U365" s="4"/>
      <c r="V365" s="4"/>
      <c r="W365" s="4">
        <v>0</v>
      </c>
      <c r="X365" s="4">
        <v>1</v>
      </c>
      <c r="Y365" s="4">
        <v>0</v>
      </c>
      <c r="Z365" s="4"/>
      <c r="AA365" s="4"/>
      <c r="AB365" s="4"/>
    </row>
    <row r="366" spans="1:206" x14ac:dyDescent="0.2">
      <c r="A366" s="4">
        <v>50</v>
      </c>
      <c r="B366" s="4">
        <v>0</v>
      </c>
      <c r="C366" s="4">
        <v>0</v>
      </c>
      <c r="D366" s="4">
        <v>1</v>
      </c>
      <c r="E366" s="4">
        <v>203</v>
      </c>
      <c r="F366" s="4">
        <f>ROUND(Source!Q354,O366)</f>
        <v>707.36</v>
      </c>
      <c r="G366" s="4" t="s">
        <v>106</v>
      </c>
      <c r="H366" s="4" t="s">
        <v>107</v>
      </c>
      <c r="I366" s="4"/>
      <c r="J366" s="4"/>
      <c r="K366" s="4">
        <v>203</v>
      </c>
      <c r="L366" s="4">
        <v>11</v>
      </c>
      <c r="M366" s="4">
        <v>3</v>
      </c>
      <c r="N366" s="4" t="s">
        <v>3</v>
      </c>
      <c r="O366" s="4">
        <v>2</v>
      </c>
      <c r="P366" s="4"/>
      <c r="Q366" s="4"/>
      <c r="R366" s="4"/>
      <c r="S366" s="4"/>
      <c r="T366" s="4"/>
      <c r="U366" s="4"/>
      <c r="V366" s="4"/>
      <c r="W366" s="4">
        <v>707.36</v>
      </c>
      <c r="X366" s="4">
        <v>1</v>
      </c>
      <c r="Y366" s="4">
        <v>707.36</v>
      </c>
      <c r="Z366" s="4"/>
      <c r="AA366" s="4"/>
      <c r="AB366" s="4"/>
    </row>
    <row r="367" spans="1:206" x14ac:dyDescent="0.2">
      <c r="A367" s="4">
        <v>50</v>
      </c>
      <c r="B367" s="4">
        <v>0</v>
      </c>
      <c r="C367" s="4">
        <v>0</v>
      </c>
      <c r="D367" s="4">
        <v>1</v>
      </c>
      <c r="E367" s="4">
        <v>231</v>
      </c>
      <c r="F367" s="4">
        <f>ROUND(Source!BB354,O367)</f>
        <v>0</v>
      </c>
      <c r="G367" s="4" t="s">
        <v>108</v>
      </c>
      <c r="H367" s="4" t="s">
        <v>109</v>
      </c>
      <c r="I367" s="4"/>
      <c r="J367" s="4"/>
      <c r="K367" s="4">
        <v>231</v>
      </c>
      <c r="L367" s="4">
        <v>12</v>
      </c>
      <c r="M367" s="4">
        <v>3</v>
      </c>
      <c r="N367" s="4" t="s">
        <v>3</v>
      </c>
      <c r="O367" s="4">
        <v>2</v>
      </c>
      <c r="P367" s="4"/>
      <c r="Q367" s="4"/>
      <c r="R367" s="4"/>
      <c r="S367" s="4"/>
      <c r="T367" s="4"/>
      <c r="U367" s="4"/>
      <c r="V367" s="4"/>
      <c r="W367" s="4">
        <v>0</v>
      </c>
      <c r="X367" s="4">
        <v>1</v>
      </c>
      <c r="Y367" s="4">
        <v>0</v>
      </c>
      <c r="Z367" s="4"/>
      <c r="AA367" s="4"/>
      <c r="AB367" s="4"/>
    </row>
    <row r="368" spans="1:206" x14ac:dyDescent="0.2">
      <c r="A368" s="4">
        <v>50</v>
      </c>
      <c r="B368" s="4">
        <v>0</v>
      </c>
      <c r="C368" s="4">
        <v>0</v>
      </c>
      <c r="D368" s="4">
        <v>1</v>
      </c>
      <c r="E368" s="4">
        <v>204</v>
      </c>
      <c r="F368" s="4">
        <f>ROUND(Source!R354,O368)</f>
        <v>424.85</v>
      </c>
      <c r="G368" s="4" t="s">
        <v>110</v>
      </c>
      <c r="H368" s="4" t="s">
        <v>111</v>
      </c>
      <c r="I368" s="4"/>
      <c r="J368" s="4"/>
      <c r="K368" s="4">
        <v>204</v>
      </c>
      <c r="L368" s="4">
        <v>13</v>
      </c>
      <c r="M368" s="4">
        <v>3</v>
      </c>
      <c r="N368" s="4" t="s">
        <v>3</v>
      </c>
      <c r="O368" s="4">
        <v>2</v>
      </c>
      <c r="P368" s="4"/>
      <c r="Q368" s="4"/>
      <c r="R368" s="4"/>
      <c r="S368" s="4"/>
      <c r="T368" s="4"/>
      <c r="U368" s="4"/>
      <c r="V368" s="4"/>
      <c r="W368" s="4">
        <v>424.85</v>
      </c>
      <c r="X368" s="4">
        <v>1</v>
      </c>
      <c r="Y368" s="4">
        <v>424.85</v>
      </c>
      <c r="Z368" s="4"/>
      <c r="AA368" s="4"/>
      <c r="AB368" s="4"/>
    </row>
    <row r="369" spans="1:206" x14ac:dyDescent="0.2">
      <c r="A369" s="4">
        <v>50</v>
      </c>
      <c r="B369" s="4">
        <v>0</v>
      </c>
      <c r="C369" s="4">
        <v>0</v>
      </c>
      <c r="D369" s="4">
        <v>1</v>
      </c>
      <c r="E369" s="4">
        <v>205</v>
      </c>
      <c r="F369" s="4">
        <f>ROUND(Source!S354,O369)</f>
        <v>0</v>
      </c>
      <c r="G369" s="4" t="s">
        <v>112</v>
      </c>
      <c r="H369" s="4" t="s">
        <v>113</v>
      </c>
      <c r="I369" s="4"/>
      <c r="J369" s="4"/>
      <c r="K369" s="4">
        <v>205</v>
      </c>
      <c r="L369" s="4">
        <v>14</v>
      </c>
      <c r="M369" s="4">
        <v>3</v>
      </c>
      <c r="N369" s="4" t="s">
        <v>3</v>
      </c>
      <c r="O369" s="4">
        <v>2</v>
      </c>
      <c r="P369" s="4"/>
      <c r="Q369" s="4"/>
      <c r="R369" s="4"/>
      <c r="S369" s="4"/>
      <c r="T369" s="4"/>
      <c r="U369" s="4"/>
      <c r="V369" s="4"/>
      <c r="W369" s="4">
        <v>0</v>
      </c>
      <c r="X369" s="4">
        <v>1</v>
      </c>
      <c r="Y369" s="4">
        <v>0</v>
      </c>
      <c r="Z369" s="4"/>
      <c r="AA369" s="4"/>
      <c r="AB369" s="4"/>
    </row>
    <row r="370" spans="1:206" x14ac:dyDescent="0.2">
      <c r="A370" s="4">
        <v>50</v>
      </c>
      <c r="B370" s="4">
        <v>0</v>
      </c>
      <c r="C370" s="4">
        <v>0</v>
      </c>
      <c r="D370" s="4">
        <v>1</v>
      </c>
      <c r="E370" s="4">
        <v>232</v>
      </c>
      <c r="F370" s="4">
        <f>ROUND(Source!BC354,O370)</f>
        <v>0</v>
      </c>
      <c r="G370" s="4" t="s">
        <v>114</v>
      </c>
      <c r="H370" s="4" t="s">
        <v>115</v>
      </c>
      <c r="I370" s="4"/>
      <c r="J370" s="4"/>
      <c r="K370" s="4">
        <v>232</v>
      </c>
      <c r="L370" s="4">
        <v>15</v>
      </c>
      <c r="M370" s="4">
        <v>3</v>
      </c>
      <c r="N370" s="4" t="s">
        <v>3</v>
      </c>
      <c r="O370" s="4">
        <v>2</v>
      </c>
      <c r="P370" s="4"/>
      <c r="Q370" s="4"/>
      <c r="R370" s="4"/>
      <c r="S370" s="4"/>
      <c r="T370" s="4"/>
      <c r="U370" s="4"/>
      <c r="V370" s="4"/>
      <c r="W370" s="4">
        <v>0</v>
      </c>
      <c r="X370" s="4">
        <v>1</v>
      </c>
      <c r="Y370" s="4">
        <v>0</v>
      </c>
      <c r="Z370" s="4"/>
      <c r="AA370" s="4"/>
      <c r="AB370" s="4"/>
    </row>
    <row r="371" spans="1:206" x14ac:dyDescent="0.2">
      <c r="A371" s="4">
        <v>50</v>
      </c>
      <c r="B371" s="4">
        <v>0</v>
      </c>
      <c r="C371" s="4">
        <v>0</v>
      </c>
      <c r="D371" s="4">
        <v>1</v>
      </c>
      <c r="E371" s="4">
        <v>214</v>
      </c>
      <c r="F371" s="4">
        <f>ROUND(Source!AS354,O371)</f>
        <v>0</v>
      </c>
      <c r="G371" s="4" t="s">
        <v>116</v>
      </c>
      <c r="H371" s="4" t="s">
        <v>117</v>
      </c>
      <c r="I371" s="4"/>
      <c r="J371" s="4"/>
      <c r="K371" s="4">
        <v>214</v>
      </c>
      <c r="L371" s="4">
        <v>16</v>
      </c>
      <c r="M371" s="4">
        <v>3</v>
      </c>
      <c r="N371" s="4" t="s">
        <v>3</v>
      </c>
      <c r="O371" s="4">
        <v>2</v>
      </c>
      <c r="P371" s="4"/>
      <c r="Q371" s="4"/>
      <c r="R371" s="4"/>
      <c r="S371" s="4"/>
      <c r="T371" s="4"/>
      <c r="U371" s="4"/>
      <c r="V371" s="4"/>
      <c r="W371" s="4">
        <v>0</v>
      </c>
      <c r="X371" s="4">
        <v>1</v>
      </c>
      <c r="Y371" s="4">
        <v>0</v>
      </c>
      <c r="Z371" s="4"/>
      <c r="AA371" s="4"/>
      <c r="AB371" s="4"/>
    </row>
    <row r="372" spans="1:206" x14ac:dyDescent="0.2">
      <c r="A372" s="4">
        <v>50</v>
      </c>
      <c r="B372" s="4">
        <v>0</v>
      </c>
      <c r="C372" s="4">
        <v>0</v>
      </c>
      <c r="D372" s="4">
        <v>1</v>
      </c>
      <c r="E372" s="4">
        <v>215</v>
      </c>
      <c r="F372" s="4">
        <f>ROUND(Source!AT354,O372)</f>
        <v>0</v>
      </c>
      <c r="G372" s="4" t="s">
        <v>118</v>
      </c>
      <c r="H372" s="4" t="s">
        <v>119</v>
      </c>
      <c r="I372" s="4"/>
      <c r="J372" s="4"/>
      <c r="K372" s="4">
        <v>215</v>
      </c>
      <c r="L372" s="4">
        <v>17</v>
      </c>
      <c r="M372" s="4">
        <v>3</v>
      </c>
      <c r="N372" s="4" t="s">
        <v>3</v>
      </c>
      <c r="O372" s="4">
        <v>2</v>
      </c>
      <c r="P372" s="4"/>
      <c r="Q372" s="4"/>
      <c r="R372" s="4"/>
      <c r="S372" s="4"/>
      <c r="T372" s="4"/>
      <c r="U372" s="4"/>
      <c r="V372" s="4"/>
      <c r="W372" s="4">
        <v>0</v>
      </c>
      <c r="X372" s="4">
        <v>1</v>
      </c>
      <c r="Y372" s="4">
        <v>0</v>
      </c>
      <c r="Z372" s="4"/>
      <c r="AA372" s="4"/>
      <c r="AB372" s="4"/>
    </row>
    <row r="373" spans="1:206" x14ac:dyDescent="0.2">
      <c r="A373" s="4">
        <v>50</v>
      </c>
      <c r="B373" s="4">
        <v>0</v>
      </c>
      <c r="C373" s="4">
        <v>0</v>
      </c>
      <c r="D373" s="4">
        <v>1</v>
      </c>
      <c r="E373" s="4">
        <v>217</v>
      </c>
      <c r="F373" s="4">
        <f>ROUND(Source!AU354,O373)</f>
        <v>724.21</v>
      </c>
      <c r="G373" s="4" t="s">
        <v>120</v>
      </c>
      <c r="H373" s="4" t="s">
        <v>121</v>
      </c>
      <c r="I373" s="4"/>
      <c r="J373" s="4"/>
      <c r="K373" s="4">
        <v>217</v>
      </c>
      <c r="L373" s="4">
        <v>18</v>
      </c>
      <c r="M373" s="4">
        <v>3</v>
      </c>
      <c r="N373" s="4" t="s">
        <v>3</v>
      </c>
      <c r="O373" s="4">
        <v>2</v>
      </c>
      <c r="P373" s="4"/>
      <c r="Q373" s="4"/>
      <c r="R373" s="4"/>
      <c r="S373" s="4"/>
      <c r="T373" s="4"/>
      <c r="U373" s="4"/>
      <c r="V373" s="4"/>
      <c r="W373" s="4">
        <v>724.21</v>
      </c>
      <c r="X373" s="4">
        <v>1</v>
      </c>
      <c r="Y373" s="4">
        <v>724.21</v>
      </c>
      <c r="Z373" s="4"/>
      <c r="AA373" s="4"/>
      <c r="AB373" s="4"/>
    </row>
    <row r="374" spans="1:206" x14ac:dyDescent="0.2">
      <c r="A374" s="4">
        <v>50</v>
      </c>
      <c r="B374" s="4">
        <v>0</v>
      </c>
      <c r="C374" s="4">
        <v>0</v>
      </c>
      <c r="D374" s="4">
        <v>1</v>
      </c>
      <c r="E374" s="4">
        <v>230</v>
      </c>
      <c r="F374" s="4">
        <f>ROUND(Source!BA354,O374)</f>
        <v>0</v>
      </c>
      <c r="G374" s="4" t="s">
        <v>122</v>
      </c>
      <c r="H374" s="4" t="s">
        <v>123</v>
      </c>
      <c r="I374" s="4"/>
      <c r="J374" s="4"/>
      <c r="K374" s="4">
        <v>230</v>
      </c>
      <c r="L374" s="4">
        <v>19</v>
      </c>
      <c r="M374" s="4">
        <v>3</v>
      </c>
      <c r="N374" s="4" t="s">
        <v>3</v>
      </c>
      <c r="O374" s="4">
        <v>2</v>
      </c>
      <c r="P374" s="4"/>
      <c r="Q374" s="4"/>
      <c r="R374" s="4"/>
      <c r="S374" s="4"/>
      <c r="T374" s="4"/>
      <c r="U374" s="4"/>
      <c r="V374" s="4"/>
      <c r="W374" s="4">
        <v>0</v>
      </c>
      <c r="X374" s="4">
        <v>1</v>
      </c>
      <c r="Y374" s="4">
        <v>0</v>
      </c>
      <c r="Z374" s="4"/>
      <c r="AA374" s="4"/>
      <c r="AB374" s="4"/>
    </row>
    <row r="375" spans="1:206" x14ac:dyDescent="0.2">
      <c r="A375" s="4">
        <v>50</v>
      </c>
      <c r="B375" s="4">
        <v>0</v>
      </c>
      <c r="C375" s="4">
        <v>0</v>
      </c>
      <c r="D375" s="4">
        <v>1</v>
      </c>
      <c r="E375" s="4">
        <v>206</v>
      </c>
      <c r="F375" s="4">
        <f>ROUND(Source!T354,O375)</f>
        <v>0</v>
      </c>
      <c r="G375" s="4" t="s">
        <v>124</v>
      </c>
      <c r="H375" s="4" t="s">
        <v>125</v>
      </c>
      <c r="I375" s="4"/>
      <c r="J375" s="4"/>
      <c r="K375" s="4">
        <v>206</v>
      </c>
      <c r="L375" s="4">
        <v>20</v>
      </c>
      <c r="M375" s="4">
        <v>3</v>
      </c>
      <c r="N375" s="4" t="s">
        <v>3</v>
      </c>
      <c r="O375" s="4">
        <v>2</v>
      </c>
      <c r="P375" s="4"/>
      <c r="Q375" s="4"/>
      <c r="R375" s="4"/>
      <c r="S375" s="4"/>
      <c r="T375" s="4"/>
      <c r="U375" s="4"/>
      <c r="V375" s="4"/>
      <c r="W375" s="4">
        <v>0</v>
      </c>
      <c r="X375" s="4">
        <v>1</v>
      </c>
      <c r="Y375" s="4">
        <v>0</v>
      </c>
      <c r="Z375" s="4"/>
      <c r="AA375" s="4"/>
      <c r="AB375" s="4"/>
    </row>
    <row r="376" spans="1:206" x14ac:dyDescent="0.2">
      <c r="A376" s="4">
        <v>50</v>
      </c>
      <c r="B376" s="4">
        <v>0</v>
      </c>
      <c r="C376" s="4">
        <v>0</v>
      </c>
      <c r="D376" s="4">
        <v>1</v>
      </c>
      <c r="E376" s="4">
        <v>207</v>
      </c>
      <c r="F376" s="4">
        <f>Source!U354</f>
        <v>0</v>
      </c>
      <c r="G376" s="4" t="s">
        <v>126</v>
      </c>
      <c r="H376" s="4" t="s">
        <v>127</v>
      </c>
      <c r="I376" s="4"/>
      <c r="J376" s="4"/>
      <c r="K376" s="4">
        <v>207</v>
      </c>
      <c r="L376" s="4">
        <v>21</v>
      </c>
      <c r="M376" s="4">
        <v>3</v>
      </c>
      <c r="N376" s="4" t="s">
        <v>3</v>
      </c>
      <c r="O376" s="4">
        <v>-1</v>
      </c>
      <c r="P376" s="4"/>
      <c r="Q376" s="4"/>
      <c r="R376" s="4"/>
      <c r="S376" s="4"/>
      <c r="T376" s="4"/>
      <c r="U376" s="4"/>
      <c r="V376" s="4"/>
      <c r="W376" s="4">
        <v>0</v>
      </c>
      <c r="X376" s="4">
        <v>1</v>
      </c>
      <c r="Y376" s="4">
        <v>0</v>
      </c>
      <c r="Z376" s="4"/>
      <c r="AA376" s="4"/>
      <c r="AB376" s="4"/>
    </row>
    <row r="377" spans="1:206" x14ac:dyDescent="0.2">
      <c r="A377" s="4">
        <v>50</v>
      </c>
      <c r="B377" s="4">
        <v>0</v>
      </c>
      <c r="C377" s="4">
        <v>0</v>
      </c>
      <c r="D377" s="4">
        <v>1</v>
      </c>
      <c r="E377" s="4">
        <v>208</v>
      </c>
      <c r="F377" s="4">
        <f>Source!V354</f>
        <v>0</v>
      </c>
      <c r="G377" s="4" t="s">
        <v>128</v>
      </c>
      <c r="H377" s="4" t="s">
        <v>129</v>
      </c>
      <c r="I377" s="4"/>
      <c r="J377" s="4"/>
      <c r="K377" s="4">
        <v>208</v>
      </c>
      <c r="L377" s="4">
        <v>22</v>
      </c>
      <c r="M377" s="4">
        <v>3</v>
      </c>
      <c r="N377" s="4" t="s">
        <v>3</v>
      </c>
      <c r="O377" s="4">
        <v>-1</v>
      </c>
      <c r="P377" s="4"/>
      <c r="Q377" s="4"/>
      <c r="R377" s="4"/>
      <c r="S377" s="4"/>
      <c r="T377" s="4"/>
      <c r="U377" s="4"/>
      <c r="V377" s="4"/>
      <c r="W377" s="4">
        <v>0</v>
      </c>
      <c r="X377" s="4">
        <v>1</v>
      </c>
      <c r="Y377" s="4">
        <v>0</v>
      </c>
      <c r="Z377" s="4"/>
      <c r="AA377" s="4"/>
      <c r="AB377" s="4"/>
    </row>
    <row r="378" spans="1:206" x14ac:dyDescent="0.2">
      <c r="A378" s="4">
        <v>50</v>
      </c>
      <c r="B378" s="4">
        <v>0</v>
      </c>
      <c r="C378" s="4">
        <v>0</v>
      </c>
      <c r="D378" s="4">
        <v>1</v>
      </c>
      <c r="E378" s="4">
        <v>209</v>
      </c>
      <c r="F378" s="4">
        <f>ROUND(Source!W354,O378)</f>
        <v>0</v>
      </c>
      <c r="G378" s="4" t="s">
        <v>130</v>
      </c>
      <c r="H378" s="4" t="s">
        <v>131</v>
      </c>
      <c r="I378" s="4"/>
      <c r="J378" s="4"/>
      <c r="K378" s="4">
        <v>209</v>
      </c>
      <c r="L378" s="4">
        <v>23</v>
      </c>
      <c r="M378" s="4">
        <v>3</v>
      </c>
      <c r="N378" s="4" t="s">
        <v>3</v>
      </c>
      <c r="O378" s="4">
        <v>2</v>
      </c>
      <c r="P378" s="4"/>
      <c r="Q378" s="4"/>
      <c r="R378" s="4"/>
      <c r="S378" s="4"/>
      <c r="T378" s="4"/>
      <c r="U378" s="4"/>
      <c r="V378" s="4"/>
      <c r="W378" s="4">
        <v>0</v>
      </c>
      <c r="X378" s="4">
        <v>1</v>
      </c>
      <c r="Y378" s="4">
        <v>0</v>
      </c>
      <c r="Z378" s="4"/>
      <c r="AA378" s="4"/>
      <c r="AB378" s="4"/>
    </row>
    <row r="379" spans="1:206" x14ac:dyDescent="0.2">
      <c r="A379" s="4">
        <v>50</v>
      </c>
      <c r="B379" s="4">
        <v>0</v>
      </c>
      <c r="C379" s="4">
        <v>0</v>
      </c>
      <c r="D379" s="4">
        <v>1</v>
      </c>
      <c r="E379" s="4">
        <v>233</v>
      </c>
      <c r="F379" s="4">
        <f>ROUND(Source!BD354,O379)</f>
        <v>0</v>
      </c>
      <c r="G379" s="4" t="s">
        <v>132</v>
      </c>
      <c r="H379" s="4" t="s">
        <v>133</v>
      </c>
      <c r="I379" s="4"/>
      <c r="J379" s="4"/>
      <c r="K379" s="4">
        <v>233</v>
      </c>
      <c r="L379" s="4">
        <v>24</v>
      </c>
      <c r="M379" s="4">
        <v>3</v>
      </c>
      <c r="N379" s="4" t="s">
        <v>3</v>
      </c>
      <c r="O379" s="4">
        <v>2</v>
      </c>
      <c r="P379" s="4"/>
      <c r="Q379" s="4"/>
      <c r="R379" s="4"/>
      <c r="S379" s="4"/>
      <c r="T379" s="4"/>
      <c r="U379" s="4"/>
      <c r="V379" s="4"/>
      <c r="W379" s="4">
        <v>0</v>
      </c>
      <c r="X379" s="4">
        <v>1</v>
      </c>
      <c r="Y379" s="4">
        <v>0</v>
      </c>
      <c r="Z379" s="4"/>
      <c r="AA379" s="4"/>
      <c r="AB379" s="4"/>
    </row>
    <row r="380" spans="1:206" x14ac:dyDescent="0.2">
      <c r="A380" s="4">
        <v>50</v>
      </c>
      <c r="B380" s="4">
        <v>0</v>
      </c>
      <c r="C380" s="4">
        <v>0</v>
      </c>
      <c r="D380" s="4">
        <v>1</v>
      </c>
      <c r="E380" s="4">
        <v>210</v>
      </c>
      <c r="F380" s="4">
        <f>ROUND(Source!X354,O380)</f>
        <v>0</v>
      </c>
      <c r="G380" s="4" t="s">
        <v>134</v>
      </c>
      <c r="H380" s="4" t="s">
        <v>135</v>
      </c>
      <c r="I380" s="4"/>
      <c r="J380" s="4"/>
      <c r="K380" s="4">
        <v>210</v>
      </c>
      <c r="L380" s="4">
        <v>25</v>
      </c>
      <c r="M380" s="4">
        <v>3</v>
      </c>
      <c r="N380" s="4" t="s">
        <v>3</v>
      </c>
      <c r="O380" s="4">
        <v>2</v>
      </c>
      <c r="P380" s="4"/>
      <c r="Q380" s="4"/>
      <c r="R380" s="4"/>
      <c r="S380" s="4"/>
      <c r="T380" s="4"/>
      <c r="U380" s="4"/>
      <c r="V380" s="4"/>
      <c r="W380" s="4">
        <v>0</v>
      </c>
      <c r="X380" s="4">
        <v>1</v>
      </c>
      <c r="Y380" s="4">
        <v>0</v>
      </c>
      <c r="Z380" s="4"/>
      <c r="AA380" s="4"/>
      <c r="AB380" s="4"/>
    </row>
    <row r="381" spans="1:206" x14ac:dyDescent="0.2">
      <c r="A381" s="4">
        <v>50</v>
      </c>
      <c r="B381" s="4">
        <v>0</v>
      </c>
      <c r="C381" s="4">
        <v>0</v>
      </c>
      <c r="D381" s="4">
        <v>1</v>
      </c>
      <c r="E381" s="4">
        <v>211</v>
      </c>
      <c r="F381" s="4">
        <f>ROUND(Source!Y354,O381)</f>
        <v>0</v>
      </c>
      <c r="G381" s="4" t="s">
        <v>136</v>
      </c>
      <c r="H381" s="4" t="s">
        <v>137</v>
      </c>
      <c r="I381" s="4"/>
      <c r="J381" s="4"/>
      <c r="K381" s="4">
        <v>211</v>
      </c>
      <c r="L381" s="4">
        <v>26</v>
      </c>
      <c r="M381" s="4">
        <v>3</v>
      </c>
      <c r="N381" s="4" t="s">
        <v>3</v>
      </c>
      <c r="O381" s="4">
        <v>2</v>
      </c>
      <c r="P381" s="4"/>
      <c r="Q381" s="4"/>
      <c r="R381" s="4"/>
      <c r="S381" s="4"/>
      <c r="T381" s="4"/>
      <c r="U381" s="4"/>
      <c r="V381" s="4"/>
      <c r="W381" s="4">
        <v>0</v>
      </c>
      <c r="X381" s="4">
        <v>1</v>
      </c>
      <c r="Y381" s="4">
        <v>0</v>
      </c>
      <c r="Z381" s="4"/>
      <c r="AA381" s="4"/>
      <c r="AB381" s="4"/>
    </row>
    <row r="382" spans="1:206" x14ac:dyDescent="0.2">
      <c r="A382" s="4">
        <v>50</v>
      </c>
      <c r="B382" s="4">
        <v>0</v>
      </c>
      <c r="C382" s="4">
        <v>0</v>
      </c>
      <c r="D382" s="4">
        <v>1</v>
      </c>
      <c r="E382" s="4">
        <v>224</v>
      </c>
      <c r="F382" s="4">
        <f>ROUND(Source!AR354,O382)</f>
        <v>724.21</v>
      </c>
      <c r="G382" s="4" t="s">
        <v>138</v>
      </c>
      <c r="H382" s="4" t="s">
        <v>139</v>
      </c>
      <c r="I382" s="4"/>
      <c r="J382" s="4"/>
      <c r="K382" s="4">
        <v>224</v>
      </c>
      <c r="L382" s="4">
        <v>27</v>
      </c>
      <c r="M382" s="4">
        <v>3</v>
      </c>
      <c r="N382" s="4" t="s">
        <v>3</v>
      </c>
      <c r="O382" s="4">
        <v>2</v>
      </c>
      <c r="P382" s="4"/>
      <c r="Q382" s="4"/>
      <c r="R382" s="4"/>
      <c r="S382" s="4"/>
      <c r="T382" s="4"/>
      <c r="U382" s="4"/>
      <c r="V382" s="4"/>
      <c r="W382" s="4">
        <v>724.21</v>
      </c>
      <c r="X382" s="4">
        <v>1</v>
      </c>
      <c r="Y382" s="4">
        <v>724.21</v>
      </c>
      <c r="Z382" s="4"/>
      <c r="AA382" s="4"/>
      <c r="AB382" s="4"/>
    </row>
    <row r="384" spans="1:206" x14ac:dyDescent="0.2">
      <c r="A384" s="2">
        <v>51</v>
      </c>
      <c r="B384" s="2">
        <f>B20</f>
        <v>1</v>
      </c>
      <c r="C384" s="2">
        <f>A20</f>
        <v>3</v>
      </c>
      <c r="D384" s="2">
        <f>ROW(A20)</f>
        <v>20</v>
      </c>
      <c r="E384" s="2"/>
      <c r="F384" s="2" t="str">
        <f>IF(F20&lt;&gt;"",F20,"")</f>
        <v/>
      </c>
      <c r="G384" s="2" t="str">
        <f>IF(G20&lt;&gt;"",G20,"")</f>
        <v>Новая локальная смета</v>
      </c>
      <c r="H384" s="2">
        <v>0</v>
      </c>
      <c r="I384" s="2"/>
      <c r="J384" s="2"/>
      <c r="K384" s="2"/>
      <c r="L384" s="2"/>
      <c r="M384" s="2"/>
      <c r="N384" s="2"/>
      <c r="O384" s="2">
        <f t="shared" ref="O384:T384" si="218">ROUND(O316+O354+AB384,2)</f>
        <v>198197.89</v>
      </c>
      <c r="P384" s="2">
        <f t="shared" si="218"/>
        <v>139272.47</v>
      </c>
      <c r="Q384" s="2">
        <f t="shared" si="218"/>
        <v>1280.96</v>
      </c>
      <c r="R384" s="2">
        <f t="shared" si="218"/>
        <v>441.95</v>
      </c>
      <c r="S384" s="2">
        <f t="shared" si="218"/>
        <v>57644.46</v>
      </c>
      <c r="T384" s="2">
        <f t="shared" si="218"/>
        <v>0</v>
      </c>
      <c r="U384" s="2">
        <f>U316+U354+AH384</f>
        <v>125.126169</v>
      </c>
      <c r="V384" s="2">
        <f>V316+V354+AI384</f>
        <v>0</v>
      </c>
      <c r="W384" s="2">
        <f>ROUND(W316+W354+AJ384,2)</f>
        <v>0</v>
      </c>
      <c r="X384" s="2">
        <f>ROUND(X316+X354+AK384,2)</f>
        <v>40351.129999999997</v>
      </c>
      <c r="Y384" s="2">
        <f>ROUND(Y316+Y354+AL384,2)</f>
        <v>5764.46</v>
      </c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>
        <f t="shared" ref="AO384:BD384" si="219">ROUND(AO316+AO354+BX384,2)</f>
        <v>0</v>
      </c>
      <c r="AP384" s="2">
        <f t="shared" si="219"/>
        <v>0</v>
      </c>
      <c r="AQ384" s="2">
        <f t="shared" si="219"/>
        <v>0</v>
      </c>
      <c r="AR384" s="2">
        <f t="shared" si="219"/>
        <v>244348.79999999999</v>
      </c>
      <c r="AS384" s="2">
        <f t="shared" si="219"/>
        <v>0</v>
      </c>
      <c r="AT384" s="2">
        <f t="shared" si="219"/>
        <v>0</v>
      </c>
      <c r="AU384" s="2">
        <f t="shared" si="219"/>
        <v>244348.79999999999</v>
      </c>
      <c r="AV384" s="2">
        <f t="shared" si="219"/>
        <v>139272.47</v>
      </c>
      <c r="AW384" s="2">
        <f t="shared" si="219"/>
        <v>139272.47</v>
      </c>
      <c r="AX384" s="2">
        <f t="shared" si="219"/>
        <v>0</v>
      </c>
      <c r="AY384" s="2">
        <f t="shared" si="219"/>
        <v>139272.47</v>
      </c>
      <c r="AZ384" s="2">
        <f t="shared" si="219"/>
        <v>0</v>
      </c>
      <c r="BA384" s="2">
        <f t="shared" si="219"/>
        <v>0</v>
      </c>
      <c r="BB384" s="2">
        <f t="shared" si="219"/>
        <v>0</v>
      </c>
      <c r="BC384" s="2">
        <f t="shared" si="219"/>
        <v>0</v>
      </c>
      <c r="BD384" s="2">
        <f t="shared" si="219"/>
        <v>0</v>
      </c>
      <c r="BE384" s="2"/>
      <c r="BF384" s="2"/>
      <c r="BG384" s="2"/>
      <c r="BH384" s="2"/>
      <c r="BI384" s="2"/>
      <c r="BJ384" s="2"/>
      <c r="BK384" s="2"/>
      <c r="BL384" s="2"/>
      <c r="BM384" s="2"/>
      <c r="BN384" s="2"/>
      <c r="BO384" s="2"/>
      <c r="BP384" s="2"/>
      <c r="BQ384" s="2"/>
      <c r="BR384" s="2"/>
      <c r="BS384" s="2"/>
      <c r="BT384" s="2"/>
      <c r="BU384" s="2"/>
      <c r="BV384" s="2"/>
      <c r="BW384" s="2"/>
      <c r="BX384" s="2"/>
      <c r="BY384" s="2"/>
      <c r="BZ384" s="2"/>
      <c r="CA384" s="2"/>
      <c r="CB384" s="2"/>
      <c r="CC384" s="2"/>
      <c r="CD384" s="2"/>
      <c r="CE384" s="2"/>
      <c r="CF384" s="2"/>
      <c r="CG384" s="2"/>
      <c r="CH384" s="2"/>
      <c r="CI384" s="2"/>
      <c r="CJ384" s="2"/>
      <c r="CK384" s="2"/>
      <c r="CL384" s="2"/>
      <c r="CM384" s="2"/>
      <c r="CN384" s="2"/>
      <c r="CO384" s="2"/>
      <c r="CP384" s="2"/>
      <c r="CQ384" s="2"/>
      <c r="CR384" s="2"/>
      <c r="CS384" s="2"/>
      <c r="CT384" s="2"/>
      <c r="CU384" s="2"/>
      <c r="CV384" s="2"/>
      <c r="CW384" s="2"/>
      <c r="CX384" s="2"/>
      <c r="CY384" s="2"/>
      <c r="CZ384" s="2"/>
      <c r="DA384" s="2"/>
      <c r="DB384" s="2"/>
      <c r="DC384" s="2"/>
      <c r="DD384" s="2"/>
      <c r="DE384" s="2"/>
      <c r="DF384" s="2"/>
      <c r="DG384" s="3"/>
      <c r="DH384" s="3"/>
      <c r="DI384" s="3"/>
      <c r="DJ384" s="3"/>
      <c r="DK384" s="3"/>
      <c r="DL384" s="3"/>
      <c r="DM384" s="3"/>
      <c r="DN384" s="3"/>
      <c r="DO384" s="3"/>
      <c r="DP384" s="3"/>
      <c r="DQ384" s="3"/>
      <c r="DR384" s="3"/>
      <c r="DS384" s="3"/>
      <c r="DT384" s="3"/>
      <c r="DU384" s="3"/>
      <c r="DV384" s="3"/>
      <c r="DW384" s="3"/>
      <c r="DX384" s="3"/>
      <c r="DY384" s="3"/>
      <c r="DZ384" s="3"/>
      <c r="EA384" s="3"/>
      <c r="EB384" s="3"/>
      <c r="EC384" s="3"/>
      <c r="ED384" s="3"/>
      <c r="EE384" s="3"/>
      <c r="EF384" s="3"/>
      <c r="EG384" s="3"/>
      <c r="EH384" s="3"/>
      <c r="EI384" s="3"/>
      <c r="EJ384" s="3"/>
      <c r="EK384" s="3"/>
      <c r="EL384" s="3"/>
      <c r="EM384" s="3"/>
      <c r="EN384" s="3"/>
      <c r="EO384" s="3"/>
      <c r="EP384" s="3"/>
      <c r="EQ384" s="3"/>
      <c r="ER384" s="3"/>
      <c r="ES384" s="3"/>
      <c r="ET384" s="3"/>
      <c r="EU384" s="3"/>
      <c r="EV384" s="3"/>
      <c r="EW384" s="3"/>
      <c r="EX384" s="3"/>
      <c r="EY384" s="3"/>
      <c r="EZ384" s="3"/>
      <c r="FA384" s="3"/>
      <c r="FB384" s="3"/>
      <c r="FC384" s="3"/>
      <c r="FD384" s="3"/>
      <c r="FE384" s="3"/>
      <c r="FF384" s="3"/>
      <c r="FG384" s="3"/>
      <c r="FH384" s="3"/>
      <c r="FI384" s="3"/>
      <c r="FJ384" s="3"/>
      <c r="FK384" s="3"/>
      <c r="FL384" s="3"/>
      <c r="FM384" s="3"/>
      <c r="FN384" s="3"/>
      <c r="FO384" s="3"/>
      <c r="FP384" s="3"/>
      <c r="FQ384" s="3"/>
      <c r="FR384" s="3"/>
      <c r="FS384" s="3"/>
      <c r="FT384" s="3"/>
      <c r="FU384" s="3"/>
      <c r="FV384" s="3"/>
      <c r="FW384" s="3"/>
      <c r="FX384" s="3"/>
      <c r="FY384" s="3"/>
      <c r="FZ384" s="3"/>
      <c r="GA384" s="3"/>
      <c r="GB384" s="3"/>
      <c r="GC384" s="3"/>
      <c r="GD384" s="3"/>
      <c r="GE384" s="3"/>
      <c r="GF384" s="3"/>
      <c r="GG384" s="3"/>
      <c r="GH384" s="3"/>
      <c r="GI384" s="3"/>
      <c r="GJ384" s="3"/>
      <c r="GK384" s="3"/>
      <c r="GL384" s="3"/>
      <c r="GM384" s="3"/>
      <c r="GN384" s="3"/>
      <c r="GO384" s="3"/>
      <c r="GP384" s="3"/>
      <c r="GQ384" s="3"/>
      <c r="GR384" s="3"/>
      <c r="GS384" s="3"/>
      <c r="GT384" s="3"/>
      <c r="GU384" s="3"/>
      <c r="GV384" s="3"/>
      <c r="GW384" s="3"/>
      <c r="GX384" s="3">
        <v>0</v>
      </c>
    </row>
    <row r="386" spans="1:28" x14ac:dyDescent="0.2">
      <c r="A386" s="4">
        <v>50</v>
      </c>
      <c r="B386" s="4">
        <v>0</v>
      </c>
      <c r="C386" s="4">
        <v>0</v>
      </c>
      <c r="D386" s="4">
        <v>1</v>
      </c>
      <c r="E386" s="4">
        <v>201</v>
      </c>
      <c r="F386" s="4">
        <f>ROUND(Source!O384,O386)</f>
        <v>198197.89</v>
      </c>
      <c r="G386" s="4" t="s">
        <v>86</v>
      </c>
      <c r="H386" s="4" t="s">
        <v>87</v>
      </c>
      <c r="I386" s="4"/>
      <c r="J386" s="4"/>
      <c r="K386" s="4">
        <v>201</v>
      </c>
      <c r="L386" s="4">
        <v>1</v>
      </c>
      <c r="M386" s="4">
        <v>3</v>
      </c>
      <c r="N386" s="4" t="s">
        <v>3</v>
      </c>
      <c r="O386" s="4">
        <v>2</v>
      </c>
      <c r="P386" s="4"/>
      <c r="Q386" s="4"/>
      <c r="R386" s="4"/>
      <c r="S386" s="4"/>
      <c r="T386" s="4"/>
      <c r="U386" s="4"/>
      <c r="V386" s="4"/>
      <c r="W386" s="4">
        <v>198197.89</v>
      </c>
      <c r="X386" s="4">
        <v>1</v>
      </c>
      <c r="Y386" s="4">
        <v>198197.89</v>
      </c>
      <c r="Z386" s="4"/>
      <c r="AA386" s="4"/>
      <c r="AB386" s="4"/>
    </row>
    <row r="387" spans="1:28" x14ac:dyDescent="0.2">
      <c r="A387" s="4">
        <v>50</v>
      </c>
      <c r="B387" s="4">
        <v>0</v>
      </c>
      <c r="C387" s="4">
        <v>0</v>
      </c>
      <c r="D387" s="4">
        <v>1</v>
      </c>
      <c r="E387" s="4">
        <v>202</v>
      </c>
      <c r="F387" s="4">
        <f>ROUND(Source!P384,O387)</f>
        <v>139272.47</v>
      </c>
      <c r="G387" s="4" t="s">
        <v>88</v>
      </c>
      <c r="H387" s="4" t="s">
        <v>89</v>
      </c>
      <c r="I387" s="4"/>
      <c r="J387" s="4"/>
      <c r="K387" s="4">
        <v>202</v>
      </c>
      <c r="L387" s="4">
        <v>2</v>
      </c>
      <c r="M387" s="4">
        <v>3</v>
      </c>
      <c r="N387" s="4" t="s">
        <v>3</v>
      </c>
      <c r="O387" s="4">
        <v>2</v>
      </c>
      <c r="P387" s="4"/>
      <c r="Q387" s="4"/>
      <c r="R387" s="4"/>
      <c r="S387" s="4"/>
      <c r="T387" s="4"/>
      <c r="U387" s="4"/>
      <c r="V387" s="4"/>
      <c r="W387" s="4">
        <v>139272.47</v>
      </c>
      <c r="X387" s="4">
        <v>1</v>
      </c>
      <c r="Y387" s="4">
        <v>139272.47</v>
      </c>
      <c r="Z387" s="4"/>
      <c r="AA387" s="4"/>
      <c r="AB387" s="4"/>
    </row>
    <row r="388" spans="1:28" x14ac:dyDescent="0.2">
      <c r="A388" s="4">
        <v>50</v>
      </c>
      <c r="B388" s="4">
        <v>0</v>
      </c>
      <c r="C388" s="4">
        <v>0</v>
      </c>
      <c r="D388" s="4">
        <v>1</v>
      </c>
      <c r="E388" s="4">
        <v>222</v>
      </c>
      <c r="F388" s="4">
        <f>ROUND(Source!AO384,O388)</f>
        <v>0</v>
      </c>
      <c r="G388" s="4" t="s">
        <v>90</v>
      </c>
      <c r="H388" s="4" t="s">
        <v>91</v>
      </c>
      <c r="I388" s="4"/>
      <c r="J388" s="4"/>
      <c r="K388" s="4">
        <v>222</v>
      </c>
      <c r="L388" s="4">
        <v>3</v>
      </c>
      <c r="M388" s="4">
        <v>3</v>
      </c>
      <c r="N388" s="4" t="s">
        <v>3</v>
      </c>
      <c r="O388" s="4">
        <v>2</v>
      </c>
      <c r="P388" s="4"/>
      <c r="Q388" s="4"/>
      <c r="R388" s="4"/>
      <c r="S388" s="4"/>
      <c r="T388" s="4"/>
      <c r="U388" s="4"/>
      <c r="V388" s="4"/>
      <c r="W388" s="4">
        <v>0</v>
      </c>
      <c r="X388" s="4">
        <v>1</v>
      </c>
      <c r="Y388" s="4">
        <v>0</v>
      </c>
      <c r="Z388" s="4"/>
      <c r="AA388" s="4"/>
      <c r="AB388" s="4"/>
    </row>
    <row r="389" spans="1:28" x14ac:dyDescent="0.2">
      <c r="A389" s="4">
        <v>50</v>
      </c>
      <c r="B389" s="4">
        <v>0</v>
      </c>
      <c r="C389" s="4">
        <v>0</v>
      </c>
      <c r="D389" s="4">
        <v>1</v>
      </c>
      <c r="E389" s="4">
        <v>225</v>
      </c>
      <c r="F389" s="4">
        <f>ROUND(Source!AV384,O389)</f>
        <v>139272.47</v>
      </c>
      <c r="G389" s="4" t="s">
        <v>92</v>
      </c>
      <c r="H389" s="4" t="s">
        <v>93</v>
      </c>
      <c r="I389" s="4"/>
      <c r="J389" s="4"/>
      <c r="K389" s="4">
        <v>225</v>
      </c>
      <c r="L389" s="4">
        <v>4</v>
      </c>
      <c r="M389" s="4">
        <v>3</v>
      </c>
      <c r="N389" s="4" t="s">
        <v>3</v>
      </c>
      <c r="O389" s="4">
        <v>2</v>
      </c>
      <c r="P389" s="4"/>
      <c r="Q389" s="4"/>
      <c r="R389" s="4"/>
      <c r="S389" s="4"/>
      <c r="T389" s="4"/>
      <c r="U389" s="4"/>
      <c r="V389" s="4"/>
      <c r="W389" s="4">
        <v>139272.47</v>
      </c>
      <c r="X389" s="4">
        <v>1</v>
      </c>
      <c r="Y389" s="4">
        <v>139272.47</v>
      </c>
      <c r="Z389" s="4"/>
      <c r="AA389" s="4"/>
      <c r="AB389" s="4"/>
    </row>
    <row r="390" spans="1:28" x14ac:dyDescent="0.2">
      <c r="A390" s="4">
        <v>50</v>
      </c>
      <c r="B390" s="4">
        <v>0</v>
      </c>
      <c r="C390" s="4">
        <v>0</v>
      </c>
      <c r="D390" s="4">
        <v>1</v>
      </c>
      <c r="E390" s="4">
        <v>226</v>
      </c>
      <c r="F390" s="4">
        <f>ROUND(Source!AW384,O390)</f>
        <v>139272.47</v>
      </c>
      <c r="G390" s="4" t="s">
        <v>94</v>
      </c>
      <c r="H390" s="4" t="s">
        <v>95</v>
      </c>
      <c r="I390" s="4"/>
      <c r="J390" s="4"/>
      <c r="K390" s="4">
        <v>226</v>
      </c>
      <c r="L390" s="4">
        <v>5</v>
      </c>
      <c r="M390" s="4">
        <v>3</v>
      </c>
      <c r="N390" s="4" t="s">
        <v>3</v>
      </c>
      <c r="O390" s="4">
        <v>2</v>
      </c>
      <c r="P390" s="4"/>
      <c r="Q390" s="4"/>
      <c r="R390" s="4"/>
      <c r="S390" s="4"/>
      <c r="T390" s="4"/>
      <c r="U390" s="4"/>
      <c r="V390" s="4"/>
      <c r="W390" s="4">
        <v>139272.47</v>
      </c>
      <c r="X390" s="4">
        <v>1</v>
      </c>
      <c r="Y390" s="4">
        <v>139272.47</v>
      </c>
      <c r="Z390" s="4"/>
      <c r="AA390" s="4"/>
      <c r="AB390" s="4"/>
    </row>
    <row r="391" spans="1:28" x14ac:dyDescent="0.2">
      <c r="A391" s="4">
        <v>50</v>
      </c>
      <c r="B391" s="4">
        <v>0</v>
      </c>
      <c r="C391" s="4">
        <v>0</v>
      </c>
      <c r="D391" s="4">
        <v>1</v>
      </c>
      <c r="E391" s="4">
        <v>227</v>
      </c>
      <c r="F391" s="4">
        <f>ROUND(Source!AX384,O391)</f>
        <v>0</v>
      </c>
      <c r="G391" s="4" t="s">
        <v>96</v>
      </c>
      <c r="H391" s="4" t="s">
        <v>97</v>
      </c>
      <c r="I391" s="4"/>
      <c r="J391" s="4"/>
      <c r="K391" s="4">
        <v>227</v>
      </c>
      <c r="L391" s="4">
        <v>6</v>
      </c>
      <c r="M391" s="4">
        <v>3</v>
      </c>
      <c r="N391" s="4" t="s">
        <v>3</v>
      </c>
      <c r="O391" s="4">
        <v>2</v>
      </c>
      <c r="P391" s="4"/>
      <c r="Q391" s="4"/>
      <c r="R391" s="4"/>
      <c r="S391" s="4"/>
      <c r="T391" s="4"/>
      <c r="U391" s="4"/>
      <c r="V391" s="4"/>
      <c r="W391" s="4">
        <v>0</v>
      </c>
      <c r="X391" s="4">
        <v>1</v>
      </c>
      <c r="Y391" s="4">
        <v>0</v>
      </c>
      <c r="Z391" s="4"/>
      <c r="AA391" s="4"/>
      <c r="AB391" s="4"/>
    </row>
    <row r="392" spans="1:28" x14ac:dyDescent="0.2">
      <c r="A392" s="4">
        <v>50</v>
      </c>
      <c r="B392" s="4">
        <v>0</v>
      </c>
      <c r="C392" s="4">
        <v>0</v>
      </c>
      <c r="D392" s="4">
        <v>1</v>
      </c>
      <c r="E392" s="4">
        <v>228</v>
      </c>
      <c r="F392" s="4">
        <f>ROUND(Source!AY384,O392)</f>
        <v>139272.47</v>
      </c>
      <c r="G392" s="4" t="s">
        <v>98</v>
      </c>
      <c r="H392" s="4" t="s">
        <v>99</v>
      </c>
      <c r="I392" s="4"/>
      <c r="J392" s="4"/>
      <c r="K392" s="4">
        <v>228</v>
      </c>
      <c r="L392" s="4">
        <v>7</v>
      </c>
      <c r="M392" s="4">
        <v>3</v>
      </c>
      <c r="N392" s="4" t="s">
        <v>3</v>
      </c>
      <c r="O392" s="4">
        <v>2</v>
      </c>
      <c r="P392" s="4"/>
      <c r="Q392" s="4"/>
      <c r="R392" s="4"/>
      <c r="S392" s="4"/>
      <c r="T392" s="4"/>
      <c r="U392" s="4"/>
      <c r="V392" s="4"/>
      <c r="W392" s="4">
        <v>139272.47</v>
      </c>
      <c r="X392" s="4">
        <v>1</v>
      </c>
      <c r="Y392" s="4">
        <v>139272.47</v>
      </c>
      <c r="Z392" s="4"/>
      <c r="AA392" s="4"/>
      <c r="AB392" s="4"/>
    </row>
    <row r="393" spans="1:28" x14ac:dyDescent="0.2">
      <c r="A393" s="4">
        <v>50</v>
      </c>
      <c r="B393" s="4">
        <v>0</v>
      </c>
      <c r="C393" s="4">
        <v>0</v>
      </c>
      <c r="D393" s="4">
        <v>1</v>
      </c>
      <c r="E393" s="4">
        <v>216</v>
      </c>
      <c r="F393" s="4">
        <f>ROUND(Source!AP384,O393)</f>
        <v>0</v>
      </c>
      <c r="G393" s="4" t="s">
        <v>100</v>
      </c>
      <c r="H393" s="4" t="s">
        <v>101</v>
      </c>
      <c r="I393" s="4"/>
      <c r="J393" s="4"/>
      <c r="K393" s="4">
        <v>216</v>
      </c>
      <c r="L393" s="4">
        <v>8</v>
      </c>
      <c r="M393" s="4">
        <v>3</v>
      </c>
      <c r="N393" s="4" t="s">
        <v>3</v>
      </c>
      <c r="O393" s="4">
        <v>2</v>
      </c>
      <c r="P393" s="4"/>
      <c r="Q393" s="4"/>
      <c r="R393" s="4"/>
      <c r="S393" s="4"/>
      <c r="T393" s="4"/>
      <c r="U393" s="4"/>
      <c r="V393" s="4"/>
      <c r="W393" s="4">
        <v>0</v>
      </c>
      <c r="X393" s="4">
        <v>1</v>
      </c>
      <c r="Y393" s="4">
        <v>0</v>
      </c>
      <c r="Z393" s="4"/>
      <c r="AA393" s="4"/>
      <c r="AB393" s="4"/>
    </row>
    <row r="394" spans="1:28" x14ac:dyDescent="0.2">
      <c r="A394" s="4">
        <v>50</v>
      </c>
      <c r="B394" s="4">
        <v>0</v>
      </c>
      <c r="C394" s="4">
        <v>0</v>
      </c>
      <c r="D394" s="4">
        <v>1</v>
      </c>
      <c r="E394" s="4">
        <v>223</v>
      </c>
      <c r="F394" s="4">
        <f>ROUND(Source!AQ384,O394)</f>
        <v>0</v>
      </c>
      <c r="G394" s="4" t="s">
        <v>102</v>
      </c>
      <c r="H394" s="4" t="s">
        <v>103</v>
      </c>
      <c r="I394" s="4"/>
      <c r="J394" s="4"/>
      <c r="K394" s="4">
        <v>223</v>
      </c>
      <c r="L394" s="4">
        <v>9</v>
      </c>
      <c r="M394" s="4">
        <v>3</v>
      </c>
      <c r="N394" s="4" t="s">
        <v>3</v>
      </c>
      <c r="O394" s="4">
        <v>2</v>
      </c>
      <c r="P394" s="4"/>
      <c r="Q394" s="4"/>
      <c r="R394" s="4"/>
      <c r="S394" s="4"/>
      <c r="T394" s="4"/>
      <c r="U394" s="4"/>
      <c r="V394" s="4"/>
      <c r="W394" s="4">
        <v>0</v>
      </c>
      <c r="X394" s="4">
        <v>1</v>
      </c>
      <c r="Y394" s="4">
        <v>0</v>
      </c>
      <c r="Z394" s="4"/>
      <c r="AA394" s="4"/>
      <c r="AB394" s="4"/>
    </row>
    <row r="395" spans="1:28" x14ac:dyDescent="0.2">
      <c r="A395" s="4">
        <v>50</v>
      </c>
      <c r="B395" s="4">
        <v>0</v>
      </c>
      <c r="C395" s="4">
        <v>0</v>
      </c>
      <c r="D395" s="4">
        <v>1</v>
      </c>
      <c r="E395" s="4">
        <v>229</v>
      </c>
      <c r="F395" s="4">
        <f>ROUND(Source!AZ384,O395)</f>
        <v>0</v>
      </c>
      <c r="G395" s="4" t="s">
        <v>104</v>
      </c>
      <c r="H395" s="4" t="s">
        <v>105</v>
      </c>
      <c r="I395" s="4"/>
      <c r="J395" s="4"/>
      <c r="K395" s="4">
        <v>229</v>
      </c>
      <c r="L395" s="4">
        <v>10</v>
      </c>
      <c r="M395" s="4">
        <v>3</v>
      </c>
      <c r="N395" s="4" t="s">
        <v>3</v>
      </c>
      <c r="O395" s="4">
        <v>2</v>
      </c>
      <c r="P395" s="4"/>
      <c r="Q395" s="4"/>
      <c r="R395" s="4"/>
      <c r="S395" s="4"/>
      <c r="T395" s="4"/>
      <c r="U395" s="4"/>
      <c r="V395" s="4"/>
      <c r="W395" s="4">
        <v>0</v>
      </c>
      <c r="X395" s="4">
        <v>1</v>
      </c>
      <c r="Y395" s="4">
        <v>0</v>
      </c>
      <c r="Z395" s="4"/>
      <c r="AA395" s="4"/>
      <c r="AB395" s="4"/>
    </row>
    <row r="396" spans="1:28" x14ac:dyDescent="0.2">
      <c r="A396" s="4">
        <v>50</v>
      </c>
      <c r="B396" s="4">
        <v>0</v>
      </c>
      <c r="C396" s="4">
        <v>0</v>
      </c>
      <c r="D396" s="4">
        <v>1</v>
      </c>
      <c r="E396" s="4">
        <v>203</v>
      </c>
      <c r="F396" s="4">
        <f>ROUND(Source!Q384,O396)</f>
        <v>1280.96</v>
      </c>
      <c r="G396" s="4" t="s">
        <v>106</v>
      </c>
      <c r="H396" s="4" t="s">
        <v>107</v>
      </c>
      <c r="I396" s="4"/>
      <c r="J396" s="4"/>
      <c r="K396" s="4">
        <v>203</v>
      </c>
      <c r="L396" s="4">
        <v>11</v>
      </c>
      <c r="M396" s="4">
        <v>3</v>
      </c>
      <c r="N396" s="4" t="s">
        <v>3</v>
      </c>
      <c r="O396" s="4">
        <v>2</v>
      </c>
      <c r="P396" s="4"/>
      <c r="Q396" s="4"/>
      <c r="R396" s="4"/>
      <c r="S396" s="4"/>
      <c r="T396" s="4"/>
      <c r="U396" s="4"/>
      <c r="V396" s="4"/>
      <c r="W396" s="4">
        <v>1280.96</v>
      </c>
      <c r="X396" s="4">
        <v>1</v>
      </c>
      <c r="Y396" s="4">
        <v>1280.96</v>
      </c>
      <c r="Z396" s="4"/>
      <c r="AA396" s="4"/>
      <c r="AB396" s="4"/>
    </row>
    <row r="397" spans="1:28" x14ac:dyDescent="0.2">
      <c r="A397" s="4">
        <v>50</v>
      </c>
      <c r="B397" s="4">
        <v>0</v>
      </c>
      <c r="C397" s="4">
        <v>0</v>
      </c>
      <c r="D397" s="4">
        <v>1</v>
      </c>
      <c r="E397" s="4">
        <v>231</v>
      </c>
      <c r="F397" s="4">
        <f>ROUND(Source!BB384,O397)</f>
        <v>0</v>
      </c>
      <c r="G397" s="4" t="s">
        <v>108</v>
      </c>
      <c r="H397" s="4" t="s">
        <v>109</v>
      </c>
      <c r="I397" s="4"/>
      <c r="J397" s="4"/>
      <c r="K397" s="4">
        <v>231</v>
      </c>
      <c r="L397" s="4">
        <v>12</v>
      </c>
      <c r="M397" s="4">
        <v>3</v>
      </c>
      <c r="N397" s="4" t="s">
        <v>3</v>
      </c>
      <c r="O397" s="4">
        <v>2</v>
      </c>
      <c r="P397" s="4"/>
      <c r="Q397" s="4"/>
      <c r="R397" s="4"/>
      <c r="S397" s="4"/>
      <c r="T397" s="4"/>
      <c r="U397" s="4"/>
      <c r="V397" s="4"/>
      <c r="W397" s="4">
        <v>0</v>
      </c>
      <c r="X397" s="4">
        <v>1</v>
      </c>
      <c r="Y397" s="4">
        <v>0</v>
      </c>
      <c r="Z397" s="4"/>
      <c r="AA397" s="4"/>
      <c r="AB397" s="4"/>
    </row>
    <row r="398" spans="1:28" x14ac:dyDescent="0.2">
      <c r="A398" s="4">
        <v>50</v>
      </c>
      <c r="B398" s="4">
        <v>0</v>
      </c>
      <c r="C398" s="4">
        <v>0</v>
      </c>
      <c r="D398" s="4">
        <v>1</v>
      </c>
      <c r="E398" s="4">
        <v>204</v>
      </c>
      <c r="F398" s="4">
        <f>ROUND(Source!R384,O398)</f>
        <v>441.95</v>
      </c>
      <c r="G398" s="4" t="s">
        <v>110</v>
      </c>
      <c r="H398" s="4" t="s">
        <v>111</v>
      </c>
      <c r="I398" s="4"/>
      <c r="J398" s="4"/>
      <c r="K398" s="4">
        <v>204</v>
      </c>
      <c r="L398" s="4">
        <v>13</v>
      </c>
      <c r="M398" s="4">
        <v>3</v>
      </c>
      <c r="N398" s="4" t="s">
        <v>3</v>
      </c>
      <c r="O398" s="4">
        <v>2</v>
      </c>
      <c r="P398" s="4"/>
      <c r="Q398" s="4"/>
      <c r="R398" s="4"/>
      <c r="S398" s="4"/>
      <c r="T398" s="4"/>
      <c r="U398" s="4"/>
      <c r="V398" s="4"/>
      <c r="W398" s="4">
        <v>441.95</v>
      </c>
      <c r="X398" s="4">
        <v>1</v>
      </c>
      <c r="Y398" s="4">
        <v>441.95</v>
      </c>
      <c r="Z398" s="4"/>
      <c r="AA398" s="4"/>
      <c r="AB398" s="4"/>
    </row>
    <row r="399" spans="1:28" x14ac:dyDescent="0.2">
      <c r="A399" s="4">
        <v>50</v>
      </c>
      <c r="B399" s="4">
        <v>0</v>
      </c>
      <c r="C399" s="4">
        <v>0</v>
      </c>
      <c r="D399" s="4">
        <v>1</v>
      </c>
      <c r="E399" s="4">
        <v>205</v>
      </c>
      <c r="F399" s="4">
        <f>ROUND(Source!S384,O399)</f>
        <v>57644.46</v>
      </c>
      <c r="G399" s="4" t="s">
        <v>112</v>
      </c>
      <c r="H399" s="4" t="s">
        <v>113</v>
      </c>
      <c r="I399" s="4"/>
      <c r="J399" s="4"/>
      <c r="K399" s="4">
        <v>205</v>
      </c>
      <c r="L399" s="4">
        <v>14</v>
      </c>
      <c r="M399" s="4">
        <v>3</v>
      </c>
      <c r="N399" s="4" t="s">
        <v>3</v>
      </c>
      <c r="O399" s="4">
        <v>2</v>
      </c>
      <c r="P399" s="4"/>
      <c r="Q399" s="4"/>
      <c r="R399" s="4"/>
      <c r="S399" s="4"/>
      <c r="T399" s="4"/>
      <c r="U399" s="4"/>
      <c r="V399" s="4"/>
      <c r="W399" s="4">
        <v>57644.46</v>
      </c>
      <c r="X399" s="4">
        <v>1</v>
      </c>
      <c r="Y399" s="4">
        <v>57644.46</v>
      </c>
      <c r="Z399" s="4"/>
      <c r="AA399" s="4"/>
      <c r="AB399" s="4"/>
    </row>
    <row r="400" spans="1:28" x14ac:dyDescent="0.2">
      <c r="A400" s="4">
        <v>50</v>
      </c>
      <c r="B400" s="4">
        <v>0</v>
      </c>
      <c r="C400" s="4">
        <v>0</v>
      </c>
      <c r="D400" s="4">
        <v>1</v>
      </c>
      <c r="E400" s="4">
        <v>232</v>
      </c>
      <c r="F400" s="4">
        <f>ROUND(Source!BC384,O400)</f>
        <v>0</v>
      </c>
      <c r="G400" s="4" t="s">
        <v>114</v>
      </c>
      <c r="H400" s="4" t="s">
        <v>115</v>
      </c>
      <c r="I400" s="4"/>
      <c r="J400" s="4"/>
      <c r="K400" s="4">
        <v>232</v>
      </c>
      <c r="L400" s="4">
        <v>15</v>
      </c>
      <c r="M400" s="4">
        <v>3</v>
      </c>
      <c r="N400" s="4" t="s">
        <v>3</v>
      </c>
      <c r="O400" s="4">
        <v>2</v>
      </c>
      <c r="P400" s="4"/>
      <c r="Q400" s="4"/>
      <c r="R400" s="4"/>
      <c r="S400" s="4"/>
      <c r="T400" s="4"/>
      <c r="U400" s="4"/>
      <c r="V400" s="4"/>
      <c r="W400" s="4">
        <v>0</v>
      </c>
      <c r="X400" s="4">
        <v>1</v>
      </c>
      <c r="Y400" s="4">
        <v>0</v>
      </c>
      <c r="Z400" s="4"/>
      <c r="AA400" s="4"/>
      <c r="AB400" s="4"/>
    </row>
    <row r="401" spans="1:206" x14ac:dyDescent="0.2">
      <c r="A401" s="4">
        <v>50</v>
      </c>
      <c r="B401" s="4">
        <v>0</v>
      </c>
      <c r="C401" s="4">
        <v>0</v>
      </c>
      <c r="D401" s="4">
        <v>1</v>
      </c>
      <c r="E401" s="4">
        <v>214</v>
      </c>
      <c r="F401" s="4">
        <f>ROUND(Source!AS384,O401)</f>
        <v>0</v>
      </c>
      <c r="G401" s="4" t="s">
        <v>116</v>
      </c>
      <c r="H401" s="4" t="s">
        <v>117</v>
      </c>
      <c r="I401" s="4"/>
      <c r="J401" s="4"/>
      <c r="K401" s="4">
        <v>214</v>
      </c>
      <c r="L401" s="4">
        <v>16</v>
      </c>
      <c r="M401" s="4">
        <v>3</v>
      </c>
      <c r="N401" s="4" t="s">
        <v>3</v>
      </c>
      <c r="O401" s="4">
        <v>2</v>
      </c>
      <c r="P401" s="4"/>
      <c r="Q401" s="4"/>
      <c r="R401" s="4"/>
      <c r="S401" s="4"/>
      <c r="T401" s="4"/>
      <c r="U401" s="4"/>
      <c r="V401" s="4"/>
      <c r="W401" s="4">
        <v>0</v>
      </c>
      <c r="X401" s="4">
        <v>1</v>
      </c>
      <c r="Y401" s="4">
        <v>0</v>
      </c>
      <c r="Z401" s="4"/>
      <c r="AA401" s="4"/>
      <c r="AB401" s="4"/>
    </row>
    <row r="402" spans="1:206" x14ac:dyDescent="0.2">
      <c r="A402" s="4">
        <v>50</v>
      </c>
      <c r="B402" s="4">
        <v>0</v>
      </c>
      <c r="C402" s="4">
        <v>0</v>
      </c>
      <c r="D402" s="4">
        <v>1</v>
      </c>
      <c r="E402" s="4">
        <v>215</v>
      </c>
      <c r="F402" s="4">
        <f>ROUND(Source!AT384,O402)</f>
        <v>0</v>
      </c>
      <c r="G402" s="4" t="s">
        <v>118</v>
      </c>
      <c r="H402" s="4" t="s">
        <v>119</v>
      </c>
      <c r="I402" s="4"/>
      <c r="J402" s="4"/>
      <c r="K402" s="4">
        <v>215</v>
      </c>
      <c r="L402" s="4">
        <v>17</v>
      </c>
      <c r="M402" s="4">
        <v>3</v>
      </c>
      <c r="N402" s="4" t="s">
        <v>3</v>
      </c>
      <c r="O402" s="4">
        <v>2</v>
      </c>
      <c r="P402" s="4"/>
      <c r="Q402" s="4"/>
      <c r="R402" s="4"/>
      <c r="S402" s="4"/>
      <c r="T402" s="4"/>
      <c r="U402" s="4"/>
      <c r="V402" s="4"/>
      <c r="W402" s="4">
        <v>0</v>
      </c>
      <c r="X402" s="4">
        <v>1</v>
      </c>
      <c r="Y402" s="4">
        <v>0</v>
      </c>
      <c r="Z402" s="4"/>
      <c r="AA402" s="4"/>
      <c r="AB402" s="4"/>
    </row>
    <row r="403" spans="1:206" x14ac:dyDescent="0.2">
      <c r="A403" s="4">
        <v>50</v>
      </c>
      <c r="B403" s="4">
        <v>0</v>
      </c>
      <c r="C403" s="4">
        <v>0</v>
      </c>
      <c r="D403" s="4">
        <v>1</v>
      </c>
      <c r="E403" s="4">
        <v>217</v>
      </c>
      <c r="F403" s="4">
        <f>ROUND(Source!AU384,O403)</f>
        <v>244348.79999999999</v>
      </c>
      <c r="G403" s="4" t="s">
        <v>120</v>
      </c>
      <c r="H403" s="4" t="s">
        <v>121</v>
      </c>
      <c r="I403" s="4"/>
      <c r="J403" s="4"/>
      <c r="K403" s="4">
        <v>217</v>
      </c>
      <c r="L403" s="4">
        <v>18</v>
      </c>
      <c r="M403" s="4">
        <v>3</v>
      </c>
      <c r="N403" s="4" t="s">
        <v>3</v>
      </c>
      <c r="O403" s="4">
        <v>2</v>
      </c>
      <c r="P403" s="4"/>
      <c r="Q403" s="4"/>
      <c r="R403" s="4"/>
      <c r="S403" s="4"/>
      <c r="T403" s="4"/>
      <c r="U403" s="4"/>
      <c r="V403" s="4"/>
      <c r="W403" s="4">
        <v>244348.79999999999</v>
      </c>
      <c r="X403" s="4">
        <v>1</v>
      </c>
      <c r="Y403" s="4">
        <v>244348.79999999999</v>
      </c>
      <c r="Z403" s="4"/>
      <c r="AA403" s="4"/>
      <c r="AB403" s="4"/>
    </row>
    <row r="404" spans="1:206" x14ac:dyDescent="0.2">
      <c r="A404" s="4">
        <v>50</v>
      </c>
      <c r="B404" s="4">
        <v>0</v>
      </c>
      <c r="C404" s="4">
        <v>0</v>
      </c>
      <c r="D404" s="4">
        <v>1</v>
      </c>
      <c r="E404" s="4">
        <v>230</v>
      </c>
      <c r="F404" s="4">
        <f>ROUND(Source!BA384,O404)</f>
        <v>0</v>
      </c>
      <c r="G404" s="4" t="s">
        <v>122</v>
      </c>
      <c r="H404" s="4" t="s">
        <v>123</v>
      </c>
      <c r="I404" s="4"/>
      <c r="J404" s="4"/>
      <c r="K404" s="4">
        <v>230</v>
      </c>
      <c r="L404" s="4">
        <v>19</v>
      </c>
      <c r="M404" s="4">
        <v>3</v>
      </c>
      <c r="N404" s="4" t="s">
        <v>3</v>
      </c>
      <c r="O404" s="4">
        <v>2</v>
      </c>
      <c r="P404" s="4"/>
      <c r="Q404" s="4"/>
      <c r="R404" s="4"/>
      <c r="S404" s="4"/>
      <c r="T404" s="4"/>
      <c r="U404" s="4"/>
      <c r="V404" s="4"/>
      <c r="W404" s="4">
        <v>0</v>
      </c>
      <c r="X404" s="4">
        <v>1</v>
      </c>
      <c r="Y404" s="4">
        <v>0</v>
      </c>
      <c r="Z404" s="4"/>
      <c r="AA404" s="4"/>
      <c r="AB404" s="4"/>
    </row>
    <row r="405" spans="1:206" x14ac:dyDescent="0.2">
      <c r="A405" s="4">
        <v>50</v>
      </c>
      <c r="B405" s="4">
        <v>0</v>
      </c>
      <c r="C405" s="4">
        <v>0</v>
      </c>
      <c r="D405" s="4">
        <v>1</v>
      </c>
      <c r="E405" s="4">
        <v>206</v>
      </c>
      <c r="F405" s="4">
        <f>ROUND(Source!T384,O405)</f>
        <v>0</v>
      </c>
      <c r="G405" s="4" t="s">
        <v>124</v>
      </c>
      <c r="H405" s="4" t="s">
        <v>125</v>
      </c>
      <c r="I405" s="4"/>
      <c r="J405" s="4"/>
      <c r="K405" s="4">
        <v>206</v>
      </c>
      <c r="L405" s="4">
        <v>20</v>
      </c>
      <c r="M405" s="4">
        <v>3</v>
      </c>
      <c r="N405" s="4" t="s">
        <v>3</v>
      </c>
      <c r="O405" s="4">
        <v>2</v>
      </c>
      <c r="P405" s="4"/>
      <c r="Q405" s="4"/>
      <c r="R405" s="4"/>
      <c r="S405" s="4"/>
      <c r="T405" s="4"/>
      <c r="U405" s="4"/>
      <c r="V405" s="4"/>
      <c r="W405" s="4">
        <v>0</v>
      </c>
      <c r="X405" s="4">
        <v>1</v>
      </c>
      <c r="Y405" s="4">
        <v>0</v>
      </c>
      <c r="Z405" s="4"/>
      <c r="AA405" s="4"/>
      <c r="AB405" s="4"/>
    </row>
    <row r="406" spans="1:206" x14ac:dyDescent="0.2">
      <c r="A406" s="4">
        <v>50</v>
      </c>
      <c r="B406" s="4">
        <v>0</v>
      </c>
      <c r="C406" s="4">
        <v>0</v>
      </c>
      <c r="D406" s="4">
        <v>1</v>
      </c>
      <c r="E406" s="4">
        <v>207</v>
      </c>
      <c r="F406" s="4">
        <f>Source!U384</f>
        <v>125.126169</v>
      </c>
      <c r="G406" s="4" t="s">
        <v>126</v>
      </c>
      <c r="H406" s="4" t="s">
        <v>127</v>
      </c>
      <c r="I406" s="4"/>
      <c r="J406" s="4"/>
      <c r="K406" s="4">
        <v>207</v>
      </c>
      <c r="L406" s="4">
        <v>21</v>
      </c>
      <c r="M406" s="4">
        <v>3</v>
      </c>
      <c r="N406" s="4" t="s">
        <v>3</v>
      </c>
      <c r="O406" s="4">
        <v>-1</v>
      </c>
      <c r="P406" s="4"/>
      <c r="Q406" s="4"/>
      <c r="R406" s="4"/>
      <c r="S406" s="4"/>
      <c r="T406" s="4"/>
      <c r="U406" s="4"/>
      <c r="V406" s="4"/>
      <c r="W406" s="4">
        <v>125.126169</v>
      </c>
      <c r="X406" s="4">
        <v>1</v>
      </c>
      <c r="Y406" s="4">
        <v>125.126169</v>
      </c>
      <c r="Z406" s="4"/>
      <c r="AA406" s="4"/>
      <c r="AB406" s="4"/>
    </row>
    <row r="407" spans="1:206" x14ac:dyDescent="0.2">
      <c r="A407" s="4">
        <v>50</v>
      </c>
      <c r="B407" s="4">
        <v>0</v>
      </c>
      <c r="C407" s="4">
        <v>0</v>
      </c>
      <c r="D407" s="4">
        <v>1</v>
      </c>
      <c r="E407" s="4">
        <v>208</v>
      </c>
      <c r="F407" s="4">
        <f>Source!V384</f>
        <v>0</v>
      </c>
      <c r="G407" s="4" t="s">
        <v>128</v>
      </c>
      <c r="H407" s="4" t="s">
        <v>129</v>
      </c>
      <c r="I407" s="4"/>
      <c r="J407" s="4"/>
      <c r="K407" s="4">
        <v>208</v>
      </c>
      <c r="L407" s="4">
        <v>22</v>
      </c>
      <c r="M407" s="4">
        <v>3</v>
      </c>
      <c r="N407" s="4" t="s">
        <v>3</v>
      </c>
      <c r="O407" s="4">
        <v>-1</v>
      </c>
      <c r="P407" s="4"/>
      <c r="Q407" s="4"/>
      <c r="R407" s="4"/>
      <c r="S407" s="4"/>
      <c r="T407" s="4"/>
      <c r="U407" s="4"/>
      <c r="V407" s="4"/>
      <c r="W407" s="4">
        <v>0</v>
      </c>
      <c r="X407" s="4">
        <v>1</v>
      </c>
      <c r="Y407" s="4">
        <v>0</v>
      </c>
      <c r="Z407" s="4"/>
      <c r="AA407" s="4"/>
      <c r="AB407" s="4"/>
    </row>
    <row r="408" spans="1:206" x14ac:dyDescent="0.2">
      <c r="A408" s="4">
        <v>50</v>
      </c>
      <c r="B408" s="4">
        <v>0</v>
      </c>
      <c r="C408" s="4">
        <v>0</v>
      </c>
      <c r="D408" s="4">
        <v>1</v>
      </c>
      <c r="E408" s="4">
        <v>209</v>
      </c>
      <c r="F408" s="4">
        <f>ROUND(Source!W384,O408)</f>
        <v>0</v>
      </c>
      <c r="G408" s="4" t="s">
        <v>130</v>
      </c>
      <c r="H408" s="4" t="s">
        <v>131</v>
      </c>
      <c r="I408" s="4"/>
      <c r="J408" s="4"/>
      <c r="K408" s="4">
        <v>209</v>
      </c>
      <c r="L408" s="4">
        <v>23</v>
      </c>
      <c r="M408" s="4">
        <v>3</v>
      </c>
      <c r="N408" s="4" t="s">
        <v>3</v>
      </c>
      <c r="O408" s="4">
        <v>2</v>
      </c>
      <c r="P408" s="4"/>
      <c r="Q408" s="4"/>
      <c r="R408" s="4"/>
      <c r="S408" s="4"/>
      <c r="T408" s="4"/>
      <c r="U408" s="4"/>
      <c r="V408" s="4"/>
      <c r="W408" s="4">
        <v>0</v>
      </c>
      <c r="X408" s="4">
        <v>1</v>
      </c>
      <c r="Y408" s="4">
        <v>0</v>
      </c>
      <c r="Z408" s="4"/>
      <c r="AA408" s="4"/>
      <c r="AB408" s="4"/>
    </row>
    <row r="409" spans="1:206" x14ac:dyDescent="0.2">
      <c r="A409" s="4">
        <v>50</v>
      </c>
      <c r="B409" s="4">
        <v>0</v>
      </c>
      <c r="C409" s="4">
        <v>0</v>
      </c>
      <c r="D409" s="4">
        <v>1</v>
      </c>
      <c r="E409" s="4">
        <v>233</v>
      </c>
      <c r="F409" s="4">
        <f>ROUND(Source!BD384,O409)</f>
        <v>0</v>
      </c>
      <c r="G409" s="4" t="s">
        <v>132</v>
      </c>
      <c r="H409" s="4" t="s">
        <v>133</v>
      </c>
      <c r="I409" s="4"/>
      <c r="J409" s="4"/>
      <c r="K409" s="4">
        <v>233</v>
      </c>
      <c r="L409" s="4">
        <v>24</v>
      </c>
      <c r="M409" s="4">
        <v>3</v>
      </c>
      <c r="N409" s="4" t="s">
        <v>3</v>
      </c>
      <c r="O409" s="4">
        <v>2</v>
      </c>
      <c r="P409" s="4"/>
      <c r="Q409" s="4"/>
      <c r="R409" s="4"/>
      <c r="S409" s="4"/>
      <c r="T409" s="4"/>
      <c r="U409" s="4"/>
      <c r="V409" s="4"/>
      <c r="W409" s="4">
        <v>0</v>
      </c>
      <c r="X409" s="4">
        <v>1</v>
      </c>
      <c r="Y409" s="4">
        <v>0</v>
      </c>
      <c r="Z409" s="4"/>
      <c r="AA409" s="4"/>
      <c r="AB409" s="4"/>
    </row>
    <row r="410" spans="1:206" x14ac:dyDescent="0.2">
      <c r="A410" s="4">
        <v>50</v>
      </c>
      <c r="B410" s="4">
        <v>0</v>
      </c>
      <c r="C410" s="4">
        <v>0</v>
      </c>
      <c r="D410" s="4">
        <v>1</v>
      </c>
      <c r="E410" s="4">
        <v>210</v>
      </c>
      <c r="F410" s="4">
        <f>ROUND(Source!X384,O410)</f>
        <v>40351.129999999997</v>
      </c>
      <c r="G410" s="4" t="s">
        <v>134</v>
      </c>
      <c r="H410" s="4" t="s">
        <v>135</v>
      </c>
      <c r="I410" s="4"/>
      <c r="J410" s="4"/>
      <c r="K410" s="4">
        <v>210</v>
      </c>
      <c r="L410" s="4">
        <v>25</v>
      </c>
      <c r="M410" s="4">
        <v>3</v>
      </c>
      <c r="N410" s="4" t="s">
        <v>3</v>
      </c>
      <c r="O410" s="4">
        <v>2</v>
      </c>
      <c r="P410" s="4"/>
      <c r="Q410" s="4"/>
      <c r="R410" s="4"/>
      <c r="S410" s="4"/>
      <c r="T410" s="4"/>
      <c r="U410" s="4"/>
      <c r="V410" s="4"/>
      <c r="W410" s="4">
        <v>40351.129999999997</v>
      </c>
      <c r="X410" s="4">
        <v>1</v>
      </c>
      <c r="Y410" s="4">
        <v>40351.129999999997</v>
      </c>
      <c r="Z410" s="4"/>
      <c r="AA410" s="4"/>
      <c r="AB410" s="4"/>
    </row>
    <row r="411" spans="1:206" x14ac:dyDescent="0.2">
      <c r="A411" s="4">
        <v>50</v>
      </c>
      <c r="B411" s="4">
        <v>0</v>
      </c>
      <c r="C411" s="4">
        <v>0</v>
      </c>
      <c r="D411" s="4">
        <v>1</v>
      </c>
      <c r="E411" s="4">
        <v>211</v>
      </c>
      <c r="F411" s="4">
        <f>ROUND(Source!Y384,O411)</f>
        <v>5764.46</v>
      </c>
      <c r="G411" s="4" t="s">
        <v>136</v>
      </c>
      <c r="H411" s="4" t="s">
        <v>137</v>
      </c>
      <c r="I411" s="4"/>
      <c r="J411" s="4"/>
      <c r="K411" s="4">
        <v>211</v>
      </c>
      <c r="L411" s="4">
        <v>26</v>
      </c>
      <c r="M411" s="4">
        <v>3</v>
      </c>
      <c r="N411" s="4" t="s">
        <v>3</v>
      </c>
      <c r="O411" s="4">
        <v>2</v>
      </c>
      <c r="P411" s="4"/>
      <c r="Q411" s="4"/>
      <c r="R411" s="4"/>
      <c r="S411" s="4"/>
      <c r="T411" s="4"/>
      <c r="U411" s="4"/>
      <c r="V411" s="4"/>
      <c r="W411" s="4">
        <v>5764.46</v>
      </c>
      <c r="X411" s="4">
        <v>1</v>
      </c>
      <c r="Y411" s="4">
        <v>5764.46</v>
      </c>
      <c r="Z411" s="4"/>
      <c r="AA411" s="4"/>
      <c r="AB411" s="4"/>
    </row>
    <row r="412" spans="1:206" x14ac:dyDescent="0.2">
      <c r="A412" s="4">
        <v>50</v>
      </c>
      <c r="B412" s="4">
        <v>0</v>
      </c>
      <c r="C412" s="4">
        <v>0</v>
      </c>
      <c r="D412" s="4">
        <v>1</v>
      </c>
      <c r="E412" s="4">
        <v>224</v>
      </c>
      <c r="F412" s="4">
        <f>ROUND(Source!AR384,O412)</f>
        <v>244348.79999999999</v>
      </c>
      <c r="G412" s="4" t="s">
        <v>138</v>
      </c>
      <c r="H412" s="4" t="s">
        <v>139</v>
      </c>
      <c r="I412" s="4"/>
      <c r="J412" s="4"/>
      <c r="K412" s="4">
        <v>224</v>
      </c>
      <c r="L412" s="4">
        <v>27</v>
      </c>
      <c r="M412" s="4">
        <v>3</v>
      </c>
      <c r="N412" s="4" t="s">
        <v>3</v>
      </c>
      <c r="O412" s="4">
        <v>2</v>
      </c>
      <c r="P412" s="4"/>
      <c r="Q412" s="4"/>
      <c r="R412" s="4"/>
      <c r="S412" s="4"/>
      <c r="T412" s="4"/>
      <c r="U412" s="4"/>
      <c r="V412" s="4"/>
      <c r="W412" s="4">
        <v>244348.79999999999</v>
      </c>
      <c r="X412" s="4">
        <v>1</v>
      </c>
      <c r="Y412" s="4">
        <v>244348.79999999999</v>
      </c>
      <c r="Z412" s="4"/>
      <c r="AA412" s="4"/>
      <c r="AB412" s="4"/>
    </row>
    <row r="414" spans="1:206" x14ac:dyDescent="0.2">
      <c r="A414" s="2">
        <v>51</v>
      </c>
      <c r="B414" s="2">
        <f>B12</f>
        <v>450</v>
      </c>
      <c r="C414" s="2">
        <f>A12</f>
        <v>1</v>
      </c>
      <c r="D414" s="2">
        <f>ROW(A12)</f>
        <v>12</v>
      </c>
      <c r="E414" s="2"/>
      <c r="F414" s="2" t="str">
        <f>IF(F12&lt;&gt;"",F12,"")</f>
        <v>Новый объект</v>
      </c>
      <c r="G414" s="2" t="str">
        <f>IF(G12&lt;&gt;"",G12,"")</f>
        <v>ГБОУ Школа №1440. Крылатские холмы д. 23 (в ценах на 01.04.2025 г)</v>
      </c>
      <c r="H414" s="2">
        <v>0</v>
      </c>
      <c r="I414" s="2"/>
      <c r="J414" s="2"/>
      <c r="K414" s="2"/>
      <c r="L414" s="2"/>
      <c r="M414" s="2"/>
      <c r="N414" s="2"/>
      <c r="O414" s="2">
        <f t="shared" ref="O414:T414" si="220">ROUND(O384,2)</f>
        <v>198197.89</v>
      </c>
      <c r="P414" s="2">
        <f t="shared" si="220"/>
        <v>139272.47</v>
      </c>
      <c r="Q414" s="2">
        <f t="shared" si="220"/>
        <v>1280.96</v>
      </c>
      <c r="R414" s="2">
        <f t="shared" si="220"/>
        <v>441.95</v>
      </c>
      <c r="S414" s="2">
        <f t="shared" si="220"/>
        <v>57644.46</v>
      </c>
      <c r="T414" s="2">
        <f t="shared" si="220"/>
        <v>0</v>
      </c>
      <c r="U414" s="2">
        <f>U384</f>
        <v>125.126169</v>
      </c>
      <c r="V414" s="2">
        <f>V384</f>
        <v>0</v>
      </c>
      <c r="W414" s="2">
        <f>ROUND(W384,2)</f>
        <v>0</v>
      </c>
      <c r="X414" s="2">
        <f>ROUND(X384,2)</f>
        <v>40351.129999999997</v>
      </c>
      <c r="Y414" s="2">
        <f>ROUND(Y384,2)</f>
        <v>5764.46</v>
      </c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>
        <f t="shared" ref="AO414:BD414" si="221">ROUND(AO384,2)</f>
        <v>0</v>
      </c>
      <c r="AP414" s="2">
        <f t="shared" si="221"/>
        <v>0</v>
      </c>
      <c r="AQ414" s="2">
        <f t="shared" si="221"/>
        <v>0</v>
      </c>
      <c r="AR414" s="2">
        <f t="shared" si="221"/>
        <v>244348.79999999999</v>
      </c>
      <c r="AS414" s="2">
        <f t="shared" si="221"/>
        <v>0</v>
      </c>
      <c r="AT414" s="2">
        <f t="shared" si="221"/>
        <v>0</v>
      </c>
      <c r="AU414" s="2">
        <f t="shared" si="221"/>
        <v>244348.79999999999</v>
      </c>
      <c r="AV414" s="2">
        <f t="shared" si="221"/>
        <v>139272.47</v>
      </c>
      <c r="AW414" s="2">
        <f t="shared" si="221"/>
        <v>139272.47</v>
      </c>
      <c r="AX414" s="2">
        <f t="shared" si="221"/>
        <v>0</v>
      </c>
      <c r="AY414" s="2">
        <f t="shared" si="221"/>
        <v>139272.47</v>
      </c>
      <c r="AZ414" s="2">
        <f t="shared" si="221"/>
        <v>0</v>
      </c>
      <c r="BA414" s="2">
        <f t="shared" si="221"/>
        <v>0</v>
      </c>
      <c r="BB414" s="2">
        <f t="shared" si="221"/>
        <v>0</v>
      </c>
      <c r="BC414" s="2">
        <f t="shared" si="221"/>
        <v>0</v>
      </c>
      <c r="BD414" s="2">
        <f t="shared" si="221"/>
        <v>0</v>
      </c>
      <c r="BE414" s="2"/>
      <c r="BF414" s="2"/>
      <c r="BG414" s="2"/>
      <c r="BH414" s="2"/>
      <c r="BI414" s="2"/>
      <c r="BJ414" s="2"/>
      <c r="BK414" s="2"/>
      <c r="BL414" s="2"/>
      <c r="BM414" s="2"/>
      <c r="BN414" s="2"/>
      <c r="BO414" s="2"/>
      <c r="BP414" s="2"/>
      <c r="BQ414" s="2"/>
      <c r="BR414" s="2"/>
      <c r="BS414" s="2"/>
      <c r="BT414" s="2"/>
      <c r="BU414" s="2"/>
      <c r="BV414" s="2"/>
      <c r="BW414" s="2"/>
      <c r="BX414" s="2"/>
      <c r="BY414" s="2"/>
      <c r="BZ414" s="2"/>
      <c r="CA414" s="2"/>
      <c r="CB414" s="2"/>
      <c r="CC414" s="2"/>
      <c r="CD414" s="2"/>
      <c r="CE414" s="2"/>
      <c r="CF414" s="2"/>
      <c r="CG414" s="2"/>
      <c r="CH414" s="2"/>
      <c r="CI414" s="2"/>
      <c r="CJ414" s="2"/>
      <c r="CK414" s="2"/>
      <c r="CL414" s="2"/>
      <c r="CM414" s="2"/>
      <c r="CN414" s="2"/>
      <c r="CO414" s="2"/>
      <c r="CP414" s="2"/>
      <c r="CQ414" s="2"/>
      <c r="CR414" s="2"/>
      <c r="CS414" s="2"/>
      <c r="CT414" s="2"/>
      <c r="CU414" s="2"/>
      <c r="CV414" s="2"/>
      <c r="CW414" s="2"/>
      <c r="CX414" s="2"/>
      <c r="CY414" s="2"/>
      <c r="CZ414" s="2"/>
      <c r="DA414" s="2"/>
      <c r="DB414" s="2"/>
      <c r="DC414" s="2"/>
      <c r="DD414" s="2"/>
      <c r="DE414" s="2"/>
      <c r="DF414" s="2"/>
      <c r="DG414" s="3"/>
      <c r="DH414" s="3"/>
      <c r="DI414" s="3"/>
      <c r="DJ414" s="3"/>
      <c r="DK414" s="3"/>
      <c r="DL414" s="3"/>
      <c r="DM414" s="3"/>
      <c r="DN414" s="3"/>
      <c r="DO414" s="3"/>
      <c r="DP414" s="3"/>
      <c r="DQ414" s="3"/>
      <c r="DR414" s="3"/>
      <c r="DS414" s="3"/>
      <c r="DT414" s="3"/>
      <c r="DU414" s="3"/>
      <c r="DV414" s="3"/>
      <c r="DW414" s="3"/>
      <c r="DX414" s="3"/>
      <c r="DY414" s="3"/>
      <c r="DZ414" s="3"/>
      <c r="EA414" s="3"/>
      <c r="EB414" s="3"/>
      <c r="EC414" s="3"/>
      <c r="ED414" s="3"/>
      <c r="EE414" s="3"/>
      <c r="EF414" s="3"/>
      <c r="EG414" s="3"/>
      <c r="EH414" s="3"/>
      <c r="EI414" s="3"/>
      <c r="EJ414" s="3"/>
      <c r="EK414" s="3"/>
      <c r="EL414" s="3"/>
      <c r="EM414" s="3"/>
      <c r="EN414" s="3"/>
      <c r="EO414" s="3"/>
      <c r="EP414" s="3"/>
      <c r="EQ414" s="3"/>
      <c r="ER414" s="3"/>
      <c r="ES414" s="3"/>
      <c r="ET414" s="3"/>
      <c r="EU414" s="3"/>
      <c r="EV414" s="3"/>
      <c r="EW414" s="3"/>
      <c r="EX414" s="3"/>
      <c r="EY414" s="3"/>
      <c r="EZ414" s="3"/>
      <c r="FA414" s="3"/>
      <c r="FB414" s="3"/>
      <c r="FC414" s="3"/>
      <c r="FD414" s="3"/>
      <c r="FE414" s="3"/>
      <c r="FF414" s="3"/>
      <c r="FG414" s="3"/>
      <c r="FH414" s="3"/>
      <c r="FI414" s="3"/>
      <c r="FJ414" s="3"/>
      <c r="FK414" s="3"/>
      <c r="FL414" s="3"/>
      <c r="FM414" s="3"/>
      <c r="FN414" s="3"/>
      <c r="FO414" s="3"/>
      <c r="FP414" s="3"/>
      <c r="FQ414" s="3"/>
      <c r="FR414" s="3"/>
      <c r="FS414" s="3"/>
      <c r="FT414" s="3"/>
      <c r="FU414" s="3"/>
      <c r="FV414" s="3"/>
      <c r="FW414" s="3"/>
      <c r="FX414" s="3"/>
      <c r="FY414" s="3"/>
      <c r="FZ414" s="3"/>
      <c r="GA414" s="3"/>
      <c r="GB414" s="3"/>
      <c r="GC414" s="3"/>
      <c r="GD414" s="3"/>
      <c r="GE414" s="3"/>
      <c r="GF414" s="3"/>
      <c r="GG414" s="3"/>
      <c r="GH414" s="3"/>
      <c r="GI414" s="3"/>
      <c r="GJ414" s="3"/>
      <c r="GK414" s="3"/>
      <c r="GL414" s="3"/>
      <c r="GM414" s="3"/>
      <c r="GN414" s="3"/>
      <c r="GO414" s="3"/>
      <c r="GP414" s="3"/>
      <c r="GQ414" s="3"/>
      <c r="GR414" s="3"/>
      <c r="GS414" s="3"/>
      <c r="GT414" s="3"/>
      <c r="GU414" s="3"/>
      <c r="GV414" s="3"/>
      <c r="GW414" s="3"/>
      <c r="GX414" s="3">
        <v>0</v>
      </c>
    </row>
    <row r="416" spans="1:206" x14ac:dyDescent="0.2">
      <c r="A416" s="4">
        <v>50</v>
      </c>
      <c r="B416" s="4">
        <v>0</v>
      </c>
      <c r="C416" s="4">
        <v>0</v>
      </c>
      <c r="D416" s="4">
        <v>1</v>
      </c>
      <c r="E416" s="4">
        <v>201</v>
      </c>
      <c r="F416" s="4">
        <f>ROUND(Source!O414,O416)</f>
        <v>198197.89</v>
      </c>
      <c r="G416" s="4" t="s">
        <v>86</v>
      </c>
      <c r="H416" s="4" t="s">
        <v>87</v>
      </c>
      <c r="I416" s="4"/>
      <c r="J416" s="4"/>
      <c r="K416" s="4">
        <v>201</v>
      </c>
      <c r="L416" s="4">
        <v>1</v>
      </c>
      <c r="M416" s="4">
        <v>3</v>
      </c>
      <c r="N416" s="4" t="s">
        <v>3</v>
      </c>
      <c r="O416" s="4">
        <v>2</v>
      </c>
      <c r="P416" s="4"/>
      <c r="Q416" s="4"/>
      <c r="R416" s="4"/>
      <c r="S416" s="4"/>
      <c r="T416" s="4"/>
      <c r="U416" s="4"/>
      <c r="V416" s="4"/>
      <c r="W416" s="4">
        <v>198197.89</v>
      </c>
      <c r="X416" s="4">
        <v>1</v>
      </c>
      <c r="Y416" s="4">
        <v>198197.89</v>
      </c>
      <c r="Z416" s="4"/>
      <c r="AA416" s="4"/>
      <c r="AB416" s="4"/>
    </row>
    <row r="417" spans="1:28" x14ac:dyDescent="0.2">
      <c r="A417" s="4">
        <v>50</v>
      </c>
      <c r="B417" s="4">
        <v>0</v>
      </c>
      <c r="C417" s="4">
        <v>0</v>
      </c>
      <c r="D417" s="4">
        <v>1</v>
      </c>
      <c r="E417" s="4">
        <v>202</v>
      </c>
      <c r="F417" s="4">
        <f>ROUND(Source!P414,O417)</f>
        <v>139272.47</v>
      </c>
      <c r="G417" s="4" t="s">
        <v>88</v>
      </c>
      <c r="H417" s="4" t="s">
        <v>89</v>
      </c>
      <c r="I417" s="4"/>
      <c r="J417" s="4"/>
      <c r="K417" s="4">
        <v>202</v>
      </c>
      <c r="L417" s="4">
        <v>2</v>
      </c>
      <c r="M417" s="4">
        <v>3</v>
      </c>
      <c r="N417" s="4" t="s">
        <v>3</v>
      </c>
      <c r="O417" s="4">
        <v>2</v>
      </c>
      <c r="P417" s="4"/>
      <c r="Q417" s="4"/>
      <c r="R417" s="4"/>
      <c r="S417" s="4"/>
      <c r="T417" s="4"/>
      <c r="U417" s="4"/>
      <c r="V417" s="4"/>
      <c r="W417" s="4">
        <v>139272.47</v>
      </c>
      <c r="X417" s="4">
        <v>1</v>
      </c>
      <c r="Y417" s="4">
        <v>139272.47</v>
      </c>
      <c r="Z417" s="4"/>
      <c r="AA417" s="4"/>
      <c r="AB417" s="4"/>
    </row>
    <row r="418" spans="1:28" x14ac:dyDescent="0.2">
      <c r="A418" s="4">
        <v>50</v>
      </c>
      <c r="B418" s="4">
        <v>0</v>
      </c>
      <c r="C418" s="4">
        <v>0</v>
      </c>
      <c r="D418" s="4">
        <v>1</v>
      </c>
      <c r="E418" s="4">
        <v>222</v>
      </c>
      <c r="F418" s="4">
        <f>ROUND(Source!AO414,O418)</f>
        <v>0</v>
      </c>
      <c r="G418" s="4" t="s">
        <v>90</v>
      </c>
      <c r="H418" s="4" t="s">
        <v>91</v>
      </c>
      <c r="I418" s="4"/>
      <c r="J418" s="4"/>
      <c r="K418" s="4">
        <v>222</v>
      </c>
      <c r="L418" s="4">
        <v>3</v>
      </c>
      <c r="M418" s="4">
        <v>3</v>
      </c>
      <c r="N418" s="4" t="s">
        <v>3</v>
      </c>
      <c r="O418" s="4">
        <v>2</v>
      </c>
      <c r="P418" s="4"/>
      <c r="Q418" s="4"/>
      <c r="R418" s="4"/>
      <c r="S418" s="4"/>
      <c r="T418" s="4"/>
      <c r="U418" s="4"/>
      <c r="V418" s="4"/>
      <c r="W418" s="4">
        <v>0</v>
      </c>
      <c r="X418" s="4">
        <v>1</v>
      </c>
      <c r="Y418" s="4">
        <v>0</v>
      </c>
      <c r="Z418" s="4"/>
      <c r="AA418" s="4"/>
      <c r="AB418" s="4"/>
    </row>
    <row r="419" spans="1:28" x14ac:dyDescent="0.2">
      <c r="A419" s="4">
        <v>50</v>
      </c>
      <c r="B419" s="4">
        <v>0</v>
      </c>
      <c r="C419" s="4">
        <v>0</v>
      </c>
      <c r="D419" s="4">
        <v>1</v>
      </c>
      <c r="E419" s="4">
        <v>225</v>
      </c>
      <c r="F419" s="4">
        <f>ROUND(Source!AV414,O419)</f>
        <v>139272.47</v>
      </c>
      <c r="G419" s="4" t="s">
        <v>92</v>
      </c>
      <c r="H419" s="4" t="s">
        <v>93</v>
      </c>
      <c r="I419" s="4"/>
      <c r="J419" s="4"/>
      <c r="K419" s="4">
        <v>225</v>
      </c>
      <c r="L419" s="4">
        <v>4</v>
      </c>
      <c r="M419" s="4">
        <v>3</v>
      </c>
      <c r="N419" s="4" t="s">
        <v>3</v>
      </c>
      <c r="O419" s="4">
        <v>2</v>
      </c>
      <c r="P419" s="4"/>
      <c r="Q419" s="4"/>
      <c r="R419" s="4"/>
      <c r="S419" s="4"/>
      <c r="T419" s="4"/>
      <c r="U419" s="4"/>
      <c r="V419" s="4"/>
      <c r="W419" s="4">
        <v>139272.47</v>
      </c>
      <c r="X419" s="4">
        <v>1</v>
      </c>
      <c r="Y419" s="4">
        <v>139272.47</v>
      </c>
      <c r="Z419" s="4"/>
      <c r="AA419" s="4"/>
      <c r="AB419" s="4"/>
    </row>
    <row r="420" spans="1:28" x14ac:dyDescent="0.2">
      <c r="A420" s="4">
        <v>50</v>
      </c>
      <c r="B420" s="4">
        <v>0</v>
      </c>
      <c r="C420" s="4">
        <v>0</v>
      </c>
      <c r="D420" s="4">
        <v>1</v>
      </c>
      <c r="E420" s="4">
        <v>226</v>
      </c>
      <c r="F420" s="4">
        <f>ROUND(Source!AW414,O420)</f>
        <v>139272.47</v>
      </c>
      <c r="G420" s="4" t="s">
        <v>94</v>
      </c>
      <c r="H420" s="4" t="s">
        <v>95</v>
      </c>
      <c r="I420" s="4"/>
      <c r="J420" s="4"/>
      <c r="K420" s="4">
        <v>226</v>
      </c>
      <c r="L420" s="4">
        <v>5</v>
      </c>
      <c r="M420" s="4">
        <v>3</v>
      </c>
      <c r="N420" s="4" t="s">
        <v>3</v>
      </c>
      <c r="O420" s="4">
        <v>2</v>
      </c>
      <c r="P420" s="4"/>
      <c r="Q420" s="4"/>
      <c r="R420" s="4"/>
      <c r="S420" s="4"/>
      <c r="T420" s="4"/>
      <c r="U420" s="4"/>
      <c r="V420" s="4"/>
      <c r="W420" s="4">
        <v>139272.47</v>
      </c>
      <c r="X420" s="4">
        <v>1</v>
      </c>
      <c r="Y420" s="4">
        <v>139272.47</v>
      </c>
      <c r="Z420" s="4"/>
      <c r="AA420" s="4"/>
      <c r="AB420" s="4"/>
    </row>
    <row r="421" spans="1:28" x14ac:dyDescent="0.2">
      <c r="A421" s="4">
        <v>50</v>
      </c>
      <c r="B421" s="4">
        <v>0</v>
      </c>
      <c r="C421" s="4">
        <v>0</v>
      </c>
      <c r="D421" s="4">
        <v>1</v>
      </c>
      <c r="E421" s="4">
        <v>227</v>
      </c>
      <c r="F421" s="4">
        <f>ROUND(Source!AX414,O421)</f>
        <v>0</v>
      </c>
      <c r="G421" s="4" t="s">
        <v>96</v>
      </c>
      <c r="H421" s="4" t="s">
        <v>97</v>
      </c>
      <c r="I421" s="4"/>
      <c r="J421" s="4"/>
      <c r="K421" s="4">
        <v>227</v>
      </c>
      <c r="L421" s="4">
        <v>6</v>
      </c>
      <c r="M421" s="4">
        <v>3</v>
      </c>
      <c r="N421" s="4" t="s">
        <v>3</v>
      </c>
      <c r="O421" s="4">
        <v>2</v>
      </c>
      <c r="P421" s="4"/>
      <c r="Q421" s="4"/>
      <c r="R421" s="4"/>
      <c r="S421" s="4"/>
      <c r="T421" s="4"/>
      <c r="U421" s="4"/>
      <c r="V421" s="4"/>
      <c r="W421" s="4">
        <v>0</v>
      </c>
      <c r="X421" s="4">
        <v>1</v>
      </c>
      <c r="Y421" s="4">
        <v>0</v>
      </c>
      <c r="Z421" s="4"/>
      <c r="AA421" s="4"/>
      <c r="AB421" s="4"/>
    </row>
    <row r="422" spans="1:28" x14ac:dyDescent="0.2">
      <c r="A422" s="4">
        <v>50</v>
      </c>
      <c r="B422" s="4">
        <v>0</v>
      </c>
      <c r="C422" s="4">
        <v>0</v>
      </c>
      <c r="D422" s="4">
        <v>1</v>
      </c>
      <c r="E422" s="4">
        <v>228</v>
      </c>
      <c r="F422" s="4">
        <f>ROUND(Source!AY414,O422)</f>
        <v>139272.47</v>
      </c>
      <c r="G422" s="4" t="s">
        <v>98</v>
      </c>
      <c r="H422" s="4" t="s">
        <v>99</v>
      </c>
      <c r="I422" s="4"/>
      <c r="J422" s="4"/>
      <c r="K422" s="4">
        <v>228</v>
      </c>
      <c r="L422" s="4">
        <v>7</v>
      </c>
      <c r="M422" s="4">
        <v>3</v>
      </c>
      <c r="N422" s="4" t="s">
        <v>3</v>
      </c>
      <c r="O422" s="4">
        <v>2</v>
      </c>
      <c r="P422" s="4"/>
      <c r="Q422" s="4"/>
      <c r="R422" s="4"/>
      <c r="S422" s="4"/>
      <c r="T422" s="4"/>
      <c r="U422" s="4"/>
      <c r="V422" s="4"/>
      <c r="W422" s="4">
        <v>139272.47</v>
      </c>
      <c r="X422" s="4">
        <v>1</v>
      </c>
      <c r="Y422" s="4">
        <v>139272.47</v>
      </c>
      <c r="Z422" s="4"/>
      <c r="AA422" s="4"/>
      <c r="AB422" s="4"/>
    </row>
    <row r="423" spans="1:28" x14ac:dyDescent="0.2">
      <c r="A423" s="4">
        <v>50</v>
      </c>
      <c r="B423" s="4">
        <v>0</v>
      </c>
      <c r="C423" s="4">
        <v>0</v>
      </c>
      <c r="D423" s="4">
        <v>1</v>
      </c>
      <c r="E423" s="4">
        <v>216</v>
      </c>
      <c r="F423" s="4">
        <f>ROUND(Source!AP414,O423)</f>
        <v>0</v>
      </c>
      <c r="G423" s="4" t="s">
        <v>100</v>
      </c>
      <c r="H423" s="4" t="s">
        <v>101</v>
      </c>
      <c r="I423" s="4"/>
      <c r="J423" s="4"/>
      <c r="K423" s="4">
        <v>216</v>
      </c>
      <c r="L423" s="4">
        <v>8</v>
      </c>
      <c r="M423" s="4">
        <v>3</v>
      </c>
      <c r="N423" s="4" t="s">
        <v>3</v>
      </c>
      <c r="O423" s="4">
        <v>2</v>
      </c>
      <c r="P423" s="4"/>
      <c r="Q423" s="4"/>
      <c r="R423" s="4"/>
      <c r="S423" s="4"/>
      <c r="T423" s="4"/>
      <c r="U423" s="4"/>
      <c r="V423" s="4"/>
      <c r="W423" s="4">
        <v>0</v>
      </c>
      <c r="X423" s="4">
        <v>1</v>
      </c>
      <c r="Y423" s="4">
        <v>0</v>
      </c>
      <c r="Z423" s="4"/>
      <c r="AA423" s="4"/>
      <c r="AB423" s="4"/>
    </row>
    <row r="424" spans="1:28" x14ac:dyDescent="0.2">
      <c r="A424" s="4">
        <v>50</v>
      </c>
      <c r="B424" s="4">
        <v>0</v>
      </c>
      <c r="C424" s="4">
        <v>0</v>
      </c>
      <c r="D424" s="4">
        <v>1</v>
      </c>
      <c r="E424" s="4">
        <v>223</v>
      </c>
      <c r="F424" s="4">
        <f>ROUND(Source!AQ414,O424)</f>
        <v>0</v>
      </c>
      <c r="G424" s="4" t="s">
        <v>102</v>
      </c>
      <c r="H424" s="4" t="s">
        <v>103</v>
      </c>
      <c r="I424" s="4"/>
      <c r="J424" s="4"/>
      <c r="K424" s="4">
        <v>223</v>
      </c>
      <c r="L424" s="4">
        <v>9</v>
      </c>
      <c r="M424" s="4">
        <v>3</v>
      </c>
      <c r="N424" s="4" t="s">
        <v>3</v>
      </c>
      <c r="O424" s="4">
        <v>2</v>
      </c>
      <c r="P424" s="4"/>
      <c r="Q424" s="4"/>
      <c r="R424" s="4"/>
      <c r="S424" s="4"/>
      <c r="T424" s="4"/>
      <c r="U424" s="4"/>
      <c r="V424" s="4"/>
      <c r="W424" s="4">
        <v>0</v>
      </c>
      <c r="X424" s="4">
        <v>1</v>
      </c>
      <c r="Y424" s="4">
        <v>0</v>
      </c>
      <c r="Z424" s="4"/>
      <c r="AA424" s="4"/>
      <c r="AB424" s="4"/>
    </row>
    <row r="425" spans="1:28" x14ac:dyDescent="0.2">
      <c r="A425" s="4">
        <v>50</v>
      </c>
      <c r="B425" s="4">
        <v>0</v>
      </c>
      <c r="C425" s="4">
        <v>0</v>
      </c>
      <c r="D425" s="4">
        <v>1</v>
      </c>
      <c r="E425" s="4">
        <v>229</v>
      </c>
      <c r="F425" s="4">
        <f>ROUND(Source!AZ414,O425)</f>
        <v>0</v>
      </c>
      <c r="G425" s="4" t="s">
        <v>104</v>
      </c>
      <c r="H425" s="4" t="s">
        <v>105</v>
      </c>
      <c r="I425" s="4"/>
      <c r="J425" s="4"/>
      <c r="K425" s="4">
        <v>229</v>
      </c>
      <c r="L425" s="4">
        <v>10</v>
      </c>
      <c r="M425" s="4">
        <v>3</v>
      </c>
      <c r="N425" s="4" t="s">
        <v>3</v>
      </c>
      <c r="O425" s="4">
        <v>2</v>
      </c>
      <c r="P425" s="4"/>
      <c r="Q425" s="4"/>
      <c r="R425" s="4"/>
      <c r="S425" s="4"/>
      <c r="T425" s="4"/>
      <c r="U425" s="4"/>
      <c r="V425" s="4"/>
      <c r="W425" s="4">
        <v>0</v>
      </c>
      <c r="X425" s="4">
        <v>1</v>
      </c>
      <c r="Y425" s="4">
        <v>0</v>
      </c>
      <c r="Z425" s="4"/>
      <c r="AA425" s="4"/>
      <c r="AB425" s="4"/>
    </row>
    <row r="426" spans="1:28" x14ac:dyDescent="0.2">
      <c r="A426" s="4">
        <v>50</v>
      </c>
      <c r="B426" s="4">
        <v>0</v>
      </c>
      <c r="C426" s="4">
        <v>0</v>
      </c>
      <c r="D426" s="4">
        <v>1</v>
      </c>
      <c r="E426" s="4">
        <v>203</v>
      </c>
      <c r="F426" s="4">
        <f>ROUND(Source!Q414,O426)</f>
        <v>1280.96</v>
      </c>
      <c r="G426" s="4" t="s">
        <v>106</v>
      </c>
      <c r="H426" s="4" t="s">
        <v>107</v>
      </c>
      <c r="I426" s="4"/>
      <c r="J426" s="4"/>
      <c r="K426" s="4">
        <v>203</v>
      </c>
      <c r="L426" s="4">
        <v>11</v>
      </c>
      <c r="M426" s="4">
        <v>3</v>
      </c>
      <c r="N426" s="4" t="s">
        <v>3</v>
      </c>
      <c r="O426" s="4">
        <v>2</v>
      </c>
      <c r="P426" s="4"/>
      <c r="Q426" s="4"/>
      <c r="R426" s="4"/>
      <c r="S426" s="4"/>
      <c r="T426" s="4"/>
      <c r="U426" s="4"/>
      <c r="V426" s="4"/>
      <c r="W426" s="4">
        <v>1280.96</v>
      </c>
      <c r="X426" s="4">
        <v>1</v>
      </c>
      <c r="Y426" s="4">
        <v>1280.96</v>
      </c>
      <c r="Z426" s="4"/>
      <c r="AA426" s="4"/>
      <c r="AB426" s="4"/>
    </row>
    <row r="427" spans="1:28" x14ac:dyDescent="0.2">
      <c r="A427" s="4">
        <v>50</v>
      </c>
      <c r="B427" s="4">
        <v>0</v>
      </c>
      <c r="C427" s="4">
        <v>0</v>
      </c>
      <c r="D427" s="4">
        <v>1</v>
      </c>
      <c r="E427" s="4">
        <v>231</v>
      </c>
      <c r="F427" s="4">
        <f>ROUND(Source!BB414,O427)</f>
        <v>0</v>
      </c>
      <c r="G427" s="4" t="s">
        <v>108</v>
      </c>
      <c r="H427" s="4" t="s">
        <v>109</v>
      </c>
      <c r="I427" s="4"/>
      <c r="J427" s="4"/>
      <c r="K427" s="4">
        <v>231</v>
      </c>
      <c r="L427" s="4">
        <v>12</v>
      </c>
      <c r="M427" s="4">
        <v>3</v>
      </c>
      <c r="N427" s="4" t="s">
        <v>3</v>
      </c>
      <c r="O427" s="4">
        <v>2</v>
      </c>
      <c r="P427" s="4"/>
      <c r="Q427" s="4"/>
      <c r="R427" s="4"/>
      <c r="S427" s="4"/>
      <c r="T427" s="4"/>
      <c r="U427" s="4"/>
      <c r="V427" s="4"/>
      <c r="W427" s="4">
        <v>0</v>
      </c>
      <c r="X427" s="4">
        <v>1</v>
      </c>
      <c r="Y427" s="4">
        <v>0</v>
      </c>
      <c r="Z427" s="4"/>
      <c r="AA427" s="4"/>
      <c r="AB427" s="4"/>
    </row>
    <row r="428" spans="1:28" x14ac:dyDescent="0.2">
      <c r="A428" s="4">
        <v>50</v>
      </c>
      <c r="B428" s="4">
        <v>0</v>
      </c>
      <c r="C428" s="4">
        <v>0</v>
      </c>
      <c r="D428" s="4">
        <v>1</v>
      </c>
      <c r="E428" s="4">
        <v>204</v>
      </c>
      <c r="F428" s="4">
        <f>ROUND(Source!R414,O428)</f>
        <v>441.95</v>
      </c>
      <c r="G428" s="4" t="s">
        <v>110</v>
      </c>
      <c r="H428" s="4" t="s">
        <v>111</v>
      </c>
      <c r="I428" s="4"/>
      <c r="J428" s="4"/>
      <c r="K428" s="4">
        <v>204</v>
      </c>
      <c r="L428" s="4">
        <v>13</v>
      </c>
      <c r="M428" s="4">
        <v>3</v>
      </c>
      <c r="N428" s="4" t="s">
        <v>3</v>
      </c>
      <c r="O428" s="4">
        <v>2</v>
      </c>
      <c r="P428" s="4"/>
      <c r="Q428" s="4"/>
      <c r="R428" s="4"/>
      <c r="S428" s="4"/>
      <c r="T428" s="4"/>
      <c r="U428" s="4"/>
      <c r="V428" s="4"/>
      <c r="W428" s="4">
        <v>441.95</v>
      </c>
      <c r="X428" s="4">
        <v>1</v>
      </c>
      <c r="Y428" s="4">
        <v>441.95</v>
      </c>
      <c r="Z428" s="4"/>
      <c r="AA428" s="4"/>
      <c r="AB428" s="4"/>
    </row>
    <row r="429" spans="1:28" x14ac:dyDescent="0.2">
      <c r="A429" s="4">
        <v>50</v>
      </c>
      <c r="B429" s="4">
        <v>0</v>
      </c>
      <c r="C429" s="4">
        <v>0</v>
      </c>
      <c r="D429" s="4">
        <v>1</v>
      </c>
      <c r="E429" s="4">
        <v>205</v>
      </c>
      <c r="F429" s="4">
        <f>ROUND(Source!S414,O429)</f>
        <v>57644.46</v>
      </c>
      <c r="G429" s="4" t="s">
        <v>112</v>
      </c>
      <c r="H429" s="4" t="s">
        <v>113</v>
      </c>
      <c r="I429" s="4"/>
      <c r="J429" s="4"/>
      <c r="K429" s="4">
        <v>205</v>
      </c>
      <c r="L429" s="4">
        <v>14</v>
      </c>
      <c r="M429" s="4">
        <v>3</v>
      </c>
      <c r="N429" s="4" t="s">
        <v>3</v>
      </c>
      <c r="O429" s="4">
        <v>2</v>
      </c>
      <c r="P429" s="4"/>
      <c r="Q429" s="4"/>
      <c r="R429" s="4"/>
      <c r="S429" s="4"/>
      <c r="T429" s="4"/>
      <c r="U429" s="4"/>
      <c r="V429" s="4"/>
      <c r="W429" s="4">
        <v>57644.46</v>
      </c>
      <c r="X429" s="4">
        <v>1</v>
      </c>
      <c r="Y429" s="4">
        <v>57644.46</v>
      </c>
      <c r="Z429" s="4"/>
      <c r="AA429" s="4"/>
      <c r="AB429" s="4"/>
    </row>
    <row r="430" spans="1:28" x14ac:dyDescent="0.2">
      <c r="A430" s="4">
        <v>50</v>
      </c>
      <c r="B430" s="4">
        <v>0</v>
      </c>
      <c r="C430" s="4">
        <v>0</v>
      </c>
      <c r="D430" s="4">
        <v>1</v>
      </c>
      <c r="E430" s="4">
        <v>232</v>
      </c>
      <c r="F430" s="4">
        <f>ROUND(Source!BC414,O430)</f>
        <v>0</v>
      </c>
      <c r="G430" s="4" t="s">
        <v>114</v>
      </c>
      <c r="H430" s="4" t="s">
        <v>115</v>
      </c>
      <c r="I430" s="4"/>
      <c r="J430" s="4"/>
      <c r="K430" s="4">
        <v>232</v>
      </c>
      <c r="L430" s="4">
        <v>15</v>
      </c>
      <c r="M430" s="4">
        <v>3</v>
      </c>
      <c r="N430" s="4" t="s">
        <v>3</v>
      </c>
      <c r="O430" s="4">
        <v>2</v>
      </c>
      <c r="P430" s="4"/>
      <c r="Q430" s="4"/>
      <c r="R430" s="4"/>
      <c r="S430" s="4"/>
      <c r="T430" s="4"/>
      <c r="U430" s="4"/>
      <c r="V430" s="4"/>
      <c r="W430" s="4">
        <v>0</v>
      </c>
      <c r="X430" s="4">
        <v>1</v>
      </c>
      <c r="Y430" s="4">
        <v>0</v>
      </c>
      <c r="Z430" s="4"/>
      <c r="AA430" s="4"/>
      <c r="AB430" s="4"/>
    </row>
    <row r="431" spans="1:28" x14ac:dyDescent="0.2">
      <c r="A431" s="4">
        <v>50</v>
      </c>
      <c r="B431" s="4">
        <v>0</v>
      </c>
      <c r="C431" s="4">
        <v>0</v>
      </c>
      <c r="D431" s="4">
        <v>1</v>
      </c>
      <c r="E431" s="4">
        <v>214</v>
      </c>
      <c r="F431" s="4">
        <f>ROUND(Source!AS414,O431)</f>
        <v>0</v>
      </c>
      <c r="G431" s="4" t="s">
        <v>116</v>
      </c>
      <c r="H431" s="4" t="s">
        <v>117</v>
      </c>
      <c r="I431" s="4"/>
      <c r="J431" s="4"/>
      <c r="K431" s="4">
        <v>214</v>
      </c>
      <c r="L431" s="4">
        <v>16</v>
      </c>
      <c r="M431" s="4">
        <v>3</v>
      </c>
      <c r="N431" s="4" t="s">
        <v>3</v>
      </c>
      <c r="O431" s="4">
        <v>2</v>
      </c>
      <c r="P431" s="4"/>
      <c r="Q431" s="4"/>
      <c r="R431" s="4"/>
      <c r="S431" s="4"/>
      <c r="T431" s="4"/>
      <c r="U431" s="4"/>
      <c r="V431" s="4"/>
      <c r="W431" s="4">
        <v>0</v>
      </c>
      <c r="X431" s="4">
        <v>1</v>
      </c>
      <c r="Y431" s="4">
        <v>0</v>
      </c>
      <c r="Z431" s="4"/>
      <c r="AA431" s="4"/>
      <c r="AB431" s="4"/>
    </row>
    <row r="432" spans="1:28" x14ac:dyDescent="0.2">
      <c r="A432" s="4">
        <v>50</v>
      </c>
      <c r="B432" s="4">
        <v>0</v>
      </c>
      <c r="C432" s="4">
        <v>0</v>
      </c>
      <c r="D432" s="4">
        <v>1</v>
      </c>
      <c r="E432" s="4">
        <v>215</v>
      </c>
      <c r="F432" s="4">
        <f>ROUND(Source!AT414,O432)</f>
        <v>0</v>
      </c>
      <c r="G432" s="4" t="s">
        <v>118</v>
      </c>
      <c r="H432" s="4" t="s">
        <v>119</v>
      </c>
      <c r="I432" s="4"/>
      <c r="J432" s="4"/>
      <c r="K432" s="4">
        <v>215</v>
      </c>
      <c r="L432" s="4">
        <v>17</v>
      </c>
      <c r="M432" s="4">
        <v>3</v>
      </c>
      <c r="N432" s="4" t="s">
        <v>3</v>
      </c>
      <c r="O432" s="4">
        <v>2</v>
      </c>
      <c r="P432" s="4"/>
      <c r="Q432" s="4"/>
      <c r="R432" s="4"/>
      <c r="S432" s="4"/>
      <c r="T432" s="4"/>
      <c r="U432" s="4"/>
      <c r="V432" s="4"/>
      <c r="W432" s="4">
        <v>0</v>
      </c>
      <c r="X432" s="4">
        <v>1</v>
      </c>
      <c r="Y432" s="4">
        <v>0</v>
      </c>
      <c r="Z432" s="4"/>
      <c r="AA432" s="4"/>
      <c r="AB432" s="4"/>
    </row>
    <row r="433" spans="1:28" x14ac:dyDescent="0.2">
      <c r="A433" s="4">
        <v>50</v>
      </c>
      <c r="B433" s="4">
        <v>0</v>
      </c>
      <c r="C433" s="4">
        <v>0</v>
      </c>
      <c r="D433" s="4">
        <v>1</v>
      </c>
      <c r="E433" s="4">
        <v>217</v>
      </c>
      <c r="F433" s="4">
        <f>ROUND(Source!AU414,O433)</f>
        <v>244348.79999999999</v>
      </c>
      <c r="G433" s="4" t="s">
        <v>120</v>
      </c>
      <c r="H433" s="4" t="s">
        <v>121</v>
      </c>
      <c r="I433" s="4"/>
      <c r="J433" s="4"/>
      <c r="K433" s="4">
        <v>217</v>
      </c>
      <c r="L433" s="4">
        <v>18</v>
      </c>
      <c r="M433" s="4">
        <v>3</v>
      </c>
      <c r="N433" s="4" t="s">
        <v>3</v>
      </c>
      <c r="O433" s="4">
        <v>2</v>
      </c>
      <c r="P433" s="4"/>
      <c r="Q433" s="4"/>
      <c r="R433" s="4"/>
      <c r="S433" s="4"/>
      <c r="T433" s="4"/>
      <c r="U433" s="4"/>
      <c r="V433" s="4"/>
      <c r="W433" s="4">
        <v>244348.79999999999</v>
      </c>
      <c r="X433" s="4">
        <v>1</v>
      </c>
      <c r="Y433" s="4">
        <v>244348.79999999999</v>
      </c>
      <c r="Z433" s="4"/>
      <c r="AA433" s="4"/>
      <c r="AB433" s="4"/>
    </row>
    <row r="434" spans="1:28" x14ac:dyDescent="0.2">
      <c r="A434" s="4">
        <v>50</v>
      </c>
      <c r="B434" s="4">
        <v>0</v>
      </c>
      <c r="C434" s="4">
        <v>0</v>
      </c>
      <c r="D434" s="4">
        <v>1</v>
      </c>
      <c r="E434" s="4">
        <v>230</v>
      </c>
      <c r="F434" s="4">
        <f>ROUND(Source!BA414,O434)</f>
        <v>0</v>
      </c>
      <c r="G434" s="4" t="s">
        <v>122</v>
      </c>
      <c r="H434" s="4" t="s">
        <v>123</v>
      </c>
      <c r="I434" s="4"/>
      <c r="J434" s="4"/>
      <c r="K434" s="4">
        <v>230</v>
      </c>
      <c r="L434" s="4">
        <v>19</v>
      </c>
      <c r="M434" s="4">
        <v>3</v>
      </c>
      <c r="N434" s="4" t="s">
        <v>3</v>
      </c>
      <c r="O434" s="4">
        <v>2</v>
      </c>
      <c r="P434" s="4"/>
      <c r="Q434" s="4"/>
      <c r="R434" s="4"/>
      <c r="S434" s="4"/>
      <c r="T434" s="4"/>
      <c r="U434" s="4"/>
      <c r="V434" s="4"/>
      <c r="W434" s="4">
        <v>0</v>
      </c>
      <c r="X434" s="4">
        <v>1</v>
      </c>
      <c r="Y434" s="4">
        <v>0</v>
      </c>
      <c r="Z434" s="4"/>
      <c r="AA434" s="4"/>
      <c r="AB434" s="4"/>
    </row>
    <row r="435" spans="1:28" x14ac:dyDescent="0.2">
      <c r="A435" s="4">
        <v>50</v>
      </c>
      <c r="B435" s="4">
        <v>0</v>
      </c>
      <c r="C435" s="4">
        <v>0</v>
      </c>
      <c r="D435" s="4">
        <v>1</v>
      </c>
      <c r="E435" s="4">
        <v>206</v>
      </c>
      <c r="F435" s="4">
        <f>ROUND(Source!T414,O435)</f>
        <v>0</v>
      </c>
      <c r="G435" s="4" t="s">
        <v>124</v>
      </c>
      <c r="H435" s="4" t="s">
        <v>125</v>
      </c>
      <c r="I435" s="4"/>
      <c r="J435" s="4"/>
      <c r="K435" s="4">
        <v>206</v>
      </c>
      <c r="L435" s="4">
        <v>20</v>
      </c>
      <c r="M435" s="4">
        <v>3</v>
      </c>
      <c r="N435" s="4" t="s">
        <v>3</v>
      </c>
      <c r="O435" s="4">
        <v>2</v>
      </c>
      <c r="P435" s="4"/>
      <c r="Q435" s="4"/>
      <c r="R435" s="4"/>
      <c r="S435" s="4"/>
      <c r="T435" s="4"/>
      <c r="U435" s="4"/>
      <c r="V435" s="4"/>
      <c r="W435" s="4">
        <v>0</v>
      </c>
      <c r="X435" s="4">
        <v>1</v>
      </c>
      <c r="Y435" s="4">
        <v>0</v>
      </c>
      <c r="Z435" s="4"/>
      <c r="AA435" s="4"/>
      <c r="AB435" s="4"/>
    </row>
    <row r="436" spans="1:28" x14ac:dyDescent="0.2">
      <c r="A436" s="4">
        <v>50</v>
      </c>
      <c r="B436" s="4">
        <v>0</v>
      </c>
      <c r="C436" s="4">
        <v>0</v>
      </c>
      <c r="D436" s="4">
        <v>1</v>
      </c>
      <c r="E436" s="4">
        <v>207</v>
      </c>
      <c r="F436" s="4">
        <f>Source!U414</f>
        <v>125.126169</v>
      </c>
      <c r="G436" s="4" t="s">
        <v>126</v>
      </c>
      <c r="H436" s="4" t="s">
        <v>127</v>
      </c>
      <c r="I436" s="4"/>
      <c r="J436" s="4"/>
      <c r="K436" s="4">
        <v>207</v>
      </c>
      <c r="L436" s="4">
        <v>21</v>
      </c>
      <c r="M436" s="4">
        <v>3</v>
      </c>
      <c r="N436" s="4" t="s">
        <v>3</v>
      </c>
      <c r="O436" s="4">
        <v>-1</v>
      </c>
      <c r="P436" s="4"/>
      <c r="Q436" s="4"/>
      <c r="R436" s="4"/>
      <c r="S436" s="4"/>
      <c r="T436" s="4"/>
      <c r="U436" s="4"/>
      <c r="V436" s="4"/>
      <c r="W436" s="4">
        <v>125.126169</v>
      </c>
      <c r="X436" s="4">
        <v>1</v>
      </c>
      <c r="Y436" s="4">
        <v>125.126169</v>
      </c>
      <c r="Z436" s="4"/>
      <c r="AA436" s="4"/>
      <c r="AB436" s="4"/>
    </row>
    <row r="437" spans="1:28" x14ac:dyDescent="0.2">
      <c r="A437" s="4">
        <v>50</v>
      </c>
      <c r="B437" s="4">
        <v>0</v>
      </c>
      <c r="C437" s="4">
        <v>0</v>
      </c>
      <c r="D437" s="4">
        <v>1</v>
      </c>
      <c r="E437" s="4">
        <v>208</v>
      </c>
      <c r="F437" s="4">
        <f>Source!V414</f>
        <v>0</v>
      </c>
      <c r="G437" s="4" t="s">
        <v>128</v>
      </c>
      <c r="H437" s="4" t="s">
        <v>129</v>
      </c>
      <c r="I437" s="4"/>
      <c r="J437" s="4"/>
      <c r="K437" s="4">
        <v>208</v>
      </c>
      <c r="L437" s="4">
        <v>22</v>
      </c>
      <c r="M437" s="4">
        <v>3</v>
      </c>
      <c r="N437" s="4" t="s">
        <v>3</v>
      </c>
      <c r="O437" s="4">
        <v>-1</v>
      </c>
      <c r="P437" s="4"/>
      <c r="Q437" s="4"/>
      <c r="R437" s="4"/>
      <c r="S437" s="4"/>
      <c r="T437" s="4"/>
      <c r="U437" s="4"/>
      <c r="V437" s="4"/>
      <c r="W437" s="4">
        <v>0</v>
      </c>
      <c r="X437" s="4">
        <v>1</v>
      </c>
      <c r="Y437" s="4">
        <v>0</v>
      </c>
      <c r="Z437" s="4"/>
      <c r="AA437" s="4"/>
      <c r="AB437" s="4"/>
    </row>
    <row r="438" spans="1:28" x14ac:dyDescent="0.2">
      <c r="A438" s="4">
        <v>50</v>
      </c>
      <c r="B438" s="4">
        <v>0</v>
      </c>
      <c r="C438" s="4">
        <v>0</v>
      </c>
      <c r="D438" s="4">
        <v>1</v>
      </c>
      <c r="E438" s="4">
        <v>209</v>
      </c>
      <c r="F438" s="4">
        <f>ROUND(Source!W414,O438)</f>
        <v>0</v>
      </c>
      <c r="G438" s="4" t="s">
        <v>130</v>
      </c>
      <c r="H438" s="4" t="s">
        <v>131</v>
      </c>
      <c r="I438" s="4"/>
      <c r="J438" s="4"/>
      <c r="K438" s="4">
        <v>209</v>
      </c>
      <c r="L438" s="4">
        <v>23</v>
      </c>
      <c r="M438" s="4">
        <v>3</v>
      </c>
      <c r="N438" s="4" t="s">
        <v>3</v>
      </c>
      <c r="O438" s="4">
        <v>2</v>
      </c>
      <c r="P438" s="4"/>
      <c r="Q438" s="4"/>
      <c r="R438" s="4"/>
      <c r="S438" s="4"/>
      <c r="T438" s="4"/>
      <c r="U438" s="4"/>
      <c r="V438" s="4"/>
      <c r="W438" s="4">
        <v>0</v>
      </c>
      <c r="X438" s="4">
        <v>1</v>
      </c>
      <c r="Y438" s="4">
        <v>0</v>
      </c>
      <c r="Z438" s="4"/>
      <c r="AA438" s="4"/>
      <c r="AB438" s="4"/>
    </row>
    <row r="439" spans="1:28" x14ac:dyDescent="0.2">
      <c r="A439" s="4">
        <v>50</v>
      </c>
      <c r="B439" s="4">
        <v>0</v>
      </c>
      <c r="C439" s="4">
        <v>0</v>
      </c>
      <c r="D439" s="4">
        <v>1</v>
      </c>
      <c r="E439" s="4">
        <v>233</v>
      </c>
      <c r="F439" s="4">
        <f>ROUND(Source!BD414,O439)</f>
        <v>0</v>
      </c>
      <c r="G439" s="4" t="s">
        <v>132</v>
      </c>
      <c r="H439" s="4" t="s">
        <v>133</v>
      </c>
      <c r="I439" s="4"/>
      <c r="J439" s="4"/>
      <c r="K439" s="4">
        <v>233</v>
      </c>
      <c r="L439" s="4">
        <v>24</v>
      </c>
      <c r="M439" s="4">
        <v>3</v>
      </c>
      <c r="N439" s="4" t="s">
        <v>3</v>
      </c>
      <c r="O439" s="4">
        <v>2</v>
      </c>
      <c r="P439" s="4"/>
      <c r="Q439" s="4"/>
      <c r="R439" s="4"/>
      <c r="S439" s="4"/>
      <c r="T439" s="4"/>
      <c r="U439" s="4"/>
      <c r="V439" s="4"/>
      <c r="W439" s="4">
        <v>0</v>
      </c>
      <c r="X439" s="4">
        <v>1</v>
      </c>
      <c r="Y439" s="4">
        <v>0</v>
      </c>
      <c r="Z439" s="4"/>
      <c r="AA439" s="4"/>
      <c r="AB439" s="4"/>
    </row>
    <row r="440" spans="1:28" x14ac:dyDescent="0.2">
      <c r="A440" s="4">
        <v>50</v>
      </c>
      <c r="B440" s="4">
        <v>0</v>
      </c>
      <c r="C440" s="4">
        <v>0</v>
      </c>
      <c r="D440" s="4">
        <v>1</v>
      </c>
      <c r="E440" s="4">
        <v>210</v>
      </c>
      <c r="F440" s="4">
        <f>ROUND(Source!X414,O440)</f>
        <v>40351.129999999997</v>
      </c>
      <c r="G440" s="4" t="s">
        <v>134</v>
      </c>
      <c r="H440" s="4" t="s">
        <v>135</v>
      </c>
      <c r="I440" s="4"/>
      <c r="J440" s="4"/>
      <c r="K440" s="4">
        <v>210</v>
      </c>
      <c r="L440" s="4">
        <v>25</v>
      </c>
      <c r="M440" s="4">
        <v>3</v>
      </c>
      <c r="N440" s="4" t="s">
        <v>3</v>
      </c>
      <c r="O440" s="4">
        <v>2</v>
      </c>
      <c r="P440" s="4"/>
      <c r="Q440" s="4"/>
      <c r="R440" s="4"/>
      <c r="S440" s="4"/>
      <c r="T440" s="4"/>
      <c r="U440" s="4"/>
      <c r="V440" s="4"/>
      <c r="W440" s="4">
        <v>40351.129999999997</v>
      </c>
      <c r="X440" s="4">
        <v>1</v>
      </c>
      <c r="Y440" s="4">
        <v>40351.129999999997</v>
      </c>
      <c r="Z440" s="4"/>
      <c r="AA440" s="4"/>
      <c r="AB440" s="4"/>
    </row>
    <row r="441" spans="1:28" x14ac:dyDescent="0.2">
      <c r="A441" s="4">
        <v>50</v>
      </c>
      <c r="B441" s="4">
        <v>0</v>
      </c>
      <c r="C441" s="4">
        <v>0</v>
      </c>
      <c r="D441" s="4">
        <v>1</v>
      </c>
      <c r="E441" s="4">
        <v>211</v>
      </c>
      <c r="F441" s="4">
        <f>ROUND(Source!Y414,O441)</f>
        <v>5764.46</v>
      </c>
      <c r="G441" s="4" t="s">
        <v>136</v>
      </c>
      <c r="H441" s="4" t="s">
        <v>137</v>
      </c>
      <c r="I441" s="4"/>
      <c r="J441" s="4"/>
      <c r="K441" s="4">
        <v>211</v>
      </c>
      <c r="L441" s="4">
        <v>26</v>
      </c>
      <c r="M441" s="4">
        <v>3</v>
      </c>
      <c r="N441" s="4" t="s">
        <v>3</v>
      </c>
      <c r="O441" s="4">
        <v>2</v>
      </c>
      <c r="P441" s="4"/>
      <c r="Q441" s="4"/>
      <c r="R441" s="4"/>
      <c r="S441" s="4"/>
      <c r="T441" s="4"/>
      <c r="U441" s="4"/>
      <c r="V441" s="4"/>
      <c r="W441" s="4">
        <v>5764.46</v>
      </c>
      <c r="X441" s="4">
        <v>1</v>
      </c>
      <c r="Y441" s="4">
        <v>5764.46</v>
      </c>
      <c r="Z441" s="4"/>
      <c r="AA441" s="4"/>
      <c r="AB441" s="4"/>
    </row>
    <row r="442" spans="1:28" x14ac:dyDescent="0.2">
      <c r="A442" s="4">
        <v>50</v>
      </c>
      <c r="B442" s="4">
        <v>0</v>
      </c>
      <c r="C442" s="4">
        <v>0</v>
      </c>
      <c r="D442" s="4">
        <v>1</v>
      </c>
      <c r="E442" s="4">
        <v>224</v>
      </c>
      <c r="F442" s="4">
        <f>ROUND(Source!AR414,O442)</f>
        <v>244348.79999999999</v>
      </c>
      <c r="G442" s="4" t="s">
        <v>138</v>
      </c>
      <c r="H442" s="4" t="s">
        <v>139</v>
      </c>
      <c r="I442" s="4"/>
      <c r="J442" s="4"/>
      <c r="K442" s="4">
        <v>224</v>
      </c>
      <c r="L442" s="4">
        <v>27</v>
      </c>
      <c r="M442" s="4">
        <v>3</v>
      </c>
      <c r="N442" s="4" t="s">
        <v>3</v>
      </c>
      <c r="O442" s="4">
        <v>2</v>
      </c>
      <c r="P442" s="4"/>
      <c r="Q442" s="4"/>
      <c r="R442" s="4"/>
      <c r="S442" s="4"/>
      <c r="T442" s="4"/>
      <c r="U442" s="4"/>
      <c r="V442" s="4"/>
      <c r="W442" s="4">
        <v>244348.79999999999</v>
      </c>
      <c r="X442" s="4">
        <v>1</v>
      </c>
      <c r="Y442" s="4">
        <v>244348.79999999999</v>
      </c>
      <c r="Z442" s="4"/>
      <c r="AA442" s="4"/>
      <c r="AB442" s="4"/>
    </row>
    <row r="443" spans="1:28" x14ac:dyDescent="0.2">
      <c r="A443" s="4">
        <v>50</v>
      </c>
      <c r="B443" s="4">
        <v>1</v>
      </c>
      <c r="C443" s="4">
        <v>0</v>
      </c>
      <c r="D443" s="4">
        <v>2</v>
      </c>
      <c r="E443" s="4">
        <v>0</v>
      </c>
      <c r="F443" s="4">
        <f>ROUND(F442*0.2,O443)</f>
        <v>48869.760000000002</v>
      </c>
      <c r="G443" s="4" t="s">
        <v>269</v>
      </c>
      <c r="H443" s="4" t="s">
        <v>270</v>
      </c>
      <c r="I443" s="4"/>
      <c r="J443" s="4"/>
      <c r="K443" s="4">
        <v>212</v>
      </c>
      <c r="L443" s="4">
        <v>28</v>
      </c>
      <c r="M443" s="4">
        <v>0</v>
      </c>
      <c r="N443" s="4" t="s">
        <v>3</v>
      </c>
      <c r="O443" s="4">
        <v>2</v>
      </c>
      <c r="P443" s="4"/>
      <c r="Q443" s="4"/>
      <c r="R443" s="4"/>
      <c r="S443" s="4"/>
      <c r="T443" s="4"/>
      <c r="U443" s="4"/>
      <c r="V443" s="4"/>
      <c r="W443" s="4">
        <v>48869.760000000002</v>
      </c>
      <c r="X443" s="4">
        <v>1</v>
      </c>
      <c r="Y443" s="4">
        <v>48869.760000000002</v>
      </c>
      <c r="Z443" s="4"/>
      <c r="AA443" s="4"/>
      <c r="AB443" s="4"/>
    </row>
    <row r="444" spans="1:28" x14ac:dyDescent="0.2">
      <c r="A444" s="4">
        <v>50</v>
      </c>
      <c r="B444" s="4">
        <v>1</v>
      </c>
      <c r="C444" s="4">
        <v>0</v>
      </c>
      <c r="D444" s="4">
        <v>2</v>
      </c>
      <c r="E444" s="4">
        <v>213</v>
      </c>
      <c r="F444" s="4">
        <f>ROUND(F442+F443,O444)</f>
        <v>293218.56</v>
      </c>
      <c r="G444" s="4" t="s">
        <v>271</v>
      </c>
      <c r="H444" s="4" t="s">
        <v>272</v>
      </c>
      <c r="I444" s="4"/>
      <c r="J444" s="4"/>
      <c r="K444" s="4">
        <v>212</v>
      </c>
      <c r="L444" s="4">
        <v>29</v>
      </c>
      <c r="M444" s="4">
        <v>0</v>
      </c>
      <c r="N444" s="4" t="s">
        <v>3</v>
      </c>
      <c r="O444" s="4">
        <v>2</v>
      </c>
      <c r="P444" s="4"/>
      <c r="Q444" s="4"/>
      <c r="R444" s="4"/>
      <c r="S444" s="4"/>
      <c r="T444" s="4"/>
      <c r="U444" s="4"/>
      <c r="V444" s="4"/>
      <c r="W444" s="4">
        <v>293218.56</v>
      </c>
      <c r="X444" s="4">
        <v>1</v>
      </c>
      <c r="Y444" s="4">
        <v>293218.56</v>
      </c>
      <c r="Z444" s="4"/>
      <c r="AA444" s="4"/>
      <c r="AB444" s="4"/>
    </row>
    <row r="445" spans="1:28" x14ac:dyDescent="0.2">
      <c r="A445" s="4">
        <v>50</v>
      </c>
      <c r="B445" s="4">
        <v>1</v>
      </c>
      <c r="C445" s="4">
        <v>0</v>
      </c>
      <c r="D445" s="4">
        <v>2</v>
      </c>
      <c r="E445" s="4">
        <v>0</v>
      </c>
      <c r="F445" s="4">
        <f>ROUND(0,O445)</f>
        <v>0</v>
      </c>
      <c r="G445" s="4" t="s">
        <v>17</v>
      </c>
      <c r="H445" s="4" t="s">
        <v>273</v>
      </c>
      <c r="I445" s="4"/>
      <c r="J445" s="4"/>
      <c r="K445" s="4">
        <v>212</v>
      </c>
      <c r="L445" s="4">
        <v>31</v>
      </c>
      <c r="M445" s="4">
        <v>0</v>
      </c>
      <c r="N445" s="4" t="s">
        <v>3</v>
      </c>
      <c r="O445" s="4">
        <v>2</v>
      </c>
      <c r="P445" s="4"/>
      <c r="Q445" s="4"/>
      <c r="R445" s="4"/>
      <c r="S445" s="4"/>
      <c r="T445" s="4"/>
      <c r="U445" s="4"/>
      <c r="V445" s="4"/>
      <c r="W445" s="4">
        <v>0</v>
      </c>
      <c r="X445" s="4">
        <v>1</v>
      </c>
      <c r="Y445" s="4">
        <v>0</v>
      </c>
      <c r="Z445" s="4"/>
      <c r="AA445" s="4"/>
      <c r="AB445" s="4"/>
    </row>
    <row r="448" spans="1:28" x14ac:dyDescent="0.2">
      <c r="A448">
        <v>-1</v>
      </c>
    </row>
    <row r="450" spans="1:15" x14ac:dyDescent="0.2">
      <c r="A450" s="3">
        <v>75</v>
      </c>
      <c r="B450" s="3" t="s">
        <v>274</v>
      </c>
      <c r="C450" s="3">
        <v>2025</v>
      </c>
      <c r="D450" s="3">
        <v>2</v>
      </c>
      <c r="E450" s="3">
        <v>0</v>
      </c>
      <c r="F450" s="3"/>
      <c r="G450" s="3">
        <v>0</v>
      </c>
      <c r="H450" s="3">
        <v>1</v>
      </c>
      <c r="I450" s="3">
        <v>0</v>
      </c>
      <c r="J450" s="3">
        <v>1</v>
      </c>
      <c r="K450" s="3">
        <v>78</v>
      </c>
      <c r="L450" s="3">
        <v>30</v>
      </c>
      <c r="M450" s="3">
        <v>0</v>
      </c>
      <c r="N450" s="3">
        <v>75703208</v>
      </c>
      <c r="O450" s="3">
        <v>1</v>
      </c>
    </row>
    <row r="454" spans="1:15" x14ac:dyDescent="0.2">
      <c r="A454">
        <v>65</v>
      </c>
      <c r="C454">
        <v>1</v>
      </c>
      <c r="D454">
        <v>0</v>
      </c>
      <c r="E454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54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275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66562</v>
      </c>
      <c r="M1">
        <v>10</v>
      </c>
      <c r="N1">
        <v>11</v>
      </c>
      <c r="O1">
        <v>12</v>
      </c>
      <c r="P1">
        <v>0</v>
      </c>
      <c r="Q1">
        <v>1</v>
      </c>
    </row>
    <row r="12" spans="1:133" x14ac:dyDescent="0.2">
      <c r="A12" s="1">
        <v>1</v>
      </c>
      <c r="B12" s="1">
        <v>54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8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75703208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5">
        <v>3</v>
      </c>
      <c r="B16" s="5">
        <v>0</v>
      </c>
      <c r="C16" s="5" t="s">
        <v>12</v>
      </c>
      <c r="D16" s="5" t="s">
        <v>12</v>
      </c>
      <c r="E16" s="6">
        <f>ROUND((Source!F401)/1000,2)</f>
        <v>0</v>
      </c>
      <c r="F16" s="6">
        <f>ROUND((Source!F402)/1000,2)</f>
        <v>0</v>
      </c>
      <c r="G16" s="6">
        <f>ROUND((Source!F393)/1000,2)</f>
        <v>0</v>
      </c>
      <c r="H16" s="6">
        <f>ROUND((Source!F403)/1000+(Source!F404)/1000,2)</f>
        <v>244.35</v>
      </c>
      <c r="I16" s="6">
        <f>E16+F16+G16+H16</f>
        <v>244.35</v>
      </c>
      <c r="J16" s="6">
        <f>ROUND((Source!F399+Source!F398)/1000,2)</f>
        <v>58.09</v>
      </c>
      <c r="AI16" s="5">
        <v>0</v>
      </c>
      <c r="AJ16" s="5">
        <v>0</v>
      </c>
      <c r="AK16" s="5" t="s">
        <v>3</v>
      </c>
      <c r="AL16" s="5" t="s">
        <v>3</v>
      </c>
      <c r="AM16" s="5" t="s">
        <v>3</v>
      </c>
      <c r="AN16" s="5">
        <v>0</v>
      </c>
      <c r="AO16" s="5" t="s">
        <v>3</v>
      </c>
      <c r="AP16" s="5" t="s">
        <v>3</v>
      </c>
      <c r="AT16" s="6">
        <v>198197.89</v>
      </c>
      <c r="AU16" s="6">
        <v>139272.47</v>
      </c>
      <c r="AV16" s="6">
        <v>0</v>
      </c>
      <c r="AW16" s="6">
        <v>0</v>
      </c>
      <c r="AX16" s="6">
        <v>0</v>
      </c>
      <c r="AY16" s="6">
        <v>1280.96</v>
      </c>
      <c r="AZ16" s="6">
        <v>441.95</v>
      </c>
      <c r="BA16" s="6">
        <v>57644.46</v>
      </c>
      <c r="BB16" s="6">
        <v>0</v>
      </c>
      <c r="BC16" s="6">
        <v>0</v>
      </c>
      <c r="BD16" s="6">
        <v>244348.79999999999</v>
      </c>
      <c r="BE16" s="6">
        <v>0</v>
      </c>
      <c r="BF16" s="6">
        <v>125.126169</v>
      </c>
      <c r="BG16" s="6">
        <v>0</v>
      </c>
      <c r="BH16" s="6">
        <v>0</v>
      </c>
      <c r="BI16" s="6">
        <v>40351.129999999997</v>
      </c>
      <c r="BJ16" s="6">
        <v>5764.46</v>
      </c>
      <c r="BK16" s="6">
        <v>244348.79999999999</v>
      </c>
    </row>
    <row r="18" spans="1:19" x14ac:dyDescent="0.2">
      <c r="A18">
        <v>51</v>
      </c>
      <c r="E18" s="7">
        <f>SUMIF(A16:A17,3,E16:E17)</f>
        <v>0</v>
      </c>
      <c r="F18" s="7">
        <f>SUMIF(A16:A17,3,F16:F17)</f>
        <v>0</v>
      </c>
      <c r="G18" s="7">
        <f>SUMIF(A16:A17,3,G16:G17)</f>
        <v>0</v>
      </c>
      <c r="H18" s="7">
        <f>SUMIF(A16:A17,3,H16:H17)</f>
        <v>244.35</v>
      </c>
      <c r="I18" s="7">
        <f>SUMIF(A16:A17,3,I16:I17)</f>
        <v>244.35</v>
      </c>
      <c r="J18" s="7">
        <f>SUMIF(A16:A17,3,J16:J17)</f>
        <v>58.09</v>
      </c>
      <c r="K18" s="7"/>
      <c r="L18" s="7"/>
      <c r="M18" s="7"/>
      <c r="N18" s="7"/>
      <c r="O18" s="7"/>
      <c r="P18" s="7"/>
      <c r="Q18" s="7"/>
      <c r="R18" s="7"/>
      <c r="S18" s="7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198197.89</v>
      </c>
      <c r="G20" s="4" t="s">
        <v>86</v>
      </c>
      <c r="H20" s="4" t="s">
        <v>87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139272.47</v>
      </c>
      <c r="G21" s="4" t="s">
        <v>88</v>
      </c>
      <c r="H21" s="4" t="s">
        <v>89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90</v>
      </c>
      <c r="H22" s="4" t="s">
        <v>91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139272.47</v>
      </c>
      <c r="G23" s="4" t="s">
        <v>92</v>
      </c>
      <c r="H23" s="4" t="s">
        <v>93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139272.47</v>
      </c>
      <c r="G24" s="4" t="s">
        <v>94</v>
      </c>
      <c r="H24" s="4" t="s">
        <v>95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96</v>
      </c>
      <c r="H25" s="4" t="s">
        <v>97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139272.47</v>
      </c>
      <c r="G26" s="4" t="s">
        <v>98</v>
      </c>
      <c r="H26" s="4" t="s">
        <v>99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100</v>
      </c>
      <c r="H27" s="4" t="s">
        <v>101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102</v>
      </c>
      <c r="H28" s="4" t="s">
        <v>103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104</v>
      </c>
      <c r="H29" s="4" t="s">
        <v>105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1280.96</v>
      </c>
      <c r="G30" s="4" t="s">
        <v>106</v>
      </c>
      <c r="H30" s="4" t="s">
        <v>107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108</v>
      </c>
      <c r="H31" s="4" t="s">
        <v>109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441.95</v>
      </c>
      <c r="G32" s="4" t="s">
        <v>110</v>
      </c>
      <c r="H32" s="4" t="s">
        <v>111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57644.46</v>
      </c>
      <c r="G33" s="4" t="s">
        <v>112</v>
      </c>
      <c r="H33" s="4" t="s">
        <v>113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114</v>
      </c>
      <c r="H34" s="4" t="s">
        <v>115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0</v>
      </c>
      <c r="G35" s="4" t="s">
        <v>116</v>
      </c>
      <c r="H35" s="4" t="s">
        <v>117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0</v>
      </c>
      <c r="G36" s="4" t="s">
        <v>118</v>
      </c>
      <c r="H36" s="4" t="s">
        <v>119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244348.79999999999</v>
      </c>
      <c r="G37" s="4" t="s">
        <v>120</v>
      </c>
      <c r="H37" s="4" t="s">
        <v>121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122</v>
      </c>
      <c r="H38" s="4" t="s">
        <v>123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124</v>
      </c>
      <c r="H39" s="4" t="s">
        <v>125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125.126169</v>
      </c>
      <c r="G40" s="4" t="s">
        <v>126</v>
      </c>
      <c r="H40" s="4" t="s">
        <v>127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0</v>
      </c>
      <c r="G41" s="4" t="s">
        <v>128</v>
      </c>
      <c r="H41" s="4" t="s">
        <v>129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130</v>
      </c>
      <c r="H42" s="4" t="s">
        <v>131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132</v>
      </c>
      <c r="H43" s="4" t="s">
        <v>133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40351.129999999997</v>
      </c>
      <c r="G44" s="4" t="s">
        <v>134</v>
      </c>
      <c r="H44" s="4" t="s">
        <v>135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5764.46</v>
      </c>
      <c r="G45" s="4" t="s">
        <v>136</v>
      </c>
      <c r="H45" s="4" t="s">
        <v>137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244348.79999999999</v>
      </c>
      <c r="G46" s="4" t="s">
        <v>138</v>
      </c>
      <c r="H46" s="4" t="s">
        <v>139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7" spans="1:16" x14ac:dyDescent="0.2">
      <c r="A47" s="4">
        <v>50</v>
      </c>
      <c r="B47" s="4">
        <v>1</v>
      </c>
      <c r="C47" s="4">
        <v>0</v>
      </c>
      <c r="D47" s="4">
        <v>2</v>
      </c>
      <c r="E47" s="4">
        <v>0</v>
      </c>
      <c r="F47" s="4">
        <v>48869.760000000002</v>
      </c>
      <c r="G47" s="4" t="s">
        <v>269</v>
      </c>
      <c r="H47" s="4" t="s">
        <v>270</v>
      </c>
      <c r="I47" s="4"/>
      <c r="J47" s="4"/>
      <c r="K47" s="4">
        <v>212</v>
      </c>
      <c r="L47" s="4">
        <v>28</v>
      </c>
      <c r="M47" s="4">
        <v>0</v>
      </c>
      <c r="N47" s="4" t="s">
        <v>3</v>
      </c>
      <c r="O47" s="4">
        <v>2</v>
      </c>
      <c r="P47" s="4"/>
    </row>
    <row r="48" spans="1:16" x14ac:dyDescent="0.2">
      <c r="A48" s="4">
        <v>50</v>
      </c>
      <c r="B48" s="4">
        <v>1</v>
      </c>
      <c r="C48" s="4">
        <v>0</v>
      </c>
      <c r="D48" s="4">
        <v>2</v>
      </c>
      <c r="E48" s="4">
        <v>213</v>
      </c>
      <c r="F48" s="4">
        <v>293218.56</v>
      </c>
      <c r="G48" s="4" t="s">
        <v>271</v>
      </c>
      <c r="H48" s="4" t="s">
        <v>272</v>
      </c>
      <c r="I48" s="4"/>
      <c r="J48" s="4"/>
      <c r="K48" s="4">
        <v>212</v>
      </c>
      <c r="L48" s="4">
        <v>29</v>
      </c>
      <c r="M48" s="4">
        <v>0</v>
      </c>
      <c r="N48" s="4" t="s">
        <v>3</v>
      </c>
      <c r="O48" s="4">
        <v>2</v>
      </c>
      <c r="P48" s="4"/>
    </row>
    <row r="49" spans="1:16" x14ac:dyDescent="0.2">
      <c r="A49" s="4">
        <v>50</v>
      </c>
      <c r="B49" s="4">
        <v>1</v>
      </c>
      <c r="C49" s="4">
        <v>0</v>
      </c>
      <c r="D49" s="4">
        <v>2</v>
      </c>
      <c r="E49" s="4">
        <v>0</v>
      </c>
      <c r="F49" s="4">
        <v>0</v>
      </c>
      <c r="G49" s="4" t="s">
        <v>17</v>
      </c>
      <c r="H49" s="4" t="s">
        <v>273</v>
      </c>
      <c r="I49" s="4"/>
      <c r="J49" s="4"/>
      <c r="K49" s="4">
        <v>212</v>
      </c>
      <c r="L49" s="4">
        <v>31</v>
      </c>
      <c r="M49" s="4">
        <v>0</v>
      </c>
      <c r="N49" s="4" t="s">
        <v>3</v>
      </c>
      <c r="O49" s="4">
        <v>2</v>
      </c>
      <c r="P49" s="4"/>
    </row>
    <row r="51" spans="1:16" x14ac:dyDescent="0.2">
      <c r="A51">
        <v>-1</v>
      </c>
    </row>
    <row r="54" spans="1:16" x14ac:dyDescent="0.2">
      <c r="A54" s="3">
        <v>75</v>
      </c>
      <c r="B54" s="3" t="s">
        <v>274</v>
      </c>
      <c r="C54" s="3">
        <v>2025</v>
      </c>
      <c r="D54" s="3">
        <v>2</v>
      </c>
      <c r="E54" s="3">
        <v>0</v>
      </c>
      <c r="F54" s="3"/>
      <c r="G54" s="3">
        <v>0</v>
      </c>
      <c r="H54" s="3">
        <v>1</v>
      </c>
      <c r="I54" s="3">
        <v>0</v>
      </c>
      <c r="J54" s="3">
        <v>1</v>
      </c>
      <c r="K54" s="3">
        <v>78</v>
      </c>
      <c r="L54" s="3">
        <v>30</v>
      </c>
      <c r="M54" s="3">
        <v>0</v>
      </c>
      <c r="N54" s="3">
        <v>75703208</v>
      </c>
      <c r="O54" s="3">
        <v>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116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19" x14ac:dyDescent="0.2">
      <c r="A1">
        <f>ROW(Source!A32)</f>
        <v>32</v>
      </c>
      <c r="B1">
        <v>75703208</v>
      </c>
      <c r="C1">
        <v>75703377</v>
      </c>
      <c r="D1">
        <v>75386788</v>
      </c>
      <c r="E1">
        <v>39</v>
      </c>
      <c r="F1">
        <v>1</v>
      </c>
      <c r="G1">
        <v>39</v>
      </c>
      <c r="H1">
        <v>1</v>
      </c>
      <c r="I1" t="s">
        <v>276</v>
      </c>
      <c r="J1" t="s">
        <v>3</v>
      </c>
      <c r="K1" t="s">
        <v>277</v>
      </c>
      <c r="L1">
        <v>1191</v>
      </c>
      <c r="N1">
        <v>1013</v>
      </c>
      <c r="O1" t="s">
        <v>278</v>
      </c>
      <c r="P1" t="s">
        <v>278</v>
      </c>
      <c r="Q1">
        <v>1</v>
      </c>
      <c r="W1">
        <v>0</v>
      </c>
      <c r="X1">
        <v>476480486</v>
      </c>
      <c r="Y1">
        <f t="shared" ref="Y1:Y32" si="0">AT1</f>
        <v>3.13</v>
      </c>
      <c r="AA1">
        <v>0</v>
      </c>
      <c r="AB1">
        <v>0</v>
      </c>
      <c r="AC1">
        <v>0</v>
      </c>
      <c r="AD1">
        <v>0</v>
      </c>
      <c r="AE1">
        <v>0</v>
      </c>
      <c r="AF1">
        <v>0</v>
      </c>
      <c r="AG1">
        <v>0</v>
      </c>
      <c r="AH1">
        <v>0</v>
      </c>
      <c r="AI1">
        <v>1</v>
      </c>
      <c r="AJ1">
        <v>1</v>
      </c>
      <c r="AK1">
        <v>1</v>
      </c>
      <c r="AL1">
        <v>1</v>
      </c>
      <c r="AM1">
        <v>-2</v>
      </c>
      <c r="AN1">
        <v>0</v>
      </c>
      <c r="AO1">
        <v>1</v>
      </c>
      <c r="AP1">
        <v>0</v>
      </c>
      <c r="AQ1">
        <v>0</v>
      </c>
      <c r="AR1">
        <v>0</v>
      </c>
      <c r="AS1" t="s">
        <v>3</v>
      </c>
      <c r="AT1">
        <v>3.13</v>
      </c>
      <c r="AU1" t="s">
        <v>3</v>
      </c>
      <c r="AV1">
        <v>1</v>
      </c>
      <c r="AW1">
        <v>2</v>
      </c>
      <c r="AX1">
        <v>75704041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U1">
        <f>ROUND(AT1*Source!I32*AH1*AL1,2)</f>
        <v>0</v>
      </c>
      <c r="CV1">
        <f>ROUND(Y1*Source!I32,9)</f>
        <v>2.8170000000000001E-2</v>
      </c>
      <c r="CW1">
        <v>0</v>
      </c>
      <c r="CX1">
        <f>ROUND(Y1*Source!I32,9)</f>
        <v>2.8170000000000001E-2</v>
      </c>
      <c r="CY1">
        <f>AD1</f>
        <v>0</v>
      </c>
      <c r="CZ1">
        <f>AH1</f>
        <v>0</v>
      </c>
      <c r="DA1">
        <f>AL1</f>
        <v>1</v>
      </c>
      <c r="DB1">
        <f t="shared" ref="DB1:DB32" si="1">ROUND(ROUND(AT1*CZ1,2),6)</f>
        <v>0</v>
      </c>
      <c r="DC1">
        <f t="shared" ref="DC1:DC32" si="2">ROUND(ROUND(AT1*AG1,2),6)</f>
        <v>0</v>
      </c>
      <c r="DD1" t="s">
        <v>3</v>
      </c>
      <c r="DE1" t="s">
        <v>3</v>
      </c>
      <c r="DF1">
        <f t="shared" ref="DF1:DF32" si="3">ROUND(ROUND(AE1,2)*CX1,2)</f>
        <v>0</v>
      </c>
      <c r="DG1">
        <f t="shared" ref="DG1:DG32" si="4">ROUND(ROUND(AF1,2)*CX1,2)</f>
        <v>0</v>
      </c>
      <c r="DH1">
        <f t="shared" ref="DH1:DH32" si="5">ROUND(ROUND(AG1,2)*CX1,2)</f>
        <v>0</v>
      </c>
      <c r="DI1">
        <f t="shared" ref="DI1:DI32" si="6">ROUND(ROUND(AH1,2)*CX1,2)</f>
        <v>0</v>
      </c>
      <c r="DJ1">
        <f>DI1</f>
        <v>0</v>
      </c>
      <c r="DK1">
        <v>0</v>
      </c>
      <c r="DL1" t="s">
        <v>3</v>
      </c>
      <c r="DM1">
        <v>0</v>
      </c>
      <c r="DN1" t="s">
        <v>3</v>
      </c>
      <c r="DO1">
        <v>0</v>
      </c>
    </row>
    <row r="2" spans="1:119" x14ac:dyDescent="0.2">
      <c r="A2">
        <f>ROW(Source!A32)</f>
        <v>32</v>
      </c>
      <c r="B2">
        <v>75703208</v>
      </c>
      <c r="C2">
        <v>75703377</v>
      </c>
      <c r="D2">
        <v>75388550</v>
      </c>
      <c r="E2">
        <v>1</v>
      </c>
      <c r="F2">
        <v>1</v>
      </c>
      <c r="G2">
        <v>39</v>
      </c>
      <c r="H2">
        <v>2</v>
      </c>
      <c r="I2" t="s">
        <v>279</v>
      </c>
      <c r="J2" t="s">
        <v>280</v>
      </c>
      <c r="K2" t="s">
        <v>281</v>
      </c>
      <c r="L2">
        <v>1368</v>
      </c>
      <c r="N2">
        <v>1011</v>
      </c>
      <c r="O2" t="s">
        <v>282</v>
      </c>
      <c r="P2" t="s">
        <v>282</v>
      </c>
      <c r="Q2">
        <v>1</v>
      </c>
      <c r="W2">
        <v>0</v>
      </c>
      <c r="X2">
        <v>-247555338</v>
      </c>
      <c r="Y2">
        <f t="shared" si="0"/>
        <v>1</v>
      </c>
      <c r="AA2">
        <v>0</v>
      </c>
      <c r="AB2">
        <v>7.44</v>
      </c>
      <c r="AC2">
        <v>0.01</v>
      </c>
      <c r="AD2">
        <v>0</v>
      </c>
      <c r="AE2">
        <v>0</v>
      </c>
      <c r="AF2">
        <v>7.44</v>
      </c>
      <c r="AG2">
        <v>0.01</v>
      </c>
      <c r="AH2">
        <v>0</v>
      </c>
      <c r="AI2">
        <v>1</v>
      </c>
      <c r="AJ2">
        <v>1</v>
      </c>
      <c r="AK2">
        <v>1</v>
      </c>
      <c r="AL2">
        <v>1</v>
      </c>
      <c r="AM2">
        <v>-2</v>
      </c>
      <c r="AN2">
        <v>0</v>
      </c>
      <c r="AO2">
        <v>1</v>
      </c>
      <c r="AP2">
        <v>0</v>
      </c>
      <c r="AQ2">
        <v>0</v>
      </c>
      <c r="AR2">
        <v>0</v>
      </c>
      <c r="AS2" t="s">
        <v>3</v>
      </c>
      <c r="AT2">
        <v>1</v>
      </c>
      <c r="AU2" t="s">
        <v>3</v>
      </c>
      <c r="AV2">
        <v>0</v>
      </c>
      <c r="AW2">
        <v>2</v>
      </c>
      <c r="AX2">
        <v>75704042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V2">
        <v>0</v>
      </c>
      <c r="CW2">
        <f>ROUND(Y2*Source!I32*DO2,9)</f>
        <v>0</v>
      </c>
      <c r="CX2">
        <f>ROUND(Y2*Source!I32,9)</f>
        <v>8.9999999999999993E-3</v>
      </c>
      <c r="CY2">
        <f>AB2</f>
        <v>7.44</v>
      </c>
      <c r="CZ2">
        <f>AF2</f>
        <v>7.44</v>
      </c>
      <c r="DA2">
        <f>AJ2</f>
        <v>1</v>
      </c>
      <c r="DB2">
        <f t="shared" si="1"/>
        <v>7.44</v>
      </c>
      <c r="DC2">
        <f t="shared" si="2"/>
        <v>0.01</v>
      </c>
      <c r="DD2" t="s">
        <v>3</v>
      </c>
      <c r="DE2" t="s">
        <v>3</v>
      </c>
      <c r="DF2">
        <f t="shared" si="3"/>
        <v>0</v>
      </c>
      <c r="DG2">
        <f t="shared" si="4"/>
        <v>7.0000000000000007E-2</v>
      </c>
      <c r="DH2">
        <f t="shared" si="5"/>
        <v>0</v>
      </c>
      <c r="DI2">
        <f t="shared" si="6"/>
        <v>0</v>
      </c>
      <c r="DJ2">
        <f>DG2</f>
        <v>7.0000000000000007E-2</v>
      </c>
      <c r="DK2">
        <v>0</v>
      </c>
      <c r="DL2" t="s">
        <v>3</v>
      </c>
      <c r="DM2">
        <v>0</v>
      </c>
      <c r="DN2" t="s">
        <v>3</v>
      </c>
      <c r="DO2">
        <v>0</v>
      </c>
    </row>
    <row r="3" spans="1:119" x14ac:dyDescent="0.2">
      <c r="A3">
        <f>ROW(Source!A33)</f>
        <v>33</v>
      </c>
      <c r="B3">
        <v>75703208</v>
      </c>
      <c r="C3">
        <v>75703382</v>
      </c>
      <c r="D3">
        <v>75386788</v>
      </c>
      <c r="E3">
        <v>39</v>
      </c>
      <c r="F3">
        <v>1</v>
      </c>
      <c r="G3">
        <v>39</v>
      </c>
      <c r="H3">
        <v>1</v>
      </c>
      <c r="I3" t="s">
        <v>276</v>
      </c>
      <c r="J3" t="s">
        <v>3</v>
      </c>
      <c r="K3" t="s">
        <v>277</v>
      </c>
      <c r="L3">
        <v>1191</v>
      </c>
      <c r="N3">
        <v>1013</v>
      </c>
      <c r="O3" t="s">
        <v>278</v>
      </c>
      <c r="P3" t="s">
        <v>278</v>
      </c>
      <c r="Q3">
        <v>1</v>
      </c>
      <c r="W3">
        <v>0</v>
      </c>
      <c r="X3">
        <v>476480486</v>
      </c>
      <c r="Y3">
        <f t="shared" si="0"/>
        <v>3.77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1</v>
      </c>
      <c r="AJ3">
        <v>1</v>
      </c>
      <c r="AK3">
        <v>1</v>
      </c>
      <c r="AL3">
        <v>1</v>
      </c>
      <c r="AM3">
        <v>-2</v>
      </c>
      <c r="AN3">
        <v>0</v>
      </c>
      <c r="AO3">
        <v>1</v>
      </c>
      <c r="AP3">
        <v>0</v>
      </c>
      <c r="AQ3">
        <v>0</v>
      </c>
      <c r="AR3">
        <v>0</v>
      </c>
      <c r="AS3" t="s">
        <v>3</v>
      </c>
      <c r="AT3">
        <v>3.77</v>
      </c>
      <c r="AU3" t="s">
        <v>3</v>
      </c>
      <c r="AV3">
        <v>1</v>
      </c>
      <c r="AW3">
        <v>2</v>
      </c>
      <c r="AX3">
        <v>75704043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U3">
        <f>ROUND(AT3*Source!I33*AH3*AL3,2)</f>
        <v>0</v>
      </c>
      <c r="CV3">
        <f>ROUND(Y3*Source!I33,9)</f>
        <v>1.1668149999999999</v>
      </c>
      <c r="CW3">
        <v>0</v>
      </c>
      <c r="CX3">
        <f>ROUND(Y3*Source!I33,9)</f>
        <v>1.1668149999999999</v>
      </c>
      <c r="CY3">
        <f>AD3</f>
        <v>0</v>
      </c>
      <c r="CZ3">
        <f>AH3</f>
        <v>0</v>
      </c>
      <c r="DA3">
        <f>AL3</f>
        <v>1</v>
      </c>
      <c r="DB3">
        <f t="shared" si="1"/>
        <v>0</v>
      </c>
      <c r="DC3">
        <f t="shared" si="2"/>
        <v>0</v>
      </c>
      <c r="DD3" t="s">
        <v>3</v>
      </c>
      <c r="DE3" t="s">
        <v>3</v>
      </c>
      <c r="DF3">
        <f t="shared" si="3"/>
        <v>0</v>
      </c>
      <c r="DG3">
        <f t="shared" si="4"/>
        <v>0</v>
      </c>
      <c r="DH3">
        <f t="shared" si="5"/>
        <v>0</v>
      </c>
      <c r="DI3">
        <f t="shared" si="6"/>
        <v>0</v>
      </c>
      <c r="DJ3">
        <f>DI3</f>
        <v>0</v>
      </c>
      <c r="DK3">
        <v>0</v>
      </c>
      <c r="DL3" t="s">
        <v>3</v>
      </c>
      <c r="DM3">
        <v>0</v>
      </c>
      <c r="DN3" t="s">
        <v>3</v>
      </c>
      <c r="DO3">
        <v>0</v>
      </c>
    </row>
    <row r="4" spans="1:119" x14ac:dyDescent="0.2">
      <c r="A4">
        <f>ROW(Source!A33)</f>
        <v>33</v>
      </c>
      <c r="B4">
        <v>75703208</v>
      </c>
      <c r="C4">
        <v>75703382</v>
      </c>
      <c r="D4">
        <v>75386789</v>
      </c>
      <c r="E4">
        <v>39</v>
      </c>
      <c r="F4">
        <v>1</v>
      </c>
      <c r="G4">
        <v>39</v>
      </c>
      <c r="H4">
        <v>3</v>
      </c>
      <c r="I4" t="s">
        <v>283</v>
      </c>
      <c r="J4" t="s">
        <v>3</v>
      </c>
      <c r="K4" t="s">
        <v>284</v>
      </c>
      <c r="L4">
        <v>1348</v>
      </c>
      <c r="N4">
        <v>1009</v>
      </c>
      <c r="O4" t="s">
        <v>56</v>
      </c>
      <c r="P4" t="s">
        <v>56</v>
      </c>
      <c r="Q4">
        <v>1000</v>
      </c>
      <c r="W4">
        <v>0</v>
      </c>
      <c r="X4">
        <v>1489638031</v>
      </c>
      <c r="Y4">
        <f t="shared" si="0"/>
        <v>0.11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1</v>
      </c>
      <c r="AJ4">
        <v>1</v>
      </c>
      <c r="AK4">
        <v>1</v>
      </c>
      <c r="AL4">
        <v>1</v>
      </c>
      <c r="AM4">
        <v>-2</v>
      </c>
      <c r="AN4">
        <v>0</v>
      </c>
      <c r="AO4">
        <v>1</v>
      </c>
      <c r="AP4">
        <v>0</v>
      </c>
      <c r="AQ4">
        <v>0</v>
      </c>
      <c r="AR4">
        <v>0</v>
      </c>
      <c r="AS4" t="s">
        <v>3</v>
      </c>
      <c r="AT4">
        <v>0.11</v>
      </c>
      <c r="AU4" t="s">
        <v>3</v>
      </c>
      <c r="AV4">
        <v>0</v>
      </c>
      <c r="AW4">
        <v>2</v>
      </c>
      <c r="AX4">
        <v>75704044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V4">
        <v>0</v>
      </c>
      <c r="CW4">
        <v>0</v>
      </c>
      <c r="CX4">
        <f>ROUND(Y4*Source!I33,9)</f>
        <v>3.4044999999999999E-2</v>
      </c>
      <c r="CY4">
        <f>AA4</f>
        <v>0</v>
      </c>
      <c r="CZ4">
        <f>AE4</f>
        <v>0</v>
      </c>
      <c r="DA4">
        <f>AI4</f>
        <v>1</v>
      </c>
      <c r="DB4">
        <f t="shared" si="1"/>
        <v>0</v>
      </c>
      <c r="DC4">
        <f t="shared" si="2"/>
        <v>0</v>
      </c>
      <c r="DD4" t="s">
        <v>3</v>
      </c>
      <c r="DE4" t="s">
        <v>3</v>
      </c>
      <c r="DF4">
        <f t="shared" si="3"/>
        <v>0</v>
      </c>
      <c r="DG4">
        <f t="shared" si="4"/>
        <v>0</v>
      </c>
      <c r="DH4">
        <f t="shared" si="5"/>
        <v>0</v>
      </c>
      <c r="DI4">
        <f t="shared" si="6"/>
        <v>0</v>
      </c>
      <c r="DJ4">
        <f>DF4</f>
        <v>0</v>
      </c>
      <c r="DK4">
        <v>0</v>
      </c>
      <c r="DL4" t="s">
        <v>3</v>
      </c>
      <c r="DM4">
        <v>0</v>
      </c>
      <c r="DN4" t="s">
        <v>3</v>
      </c>
      <c r="DO4">
        <v>0</v>
      </c>
    </row>
    <row r="5" spans="1:119" x14ac:dyDescent="0.2">
      <c r="A5">
        <f>ROW(Source!A34)</f>
        <v>34</v>
      </c>
      <c r="B5">
        <v>75703208</v>
      </c>
      <c r="C5">
        <v>75703387</v>
      </c>
      <c r="D5">
        <v>75386788</v>
      </c>
      <c r="E5">
        <v>39</v>
      </c>
      <c r="F5">
        <v>1</v>
      </c>
      <c r="G5">
        <v>39</v>
      </c>
      <c r="H5">
        <v>1</v>
      </c>
      <c r="I5" t="s">
        <v>276</v>
      </c>
      <c r="J5" t="s">
        <v>3</v>
      </c>
      <c r="K5" t="s">
        <v>277</v>
      </c>
      <c r="L5">
        <v>1191</v>
      </c>
      <c r="N5">
        <v>1013</v>
      </c>
      <c r="O5" t="s">
        <v>278</v>
      </c>
      <c r="P5" t="s">
        <v>278</v>
      </c>
      <c r="Q5">
        <v>1</v>
      </c>
      <c r="W5">
        <v>0</v>
      </c>
      <c r="X5">
        <v>476480486</v>
      </c>
      <c r="Y5">
        <f t="shared" si="0"/>
        <v>8.8000000000000007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1</v>
      </c>
      <c r="AJ5">
        <v>1</v>
      </c>
      <c r="AK5">
        <v>1</v>
      </c>
      <c r="AL5">
        <v>1</v>
      </c>
      <c r="AM5">
        <v>-2</v>
      </c>
      <c r="AN5">
        <v>0</v>
      </c>
      <c r="AO5">
        <v>1</v>
      </c>
      <c r="AP5">
        <v>0</v>
      </c>
      <c r="AQ5">
        <v>0</v>
      </c>
      <c r="AR5">
        <v>0</v>
      </c>
      <c r="AS5" t="s">
        <v>3</v>
      </c>
      <c r="AT5">
        <v>8.8000000000000007</v>
      </c>
      <c r="AU5" t="s">
        <v>3</v>
      </c>
      <c r="AV5">
        <v>1</v>
      </c>
      <c r="AW5">
        <v>2</v>
      </c>
      <c r="AX5">
        <v>75704045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U5">
        <f>ROUND(AT5*Source!I34*AH5*AL5,2)</f>
        <v>0</v>
      </c>
      <c r="CV5">
        <f>ROUND(Y5*Source!I34,9)</f>
        <v>2.7719999999999998</v>
      </c>
      <c r="CW5">
        <v>0</v>
      </c>
      <c r="CX5">
        <f>ROUND(Y5*Source!I34,9)</f>
        <v>2.7719999999999998</v>
      </c>
      <c r="CY5">
        <f>AD5</f>
        <v>0</v>
      </c>
      <c r="CZ5">
        <f>AH5</f>
        <v>0</v>
      </c>
      <c r="DA5">
        <f>AL5</f>
        <v>1</v>
      </c>
      <c r="DB5">
        <f t="shared" si="1"/>
        <v>0</v>
      </c>
      <c r="DC5">
        <f t="shared" si="2"/>
        <v>0</v>
      </c>
      <c r="DD5" t="s">
        <v>3</v>
      </c>
      <c r="DE5" t="s">
        <v>3</v>
      </c>
      <c r="DF5">
        <f t="shared" si="3"/>
        <v>0</v>
      </c>
      <c r="DG5">
        <f t="shared" si="4"/>
        <v>0</v>
      </c>
      <c r="DH5">
        <f t="shared" si="5"/>
        <v>0</v>
      </c>
      <c r="DI5">
        <f t="shared" si="6"/>
        <v>0</v>
      </c>
      <c r="DJ5">
        <f>DI5</f>
        <v>0</v>
      </c>
      <c r="DK5">
        <v>0</v>
      </c>
      <c r="DL5" t="s">
        <v>3</v>
      </c>
      <c r="DM5">
        <v>0</v>
      </c>
      <c r="DN5" t="s">
        <v>3</v>
      </c>
      <c r="DO5">
        <v>0</v>
      </c>
    </row>
    <row r="6" spans="1:119" x14ac:dyDescent="0.2">
      <c r="A6">
        <f>ROW(Source!A34)</f>
        <v>34</v>
      </c>
      <c r="B6">
        <v>75703208</v>
      </c>
      <c r="C6">
        <v>75703387</v>
      </c>
      <c r="D6">
        <v>75389672</v>
      </c>
      <c r="E6">
        <v>1</v>
      </c>
      <c r="F6">
        <v>1</v>
      </c>
      <c r="G6">
        <v>39</v>
      </c>
      <c r="H6">
        <v>3</v>
      </c>
      <c r="I6" t="s">
        <v>285</v>
      </c>
      <c r="J6" t="s">
        <v>286</v>
      </c>
      <c r="K6" t="s">
        <v>287</v>
      </c>
      <c r="L6">
        <v>1348</v>
      </c>
      <c r="N6">
        <v>1009</v>
      </c>
      <c r="O6" t="s">
        <v>56</v>
      </c>
      <c r="P6" t="s">
        <v>56</v>
      </c>
      <c r="Q6">
        <v>1000</v>
      </c>
      <c r="W6">
        <v>0</v>
      </c>
      <c r="X6">
        <v>-799169102</v>
      </c>
      <c r="Y6">
        <f t="shared" si="0"/>
        <v>4.2000000000000002E-4</v>
      </c>
      <c r="AA6">
        <v>95976.83</v>
      </c>
      <c r="AB6">
        <v>0</v>
      </c>
      <c r="AC6">
        <v>0</v>
      </c>
      <c r="AD6">
        <v>0</v>
      </c>
      <c r="AE6">
        <v>95976.83</v>
      </c>
      <c r="AF6">
        <v>0</v>
      </c>
      <c r="AG6">
        <v>0</v>
      </c>
      <c r="AH6">
        <v>0</v>
      </c>
      <c r="AI6">
        <v>1</v>
      </c>
      <c r="AJ6">
        <v>1</v>
      </c>
      <c r="AK6">
        <v>1</v>
      </c>
      <c r="AL6">
        <v>1</v>
      </c>
      <c r="AM6">
        <v>-2</v>
      </c>
      <c r="AN6">
        <v>0</v>
      </c>
      <c r="AO6">
        <v>1</v>
      </c>
      <c r="AP6">
        <v>0</v>
      </c>
      <c r="AQ6">
        <v>0</v>
      </c>
      <c r="AR6">
        <v>0</v>
      </c>
      <c r="AS6" t="s">
        <v>3</v>
      </c>
      <c r="AT6">
        <v>4.2000000000000002E-4</v>
      </c>
      <c r="AU6" t="s">
        <v>3</v>
      </c>
      <c r="AV6">
        <v>0</v>
      </c>
      <c r="AW6">
        <v>2</v>
      </c>
      <c r="AX6">
        <v>75704046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V6">
        <v>0</v>
      </c>
      <c r="CW6">
        <v>0</v>
      </c>
      <c r="CX6">
        <f>ROUND(Y6*Source!I34,9)</f>
        <v>1.3229999999999999E-4</v>
      </c>
      <c r="CY6">
        <f>AA6</f>
        <v>95976.83</v>
      </c>
      <c r="CZ6">
        <f>AE6</f>
        <v>95976.83</v>
      </c>
      <c r="DA6">
        <f>AI6</f>
        <v>1</v>
      </c>
      <c r="DB6">
        <f t="shared" si="1"/>
        <v>40.31</v>
      </c>
      <c r="DC6">
        <f t="shared" si="2"/>
        <v>0</v>
      </c>
      <c r="DD6" t="s">
        <v>3</v>
      </c>
      <c r="DE6" t="s">
        <v>3</v>
      </c>
      <c r="DF6">
        <f t="shared" si="3"/>
        <v>12.7</v>
      </c>
      <c r="DG6">
        <f t="shared" si="4"/>
        <v>0</v>
      </c>
      <c r="DH6">
        <f t="shared" si="5"/>
        <v>0</v>
      </c>
      <c r="DI6">
        <f t="shared" si="6"/>
        <v>0</v>
      </c>
      <c r="DJ6">
        <f>DF6</f>
        <v>12.7</v>
      </c>
      <c r="DK6">
        <v>0</v>
      </c>
      <c r="DL6" t="s">
        <v>3</v>
      </c>
      <c r="DM6">
        <v>0</v>
      </c>
      <c r="DN6" t="s">
        <v>3</v>
      </c>
      <c r="DO6">
        <v>0</v>
      </c>
    </row>
    <row r="7" spans="1:119" x14ac:dyDescent="0.2">
      <c r="A7">
        <f>ROW(Source!A34)</f>
        <v>34</v>
      </c>
      <c r="B7">
        <v>75703208</v>
      </c>
      <c r="C7">
        <v>75703387</v>
      </c>
      <c r="D7">
        <v>75393932</v>
      </c>
      <c r="E7">
        <v>1</v>
      </c>
      <c r="F7">
        <v>1</v>
      </c>
      <c r="G7">
        <v>39</v>
      </c>
      <c r="H7">
        <v>3</v>
      </c>
      <c r="I7" t="s">
        <v>40</v>
      </c>
      <c r="J7" t="s">
        <v>42</v>
      </c>
      <c r="K7" t="s">
        <v>41</v>
      </c>
      <c r="L7">
        <v>1301</v>
      </c>
      <c r="N7">
        <v>1003</v>
      </c>
      <c r="O7" t="s">
        <v>36</v>
      </c>
      <c r="P7" t="s">
        <v>36</v>
      </c>
      <c r="Q7">
        <v>1</v>
      </c>
      <c r="W7">
        <v>1</v>
      </c>
      <c r="X7">
        <v>-621127235</v>
      </c>
      <c r="Y7">
        <f t="shared" si="0"/>
        <v>-105</v>
      </c>
      <c r="AA7">
        <v>37.29</v>
      </c>
      <c r="AB7">
        <v>0</v>
      </c>
      <c r="AC7">
        <v>0</v>
      </c>
      <c r="AD7">
        <v>0</v>
      </c>
      <c r="AE7">
        <v>37.29</v>
      </c>
      <c r="AF7">
        <v>0</v>
      </c>
      <c r="AG7">
        <v>0</v>
      </c>
      <c r="AH7">
        <v>0</v>
      </c>
      <c r="AI7">
        <v>1</v>
      </c>
      <c r="AJ7">
        <v>1</v>
      </c>
      <c r="AK7">
        <v>1</v>
      </c>
      <c r="AL7">
        <v>1</v>
      </c>
      <c r="AM7">
        <v>0</v>
      </c>
      <c r="AN7">
        <v>0</v>
      </c>
      <c r="AO7">
        <v>1</v>
      </c>
      <c r="AP7">
        <v>0</v>
      </c>
      <c r="AQ7">
        <v>0</v>
      </c>
      <c r="AR7">
        <v>0</v>
      </c>
      <c r="AS7" t="s">
        <v>3</v>
      </c>
      <c r="AT7">
        <v>-105</v>
      </c>
      <c r="AU7" t="s">
        <v>3</v>
      </c>
      <c r="AV7">
        <v>0</v>
      </c>
      <c r="AW7">
        <v>2</v>
      </c>
      <c r="AX7">
        <v>75704047</v>
      </c>
      <c r="AY7">
        <v>1</v>
      </c>
      <c r="AZ7">
        <v>6144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V7">
        <v>0</v>
      </c>
      <c r="CW7">
        <v>0</v>
      </c>
      <c r="CX7">
        <f>ROUND(Y7*Source!I34,9)</f>
        <v>-33.075000000000003</v>
      </c>
      <c r="CY7">
        <f>AA7</f>
        <v>37.29</v>
      </c>
      <c r="CZ7">
        <f>AE7</f>
        <v>37.29</v>
      </c>
      <c r="DA7">
        <f>AI7</f>
        <v>1</v>
      </c>
      <c r="DB7">
        <f t="shared" si="1"/>
        <v>-3915.45</v>
      </c>
      <c r="DC7">
        <f t="shared" si="2"/>
        <v>0</v>
      </c>
      <c r="DD7" t="s">
        <v>3</v>
      </c>
      <c r="DE7" t="s">
        <v>3</v>
      </c>
      <c r="DF7">
        <f t="shared" si="3"/>
        <v>-1233.3699999999999</v>
      </c>
      <c r="DG7">
        <f t="shared" si="4"/>
        <v>0</v>
      </c>
      <c r="DH7">
        <f t="shared" si="5"/>
        <v>0</v>
      </c>
      <c r="DI7">
        <f t="shared" si="6"/>
        <v>0</v>
      </c>
      <c r="DJ7">
        <f>DF7</f>
        <v>-1233.3699999999999</v>
      </c>
      <c r="DK7">
        <v>0</v>
      </c>
      <c r="DL7" t="s">
        <v>3</v>
      </c>
      <c r="DM7">
        <v>0</v>
      </c>
      <c r="DN7" t="s">
        <v>3</v>
      </c>
      <c r="DO7">
        <v>0</v>
      </c>
    </row>
    <row r="8" spans="1:119" x14ac:dyDescent="0.2">
      <c r="A8">
        <f>ROW(Source!A34)</f>
        <v>34</v>
      </c>
      <c r="B8">
        <v>75703208</v>
      </c>
      <c r="C8">
        <v>75703387</v>
      </c>
      <c r="D8">
        <v>0</v>
      </c>
      <c r="E8">
        <v>39</v>
      </c>
      <c r="F8">
        <v>1</v>
      </c>
      <c r="G8">
        <v>39</v>
      </c>
      <c r="H8">
        <v>3</v>
      </c>
      <c r="I8" t="s">
        <v>34</v>
      </c>
      <c r="J8" t="s">
        <v>3</v>
      </c>
      <c r="K8" t="s">
        <v>35</v>
      </c>
      <c r="L8">
        <v>1301</v>
      </c>
      <c r="N8">
        <v>1003</v>
      </c>
      <c r="O8" t="s">
        <v>36</v>
      </c>
      <c r="P8" t="s">
        <v>36</v>
      </c>
      <c r="Q8">
        <v>1</v>
      </c>
      <c r="W8">
        <v>0</v>
      </c>
      <c r="X8">
        <v>1643166817</v>
      </c>
      <c r="Y8">
        <f t="shared" si="0"/>
        <v>105</v>
      </c>
      <c r="AA8">
        <v>87.13</v>
      </c>
      <c r="AB8">
        <v>0</v>
      </c>
      <c r="AC8">
        <v>0</v>
      </c>
      <c r="AD8">
        <v>0</v>
      </c>
      <c r="AE8">
        <v>87.13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M8">
        <v>0</v>
      </c>
      <c r="AN8">
        <v>0</v>
      </c>
      <c r="AO8">
        <v>0</v>
      </c>
      <c r="AP8">
        <v>1</v>
      </c>
      <c r="AQ8">
        <v>0</v>
      </c>
      <c r="AR8">
        <v>0</v>
      </c>
      <c r="AS8" t="s">
        <v>3</v>
      </c>
      <c r="AT8">
        <v>105</v>
      </c>
      <c r="AU8" t="s">
        <v>3</v>
      </c>
      <c r="AV8">
        <v>0</v>
      </c>
      <c r="AW8">
        <v>1</v>
      </c>
      <c r="AX8">
        <v>-1</v>
      </c>
      <c r="AY8">
        <v>0</v>
      </c>
      <c r="AZ8">
        <v>0</v>
      </c>
      <c r="BA8" t="s">
        <v>3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V8">
        <v>0</v>
      </c>
      <c r="CW8">
        <v>0</v>
      </c>
      <c r="CX8">
        <f>ROUND(Y8*Source!I34,9)</f>
        <v>33.075000000000003</v>
      </c>
      <c r="CY8">
        <f>AA8</f>
        <v>87.13</v>
      </c>
      <c r="CZ8">
        <f>AE8</f>
        <v>87.13</v>
      </c>
      <c r="DA8">
        <f>AI8</f>
        <v>1</v>
      </c>
      <c r="DB8">
        <f t="shared" si="1"/>
        <v>9148.65</v>
      </c>
      <c r="DC8">
        <f t="shared" si="2"/>
        <v>0</v>
      </c>
      <c r="DD8" t="s">
        <v>3</v>
      </c>
      <c r="DE8" t="s">
        <v>3</v>
      </c>
      <c r="DF8">
        <f t="shared" si="3"/>
        <v>2881.82</v>
      </c>
      <c r="DG8">
        <f t="shared" si="4"/>
        <v>0</v>
      </c>
      <c r="DH8">
        <f t="shared" si="5"/>
        <v>0</v>
      </c>
      <c r="DI8">
        <f t="shared" si="6"/>
        <v>0</v>
      </c>
      <c r="DJ8">
        <f>DF8</f>
        <v>2881.82</v>
      </c>
      <c r="DK8">
        <v>0</v>
      </c>
      <c r="DL8" t="s">
        <v>3</v>
      </c>
      <c r="DM8">
        <v>0</v>
      </c>
      <c r="DN8" t="s">
        <v>3</v>
      </c>
      <c r="DO8">
        <v>0</v>
      </c>
    </row>
    <row r="9" spans="1:119" x14ac:dyDescent="0.2">
      <c r="A9">
        <f>ROW(Source!A37)</f>
        <v>37</v>
      </c>
      <c r="B9">
        <v>75703208</v>
      </c>
      <c r="C9">
        <v>75703397</v>
      </c>
      <c r="D9">
        <v>75386788</v>
      </c>
      <c r="E9">
        <v>39</v>
      </c>
      <c r="F9">
        <v>1</v>
      </c>
      <c r="G9">
        <v>39</v>
      </c>
      <c r="H9">
        <v>1</v>
      </c>
      <c r="I9" t="s">
        <v>276</v>
      </c>
      <c r="J9" t="s">
        <v>3</v>
      </c>
      <c r="K9" t="s">
        <v>277</v>
      </c>
      <c r="L9">
        <v>1191</v>
      </c>
      <c r="N9">
        <v>1013</v>
      </c>
      <c r="O9" t="s">
        <v>278</v>
      </c>
      <c r="P9" t="s">
        <v>278</v>
      </c>
      <c r="Q9">
        <v>1</v>
      </c>
      <c r="W9">
        <v>0</v>
      </c>
      <c r="X9">
        <v>476480486</v>
      </c>
      <c r="Y9">
        <f t="shared" si="0"/>
        <v>12.88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1</v>
      </c>
      <c r="AJ9">
        <v>1</v>
      </c>
      <c r="AK9">
        <v>1</v>
      </c>
      <c r="AL9">
        <v>1</v>
      </c>
      <c r="AM9">
        <v>-2</v>
      </c>
      <c r="AN9">
        <v>0</v>
      </c>
      <c r="AO9">
        <v>1</v>
      </c>
      <c r="AP9">
        <v>1</v>
      </c>
      <c r="AQ9">
        <v>0</v>
      </c>
      <c r="AR9">
        <v>0</v>
      </c>
      <c r="AS9" t="s">
        <v>3</v>
      </c>
      <c r="AT9">
        <v>12.88</v>
      </c>
      <c r="AU9" t="s">
        <v>3</v>
      </c>
      <c r="AV9">
        <v>1</v>
      </c>
      <c r="AW9">
        <v>2</v>
      </c>
      <c r="AX9">
        <v>75704048</v>
      </c>
      <c r="AY9">
        <v>1</v>
      </c>
      <c r="AZ9">
        <v>0</v>
      </c>
      <c r="BA9">
        <v>8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U9">
        <f>ROUND(AT9*Source!I37*AH9*AL9,2)</f>
        <v>0</v>
      </c>
      <c r="CV9">
        <f>ROUND(Y9*Source!I37,9)</f>
        <v>0.20350399999999999</v>
      </c>
      <c r="CW9">
        <v>0</v>
      </c>
      <c r="CX9">
        <f>ROUND(Y9*Source!I37,9)</f>
        <v>0.20350399999999999</v>
      </c>
      <c r="CY9">
        <f>AD9</f>
        <v>0</v>
      </c>
      <c r="CZ9">
        <f>AH9</f>
        <v>0</v>
      </c>
      <c r="DA9">
        <f>AL9</f>
        <v>1</v>
      </c>
      <c r="DB9">
        <f t="shared" si="1"/>
        <v>0</v>
      </c>
      <c r="DC9">
        <f t="shared" si="2"/>
        <v>0</v>
      </c>
      <c r="DD9" t="s">
        <v>3</v>
      </c>
      <c r="DE9" t="s">
        <v>3</v>
      </c>
      <c r="DF9">
        <f t="shared" si="3"/>
        <v>0</v>
      </c>
      <c r="DG9">
        <f t="shared" si="4"/>
        <v>0</v>
      </c>
      <c r="DH9">
        <f t="shared" si="5"/>
        <v>0</v>
      </c>
      <c r="DI9">
        <f t="shared" si="6"/>
        <v>0</v>
      </c>
      <c r="DJ9">
        <f>DI9</f>
        <v>0</v>
      </c>
      <c r="DK9">
        <v>0</v>
      </c>
      <c r="DL9" t="s">
        <v>3</v>
      </c>
      <c r="DM9">
        <v>0</v>
      </c>
      <c r="DN9" t="s">
        <v>3</v>
      </c>
      <c r="DO9">
        <v>0</v>
      </c>
    </row>
    <row r="10" spans="1:119" x14ac:dyDescent="0.2">
      <c r="A10">
        <f>ROW(Source!A37)</f>
        <v>37</v>
      </c>
      <c r="B10">
        <v>75703208</v>
      </c>
      <c r="C10">
        <v>75703397</v>
      </c>
      <c r="D10">
        <v>75389061</v>
      </c>
      <c r="E10">
        <v>1</v>
      </c>
      <c r="F10">
        <v>1</v>
      </c>
      <c r="G10">
        <v>39</v>
      </c>
      <c r="H10">
        <v>3</v>
      </c>
      <c r="I10" t="s">
        <v>54</v>
      </c>
      <c r="J10" t="s">
        <v>57</v>
      </c>
      <c r="K10" t="s">
        <v>55</v>
      </c>
      <c r="L10">
        <v>1348</v>
      </c>
      <c r="N10">
        <v>1009</v>
      </c>
      <c r="O10" t="s">
        <v>56</v>
      </c>
      <c r="P10" t="s">
        <v>56</v>
      </c>
      <c r="Q10">
        <v>1000</v>
      </c>
      <c r="W10">
        <v>1</v>
      </c>
      <c r="X10">
        <v>-1906236598</v>
      </c>
      <c r="Y10">
        <f t="shared" si="0"/>
        <v>-2.0799999999999999E-2</v>
      </c>
      <c r="AA10">
        <v>247397.04</v>
      </c>
      <c r="AB10">
        <v>0</v>
      </c>
      <c r="AC10">
        <v>0</v>
      </c>
      <c r="AD10">
        <v>0</v>
      </c>
      <c r="AE10">
        <v>247397.04</v>
      </c>
      <c r="AF10">
        <v>0</v>
      </c>
      <c r="AG10">
        <v>0</v>
      </c>
      <c r="AH10">
        <v>0</v>
      </c>
      <c r="AI10">
        <v>1</v>
      </c>
      <c r="AJ10">
        <v>1</v>
      </c>
      <c r="AK10">
        <v>1</v>
      </c>
      <c r="AL10">
        <v>1</v>
      </c>
      <c r="AM10">
        <v>0</v>
      </c>
      <c r="AN10">
        <v>0</v>
      </c>
      <c r="AO10">
        <v>1</v>
      </c>
      <c r="AP10">
        <v>1</v>
      </c>
      <c r="AQ10">
        <v>0</v>
      </c>
      <c r="AR10">
        <v>0</v>
      </c>
      <c r="AS10" t="s">
        <v>3</v>
      </c>
      <c r="AT10">
        <v>-2.0799999999999999E-2</v>
      </c>
      <c r="AU10" t="s">
        <v>3</v>
      </c>
      <c r="AV10">
        <v>0</v>
      </c>
      <c r="AW10">
        <v>2</v>
      </c>
      <c r="AX10">
        <v>75704049</v>
      </c>
      <c r="AY10">
        <v>1</v>
      </c>
      <c r="AZ10">
        <v>6144</v>
      </c>
      <c r="BA10">
        <v>9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V10">
        <v>0</v>
      </c>
      <c r="CW10">
        <v>0</v>
      </c>
      <c r="CX10">
        <f>ROUND(Y10*Source!I37,9)</f>
        <v>-3.2864E-4</v>
      </c>
      <c r="CY10">
        <f>AA10</f>
        <v>247397.04</v>
      </c>
      <c r="CZ10">
        <f>AE10</f>
        <v>247397.04</v>
      </c>
      <c r="DA10">
        <f>AI10</f>
        <v>1</v>
      </c>
      <c r="DB10">
        <f t="shared" si="1"/>
        <v>-5145.8599999999997</v>
      </c>
      <c r="DC10">
        <f t="shared" si="2"/>
        <v>0</v>
      </c>
      <c r="DD10" t="s">
        <v>3</v>
      </c>
      <c r="DE10" t="s">
        <v>3</v>
      </c>
      <c r="DF10">
        <f t="shared" si="3"/>
        <v>-81.3</v>
      </c>
      <c r="DG10">
        <f t="shared" si="4"/>
        <v>0</v>
      </c>
      <c r="DH10">
        <f t="shared" si="5"/>
        <v>0</v>
      </c>
      <c r="DI10">
        <f t="shared" si="6"/>
        <v>0</v>
      </c>
      <c r="DJ10">
        <f>DF10</f>
        <v>-81.3</v>
      </c>
      <c r="DK10">
        <v>0</v>
      </c>
      <c r="DL10" t="s">
        <v>3</v>
      </c>
      <c r="DM10">
        <v>0</v>
      </c>
      <c r="DN10" t="s">
        <v>3</v>
      </c>
      <c r="DO10">
        <v>0</v>
      </c>
    </row>
    <row r="11" spans="1:119" x14ac:dyDescent="0.2">
      <c r="A11">
        <f>ROW(Source!A37)</f>
        <v>37</v>
      </c>
      <c r="B11">
        <v>75703208</v>
      </c>
      <c r="C11">
        <v>75703397</v>
      </c>
      <c r="D11">
        <v>75389228</v>
      </c>
      <c r="E11">
        <v>1</v>
      </c>
      <c r="F11">
        <v>1</v>
      </c>
      <c r="G11">
        <v>39</v>
      </c>
      <c r="H11">
        <v>3</v>
      </c>
      <c r="I11" t="s">
        <v>49</v>
      </c>
      <c r="J11" t="s">
        <v>52</v>
      </c>
      <c r="K11" t="s">
        <v>50</v>
      </c>
      <c r="L11">
        <v>1346</v>
      </c>
      <c r="N11">
        <v>1009</v>
      </c>
      <c r="O11" t="s">
        <v>51</v>
      </c>
      <c r="P11" t="s">
        <v>51</v>
      </c>
      <c r="Q11">
        <v>1</v>
      </c>
      <c r="W11">
        <v>0</v>
      </c>
      <c r="X11">
        <v>1429785642</v>
      </c>
      <c r="Y11">
        <f t="shared" si="0"/>
        <v>25</v>
      </c>
      <c r="AA11">
        <v>309.42</v>
      </c>
      <c r="AB11">
        <v>0</v>
      </c>
      <c r="AC11">
        <v>0</v>
      </c>
      <c r="AD11">
        <v>0</v>
      </c>
      <c r="AE11">
        <v>309.42</v>
      </c>
      <c r="AF11">
        <v>0</v>
      </c>
      <c r="AG11">
        <v>0</v>
      </c>
      <c r="AH11">
        <v>0</v>
      </c>
      <c r="AI11">
        <v>1</v>
      </c>
      <c r="AJ11">
        <v>1</v>
      </c>
      <c r="AK11">
        <v>1</v>
      </c>
      <c r="AL11">
        <v>1</v>
      </c>
      <c r="AM11">
        <v>0</v>
      </c>
      <c r="AN11">
        <v>0</v>
      </c>
      <c r="AO11">
        <v>0</v>
      </c>
      <c r="AP11">
        <v>1</v>
      </c>
      <c r="AQ11">
        <v>0</v>
      </c>
      <c r="AR11">
        <v>0</v>
      </c>
      <c r="AS11" t="s">
        <v>3</v>
      </c>
      <c r="AT11">
        <v>25</v>
      </c>
      <c r="AU11" t="s">
        <v>3</v>
      </c>
      <c r="AV11">
        <v>0</v>
      </c>
      <c r="AW11">
        <v>1</v>
      </c>
      <c r="AX11">
        <v>-1</v>
      </c>
      <c r="AY11">
        <v>0</v>
      </c>
      <c r="AZ11">
        <v>0</v>
      </c>
      <c r="BA11" t="s">
        <v>3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V11">
        <v>0</v>
      </c>
      <c r="CW11">
        <v>0</v>
      </c>
      <c r="CX11">
        <f>ROUND(Y11*Source!I37,9)</f>
        <v>0.39500000000000002</v>
      </c>
      <c r="CY11">
        <f>AA11</f>
        <v>309.42</v>
      </c>
      <c r="CZ11">
        <f>AE11</f>
        <v>309.42</v>
      </c>
      <c r="DA11">
        <f>AI11</f>
        <v>1</v>
      </c>
      <c r="DB11">
        <f t="shared" si="1"/>
        <v>7735.5</v>
      </c>
      <c r="DC11">
        <f t="shared" si="2"/>
        <v>0</v>
      </c>
      <c r="DD11" t="s">
        <v>3</v>
      </c>
      <c r="DE11" t="s">
        <v>3</v>
      </c>
      <c r="DF11">
        <f t="shared" si="3"/>
        <v>122.22</v>
      </c>
      <c r="DG11">
        <f t="shared" si="4"/>
        <v>0</v>
      </c>
      <c r="DH11">
        <f t="shared" si="5"/>
        <v>0</v>
      </c>
      <c r="DI11">
        <f t="shared" si="6"/>
        <v>0</v>
      </c>
      <c r="DJ11">
        <f>DF11</f>
        <v>122.22</v>
      </c>
      <c r="DK11">
        <v>0</v>
      </c>
      <c r="DL11" t="s">
        <v>3</v>
      </c>
      <c r="DM11">
        <v>0</v>
      </c>
      <c r="DN11" t="s">
        <v>3</v>
      </c>
      <c r="DO11">
        <v>0</v>
      </c>
    </row>
    <row r="12" spans="1:119" x14ac:dyDescent="0.2">
      <c r="A12">
        <f>ROW(Source!A40)</f>
        <v>40</v>
      </c>
      <c r="B12">
        <v>75703208</v>
      </c>
      <c r="C12">
        <v>75703405</v>
      </c>
      <c r="D12">
        <v>75386788</v>
      </c>
      <c r="E12">
        <v>39</v>
      </c>
      <c r="F12">
        <v>1</v>
      </c>
      <c r="G12">
        <v>39</v>
      </c>
      <c r="H12">
        <v>1</v>
      </c>
      <c r="I12" t="s">
        <v>276</v>
      </c>
      <c r="J12" t="s">
        <v>3</v>
      </c>
      <c r="K12" t="s">
        <v>277</v>
      </c>
      <c r="L12">
        <v>1191</v>
      </c>
      <c r="N12">
        <v>1013</v>
      </c>
      <c r="O12" t="s">
        <v>278</v>
      </c>
      <c r="P12" t="s">
        <v>278</v>
      </c>
      <c r="Q12">
        <v>1</v>
      </c>
      <c r="W12">
        <v>0</v>
      </c>
      <c r="X12">
        <v>476480486</v>
      </c>
      <c r="Y12">
        <f t="shared" si="0"/>
        <v>19.14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1</v>
      </c>
      <c r="AJ12">
        <v>1</v>
      </c>
      <c r="AK12">
        <v>1</v>
      </c>
      <c r="AL12">
        <v>1</v>
      </c>
      <c r="AM12">
        <v>-2</v>
      </c>
      <c r="AN12">
        <v>0</v>
      </c>
      <c r="AO12">
        <v>1</v>
      </c>
      <c r="AP12">
        <v>0</v>
      </c>
      <c r="AQ12">
        <v>0</v>
      </c>
      <c r="AR12">
        <v>0</v>
      </c>
      <c r="AS12" t="s">
        <v>3</v>
      </c>
      <c r="AT12">
        <v>19.14</v>
      </c>
      <c r="AU12" t="s">
        <v>3</v>
      </c>
      <c r="AV12">
        <v>1</v>
      </c>
      <c r="AW12">
        <v>2</v>
      </c>
      <c r="AX12">
        <v>75704050</v>
      </c>
      <c r="AY12">
        <v>1</v>
      </c>
      <c r="AZ12">
        <v>0</v>
      </c>
      <c r="BA12">
        <v>10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U12">
        <f>ROUND(AT12*Source!I40*AH12*AL12,2)</f>
        <v>0</v>
      </c>
      <c r="CV12">
        <f>ROUND(Y12*Source!I40,9)</f>
        <v>0.17226</v>
      </c>
      <c r="CW12">
        <v>0</v>
      </c>
      <c r="CX12">
        <f>ROUND(Y12*Source!I40,9)</f>
        <v>0.17226</v>
      </c>
      <c r="CY12">
        <f>AD12</f>
        <v>0</v>
      </c>
      <c r="CZ12">
        <f>AH12</f>
        <v>0</v>
      </c>
      <c r="DA12">
        <f>AL12</f>
        <v>1</v>
      </c>
      <c r="DB12">
        <f t="shared" si="1"/>
        <v>0</v>
      </c>
      <c r="DC12">
        <f t="shared" si="2"/>
        <v>0</v>
      </c>
      <c r="DD12" t="s">
        <v>3</v>
      </c>
      <c r="DE12" t="s">
        <v>3</v>
      </c>
      <c r="DF12">
        <f t="shared" si="3"/>
        <v>0</v>
      </c>
      <c r="DG12">
        <f t="shared" si="4"/>
        <v>0</v>
      </c>
      <c r="DH12">
        <f t="shared" si="5"/>
        <v>0</v>
      </c>
      <c r="DI12">
        <f t="shared" si="6"/>
        <v>0</v>
      </c>
      <c r="DJ12">
        <f>DI12</f>
        <v>0</v>
      </c>
      <c r="DK12">
        <v>0</v>
      </c>
      <c r="DL12" t="s">
        <v>3</v>
      </c>
      <c r="DM12">
        <v>0</v>
      </c>
      <c r="DN12" t="s">
        <v>3</v>
      </c>
      <c r="DO12">
        <v>0</v>
      </c>
    </row>
    <row r="13" spans="1:119" x14ac:dyDescent="0.2">
      <c r="A13">
        <f>ROW(Source!A40)</f>
        <v>40</v>
      </c>
      <c r="B13">
        <v>75703208</v>
      </c>
      <c r="C13">
        <v>75703405</v>
      </c>
      <c r="D13">
        <v>75388585</v>
      </c>
      <c r="E13">
        <v>1</v>
      </c>
      <c r="F13">
        <v>1</v>
      </c>
      <c r="G13">
        <v>39</v>
      </c>
      <c r="H13">
        <v>2</v>
      </c>
      <c r="I13" t="s">
        <v>288</v>
      </c>
      <c r="J13" t="s">
        <v>289</v>
      </c>
      <c r="K13" t="s">
        <v>290</v>
      </c>
      <c r="L13">
        <v>1368</v>
      </c>
      <c r="N13">
        <v>1011</v>
      </c>
      <c r="O13" t="s">
        <v>282</v>
      </c>
      <c r="P13" t="s">
        <v>282</v>
      </c>
      <c r="Q13">
        <v>1</v>
      </c>
      <c r="W13">
        <v>0</v>
      </c>
      <c r="X13">
        <v>1989376342</v>
      </c>
      <c r="Y13">
        <f t="shared" si="0"/>
        <v>5.36</v>
      </c>
      <c r="AA13">
        <v>0</v>
      </c>
      <c r="AB13">
        <v>6.13</v>
      </c>
      <c r="AC13">
        <v>1.91</v>
      </c>
      <c r="AD13">
        <v>0</v>
      </c>
      <c r="AE13">
        <v>0</v>
      </c>
      <c r="AF13">
        <v>6.13</v>
      </c>
      <c r="AG13">
        <v>1.91</v>
      </c>
      <c r="AH13">
        <v>0</v>
      </c>
      <c r="AI13">
        <v>1</v>
      </c>
      <c r="AJ13">
        <v>1</v>
      </c>
      <c r="AK13">
        <v>1</v>
      </c>
      <c r="AL13">
        <v>1</v>
      </c>
      <c r="AM13">
        <v>-2</v>
      </c>
      <c r="AN13">
        <v>0</v>
      </c>
      <c r="AO13">
        <v>1</v>
      </c>
      <c r="AP13">
        <v>0</v>
      </c>
      <c r="AQ13">
        <v>0</v>
      </c>
      <c r="AR13">
        <v>0</v>
      </c>
      <c r="AS13" t="s">
        <v>3</v>
      </c>
      <c r="AT13">
        <v>5.36</v>
      </c>
      <c r="AU13" t="s">
        <v>3</v>
      </c>
      <c r="AV13">
        <v>0</v>
      </c>
      <c r="AW13">
        <v>2</v>
      </c>
      <c r="AX13">
        <v>75704051</v>
      </c>
      <c r="AY13">
        <v>1</v>
      </c>
      <c r="AZ13">
        <v>0</v>
      </c>
      <c r="BA13">
        <v>11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V13">
        <v>0</v>
      </c>
      <c r="CW13">
        <f>ROUND(Y13*Source!I40*DO13,9)</f>
        <v>0</v>
      </c>
      <c r="CX13">
        <f>ROUND(Y13*Source!I40,9)</f>
        <v>4.8239999999999998E-2</v>
      </c>
      <c r="CY13">
        <f>AB13</f>
        <v>6.13</v>
      </c>
      <c r="CZ13">
        <f>AF13</f>
        <v>6.13</v>
      </c>
      <c r="DA13">
        <f>AJ13</f>
        <v>1</v>
      </c>
      <c r="DB13">
        <f t="shared" si="1"/>
        <v>32.86</v>
      </c>
      <c r="DC13">
        <f t="shared" si="2"/>
        <v>10.24</v>
      </c>
      <c r="DD13" t="s">
        <v>3</v>
      </c>
      <c r="DE13" t="s">
        <v>3</v>
      </c>
      <c r="DF13">
        <f t="shared" si="3"/>
        <v>0</v>
      </c>
      <c r="DG13">
        <f t="shared" si="4"/>
        <v>0.3</v>
      </c>
      <c r="DH13">
        <f t="shared" si="5"/>
        <v>0.09</v>
      </c>
      <c r="DI13">
        <f t="shared" si="6"/>
        <v>0</v>
      </c>
      <c r="DJ13">
        <f>DG13</f>
        <v>0.3</v>
      </c>
      <c r="DK13">
        <v>0</v>
      </c>
      <c r="DL13" t="s">
        <v>3</v>
      </c>
      <c r="DM13">
        <v>0</v>
      </c>
      <c r="DN13" t="s">
        <v>3</v>
      </c>
      <c r="DO13">
        <v>0</v>
      </c>
    </row>
    <row r="14" spans="1:119" x14ac:dyDescent="0.2">
      <c r="A14">
        <f>ROW(Source!A40)</f>
        <v>40</v>
      </c>
      <c r="B14">
        <v>75703208</v>
      </c>
      <c r="C14">
        <v>75703405</v>
      </c>
      <c r="D14">
        <v>75388528</v>
      </c>
      <c r="E14">
        <v>1</v>
      </c>
      <c r="F14">
        <v>1</v>
      </c>
      <c r="G14">
        <v>39</v>
      </c>
      <c r="H14">
        <v>2</v>
      </c>
      <c r="I14" t="s">
        <v>291</v>
      </c>
      <c r="J14" t="s">
        <v>292</v>
      </c>
      <c r="K14" t="s">
        <v>293</v>
      </c>
      <c r="L14">
        <v>1368</v>
      </c>
      <c r="N14">
        <v>1011</v>
      </c>
      <c r="O14" t="s">
        <v>282</v>
      </c>
      <c r="P14" t="s">
        <v>282</v>
      </c>
      <c r="Q14">
        <v>1</v>
      </c>
      <c r="W14">
        <v>0</v>
      </c>
      <c r="X14">
        <v>-156276122</v>
      </c>
      <c r="Y14">
        <f t="shared" si="0"/>
        <v>0.45</v>
      </c>
      <c r="AA14">
        <v>0</v>
      </c>
      <c r="AB14">
        <v>6.09</v>
      </c>
      <c r="AC14">
        <v>0.01</v>
      </c>
      <c r="AD14">
        <v>0</v>
      </c>
      <c r="AE14">
        <v>0</v>
      </c>
      <c r="AF14">
        <v>6.09</v>
      </c>
      <c r="AG14">
        <v>0.01</v>
      </c>
      <c r="AH14">
        <v>0</v>
      </c>
      <c r="AI14">
        <v>1</v>
      </c>
      <c r="AJ14">
        <v>1</v>
      </c>
      <c r="AK14">
        <v>1</v>
      </c>
      <c r="AL14">
        <v>1</v>
      </c>
      <c r="AM14">
        <v>-2</v>
      </c>
      <c r="AN14">
        <v>0</v>
      </c>
      <c r="AO14">
        <v>1</v>
      </c>
      <c r="AP14">
        <v>0</v>
      </c>
      <c r="AQ14">
        <v>0</v>
      </c>
      <c r="AR14">
        <v>0</v>
      </c>
      <c r="AS14" t="s">
        <v>3</v>
      </c>
      <c r="AT14">
        <v>0.45</v>
      </c>
      <c r="AU14" t="s">
        <v>3</v>
      </c>
      <c r="AV14">
        <v>0</v>
      </c>
      <c r="AW14">
        <v>2</v>
      </c>
      <c r="AX14">
        <v>75704052</v>
      </c>
      <c r="AY14">
        <v>1</v>
      </c>
      <c r="AZ14">
        <v>0</v>
      </c>
      <c r="BA14">
        <v>12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V14">
        <v>0</v>
      </c>
      <c r="CW14">
        <f>ROUND(Y14*Source!I40*DO14,9)</f>
        <v>0</v>
      </c>
      <c r="CX14">
        <f>ROUND(Y14*Source!I40,9)</f>
        <v>4.0499999999999998E-3</v>
      </c>
      <c r="CY14">
        <f>AB14</f>
        <v>6.09</v>
      </c>
      <c r="CZ14">
        <f>AF14</f>
        <v>6.09</v>
      </c>
      <c r="DA14">
        <f>AJ14</f>
        <v>1</v>
      </c>
      <c r="DB14">
        <f t="shared" si="1"/>
        <v>2.74</v>
      </c>
      <c r="DC14">
        <f t="shared" si="2"/>
        <v>0</v>
      </c>
      <c r="DD14" t="s">
        <v>3</v>
      </c>
      <c r="DE14" t="s">
        <v>3</v>
      </c>
      <c r="DF14">
        <f t="shared" si="3"/>
        <v>0</v>
      </c>
      <c r="DG14">
        <f t="shared" si="4"/>
        <v>0.02</v>
      </c>
      <c r="DH14">
        <f t="shared" si="5"/>
        <v>0</v>
      </c>
      <c r="DI14">
        <f t="shared" si="6"/>
        <v>0</v>
      </c>
      <c r="DJ14">
        <f>DG14</f>
        <v>0.02</v>
      </c>
      <c r="DK14">
        <v>0</v>
      </c>
      <c r="DL14" t="s">
        <v>3</v>
      </c>
      <c r="DM14">
        <v>0</v>
      </c>
      <c r="DN14" t="s">
        <v>3</v>
      </c>
      <c r="DO14">
        <v>0</v>
      </c>
    </row>
    <row r="15" spans="1:119" x14ac:dyDescent="0.2">
      <c r="A15">
        <f>ROW(Source!A40)</f>
        <v>40</v>
      </c>
      <c r="B15">
        <v>75703208</v>
      </c>
      <c r="C15">
        <v>75703405</v>
      </c>
      <c r="D15">
        <v>75388550</v>
      </c>
      <c r="E15">
        <v>1</v>
      </c>
      <c r="F15">
        <v>1</v>
      </c>
      <c r="G15">
        <v>39</v>
      </c>
      <c r="H15">
        <v>2</v>
      </c>
      <c r="I15" t="s">
        <v>279</v>
      </c>
      <c r="J15" t="s">
        <v>280</v>
      </c>
      <c r="K15" t="s">
        <v>281</v>
      </c>
      <c r="L15">
        <v>1368</v>
      </c>
      <c r="N15">
        <v>1011</v>
      </c>
      <c r="O15" t="s">
        <v>282</v>
      </c>
      <c r="P15" t="s">
        <v>282</v>
      </c>
      <c r="Q15">
        <v>1</v>
      </c>
      <c r="W15">
        <v>0</v>
      </c>
      <c r="X15">
        <v>-247555338</v>
      </c>
      <c r="Y15">
        <f t="shared" si="0"/>
        <v>7.3</v>
      </c>
      <c r="AA15">
        <v>0</v>
      </c>
      <c r="AB15">
        <v>7.44</v>
      </c>
      <c r="AC15">
        <v>0.01</v>
      </c>
      <c r="AD15">
        <v>0</v>
      </c>
      <c r="AE15">
        <v>0</v>
      </c>
      <c r="AF15">
        <v>7.44</v>
      </c>
      <c r="AG15">
        <v>0.01</v>
      </c>
      <c r="AH15">
        <v>0</v>
      </c>
      <c r="AI15">
        <v>1</v>
      </c>
      <c r="AJ15">
        <v>1</v>
      </c>
      <c r="AK15">
        <v>1</v>
      </c>
      <c r="AL15">
        <v>1</v>
      </c>
      <c r="AM15">
        <v>-2</v>
      </c>
      <c r="AN15">
        <v>0</v>
      </c>
      <c r="AO15">
        <v>1</v>
      </c>
      <c r="AP15">
        <v>0</v>
      </c>
      <c r="AQ15">
        <v>0</v>
      </c>
      <c r="AR15">
        <v>0</v>
      </c>
      <c r="AS15" t="s">
        <v>3</v>
      </c>
      <c r="AT15">
        <v>7.3</v>
      </c>
      <c r="AU15" t="s">
        <v>3</v>
      </c>
      <c r="AV15">
        <v>0</v>
      </c>
      <c r="AW15">
        <v>2</v>
      </c>
      <c r="AX15">
        <v>75704053</v>
      </c>
      <c r="AY15">
        <v>1</v>
      </c>
      <c r="AZ15">
        <v>0</v>
      </c>
      <c r="BA15">
        <v>13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V15">
        <v>0</v>
      </c>
      <c r="CW15">
        <f>ROUND(Y15*Source!I40*DO15,9)</f>
        <v>0</v>
      </c>
      <c r="CX15">
        <f>ROUND(Y15*Source!I40,9)</f>
        <v>6.5699999999999995E-2</v>
      </c>
      <c r="CY15">
        <f>AB15</f>
        <v>7.44</v>
      </c>
      <c r="CZ15">
        <f>AF15</f>
        <v>7.44</v>
      </c>
      <c r="DA15">
        <f>AJ15</f>
        <v>1</v>
      </c>
      <c r="DB15">
        <f t="shared" si="1"/>
        <v>54.31</v>
      </c>
      <c r="DC15">
        <f t="shared" si="2"/>
        <v>7.0000000000000007E-2</v>
      </c>
      <c r="DD15" t="s">
        <v>3</v>
      </c>
      <c r="DE15" t="s">
        <v>3</v>
      </c>
      <c r="DF15">
        <f t="shared" si="3"/>
        <v>0</v>
      </c>
      <c r="DG15">
        <f t="shared" si="4"/>
        <v>0.49</v>
      </c>
      <c r="DH15">
        <f t="shared" si="5"/>
        <v>0</v>
      </c>
      <c r="DI15">
        <f t="shared" si="6"/>
        <v>0</v>
      </c>
      <c r="DJ15">
        <f>DG15</f>
        <v>0.49</v>
      </c>
      <c r="DK15">
        <v>0</v>
      </c>
      <c r="DL15" t="s">
        <v>3</v>
      </c>
      <c r="DM15">
        <v>0</v>
      </c>
      <c r="DN15" t="s">
        <v>3</v>
      </c>
      <c r="DO15">
        <v>0</v>
      </c>
    </row>
    <row r="16" spans="1:119" x14ac:dyDescent="0.2">
      <c r="A16">
        <f>ROW(Source!A40)</f>
        <v>40</v>
      </c>
      <c r="B16">
        <v>75703208</v>
      </c>
      <c r="C16">
        <v>75703405</v>
      </c>
      <c r="D16">
        <v>75389658</v>
      </c>
      <c r="E16">
        <v>1</v>
      </c>
      <c r="F16">
        <v>1</v>
      </c>
      <c r="G16">
        <v>39</v>
      </c>
      <c r="H16">
        <v>3</v>
      </c>
      <c r="I16" t="s">
        <v>294</v>
      </c>
      <c r="J16" t="s">
        <v>295</v>
      </c>
      <c r="K16" t="s">
        <v>296</v>
      </c>
      <c r="L16">
        <v>1346</v>
      </c>
      <c r="N16">
        <v>1009</v>
      </c>
      <c r="O16" t="s">
        <v>51</v>
      </c>
      <c r="P16" t="s">
        <v>51</v>
      </c>
      <c r="Q16">
        <v>1</v>
      </c>
      <c r="W16">
        <v>0</v>
      </c>
      <c r="X16">
        <v>25616993</v>
      </c>
      <c r="Y16">
        <f t="shared" si="0"/>
        <v>0.94</v>
      </c>
      <c r="AA16">
        <v>263.45</v>
      </c>
      <c r="AB16">
        <v>0</v>
      </c>
      <c r="AC16">
        <v>0</v>
      </c>
      <c r="AD16">
        <v>0</v>
      </c>
      <c r="AE16">
        <v>263.45</v>
      </c>
      <c r="AF16">
        <v>0</v>
      </c>
      <c r="AG16">
        <v>0</v>
      </c>
      <c r="AH16">
        <v>0</v>
      </c>
      <c r="AI16">
        <v>1</v>
      </c>
      <c r="AJ16">
        <v>1</v>
      </c>
      <c r="AK16">
        <v>1</v>
      </c>
      <c r="AL16">
        <v>1</v>
      </c>
      <c r="AM16">
        <v>-2</v>
      </c>
      <c r="AN16">
        <v>0</v>
      </c>
      <c r="AO16">
        <v>1</v>
      </c>
      <c r="AP16">
        <v>0</v>
      </c>
      <c r="AQ16">
        <v>0</v>
      </c>
      <c r="AR16">
        <v>0</v>
      </c>
      <c r="AS16" t="s">
        <v>3</v>
      </c>
      <c r="AT16">
        <v>0.94</v>
      </c>
      <c r="AU16" t="s">
        <v>3</v>
      </c>
      <c r="AV16">
        <v>0</v>
      </c>
      <c r="AW16">
        <v>2</v>
      </c>
      <c r="AX16">
        <v>75704054</v>
      </c>
      <c r="AY16">
        <v>1</v>
      </c>
      <c r="AZ16">
        <v>0</v>
      </c>
      <c r="BA16">
        <v>14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V16">
        <v>0</v>
      </c>
      <c r="CW16">
        <v>0</v>
      </c>
      <c r="CX16">
        <f>ROUND(Y16*Source!I40,9)</f>
        <v>8.4600000000000005E-3</v>
      </c>
      <c r="CY16">
        <f>AA16</f>
        <v>263.45</v>
      </c>
      <c r="CZ16">
        <f>AE16</f>
        <v>263.45</v>
      </c>
      <c r="DA16">
        <f>AI16</f>
        <v>1</v>
      </c>
      <c r="DB16">
        <f t="shared" si="1"/>
        <v>247.64</v>
      </c>
      <c r="DC16">
        <f t="shared" si="2"/>
        <v>0</v>
      </c>
      <c r="DD16" t="s">
        <v>3</v>
      </c>
      <c r="DE16" t="s">
        <v>3</v>
      </c>
      <c r="DF16">
        <f t="shared" si="3"/>
        <v>2.23</v>
      </c>
      <c r="DG16">
        <f t="shared" si="4"/>
        <v>0</v>
      </c>
      <c r="DH16">
        <f t="shared" si="5"/>
        <v>0</v>
      </c>
      <c r="DI16">
        <f t="shared" si="6"/>
        <v>0</v>
      </c>
      <c r="DJ16">
        <f>DF16</f>
        <v>2.23</v>
      </c>
      <c r="DK16">
        <v>0</v>
      </c>
      <c r="DL16" t="s">
        <v>3</v>
      </c>
      <c r="DM16">
        <v>0</v>
      </c>
      <c r="DN16" t="s">
        <v>3</v>
      </c>
      <c r="DO16">
        <v>0</v>
      </c>
    </row>
    <row r="17" spans="1:119" x14ac:dyDescent="0.2">
      <c r="A17">
        <f>ROW(Source!A40)</f>
        <v>40</v>
      </c>
      <c r="B17">
        <v>75703208</v>
      </c>
      <c r="C17">
        <v>75703405</v>
      </c>
      <c r="D17">
        <v>75393446</v>
      </c>
      <c r="E17">
        <v>1</v>
      </c>
      <c r="F17">
        <v>1</v>
      </c>
      <c r="G17">
        <v>39</v>
      </c>
      <c r="H17">
        <v>3</v>
      </c>
      <c r="I17" t="s">
        <v>297</v>
      </c>
      <c r="J17" t="s">
        <v>298</v>
      </c>
      <c r="K17" t="s">
        <v>299</v>
      </c>
      <c r="L17">
        <v>1301</v>
      </c>
      <c r="N17">
        <v>1003</v>
      </c>
      <c r="O17" t="s">
        <v>36</v>
      </c>
      <c r="P17" t="s">
        <v>36</v>
      </c>
      <c r="Q17">
        <v>1</v>
      </c>
      <c r="W17">
        <v>0</v>
      </c>
      <c r="X17">
        <v>-1781956644</v>
      </c>
      <c r="Y17">
        <f t="shared" si="0"/>
        <v>105</v>
      </c>
      <c r="AA17">
        <v>154.56</v>
      </c>
      <c r="AB17">
        <v>0</v>
      </c>
      <c r="AC17">
        <v>0</v>
      </c>
      <c r="AD17">
        <v>0</v>
      </c>
      <c r="AE17">
        <v>154.56</v>
      </c>
      <c r="AF17">
        <v>0</v>
      </c>
      <c r="AG17">
        <v>0</v>
      </c>
      <c r="AH17">
        <v>0</v>
      </c>
      <c r="AI17">
        <v>1</v>
      </c>
      <c r="AJ17">
        <v>1</v>
      </c>
      <c r="AK17">
        <v>1</v>
      </c>
      <c r="AL17">
        <v>1</v>
      </c>
      <c r="AM17">
        <v>-2</v>
      </c>
      <c r="AN17">
        <v>0</v>
      </c>
      <c r="AO17">
        <v>1</v>
      </c>
      <c r="AP17">
        <v>0</v>
      </c>
      <c r="AQ17">
        <v>0</v>
      </c>
      <c r="AR17">
        <v>0</v>
      </c>
      <c r="AS17" t="s">
        <v>3</v>
      </c>
      <c r="AT17">
        <v>105</v>
      </c>
      <c r="AU17" t="s">
        <v>3</v>
      </c>
      <c r="AV17">
        <v>0</v>
      </c>
      <c r="AW17">
        <v>2</v>
      </c>
      <c r="AX17">
        <v>75704055</v>
      </c>
      <c r="AY17">
        <v>1</v>
      </c>
      <c r="AZ17">
        <v>0</v>
      </c>
      <c r="BA17">
        <v>15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V17">
        <v>0</v>
      </c>
      <c r="CW17">
        <v>0</v>
      </c>
      <c r="CX17">
        <f>ROUND(Y17*Source!I40,9)</f>
        <v>0.94499999999999995</v>
      </c>
      <c r="CY17">
        <f>AA17</f>
        <v>154.56</v>
      </c>
      <c r="CZ17">
        <f>AE17</f>
        <v>154.56</v>
      </c>
      <c r="DA17">
        <f>AI17</f>
        <v>1</v>
      </c>
      <c r="DB17">
        <f t="shared" si="1"/>
        <v>16228.8</v>
      </c>
      <c r="DC17">
        <f t="shared" si="2"/>
        <v>0</v>
      </c>
      <c r="DD17" t="s">
        <v>3</v>
      </c>
      <c r="DE17" t="s">
        <v>3</v>
      </c>
      <c r="DF17">
        <f t="shared" si="3"/>
        <v>146.06</v>
      </c>
      <c r="DG17">
        <f t="shared" si="4"/>
        <v>0</v>
      </c>
      <c r="DH17">
        <f t="shared" si="5"/>
        <v>0</v>
      </c>
      <c r="DI17">
        <f t="shared" si="6"/>
        <v>0</v>
      </c>
      <c r="DJ17">
        <f>DF17</f>
        <v>146.06</v>
      </c>
      <c r="DK17">
        <v>0</v>
      </c>
      <c r="DL17" t="s">
        <v>3</v>
      </c>
      <c r="DM17">
        <v>0</v>
      </c>
      <c r="DN17" t="s">
        <v>3</v>
      </c>
      <c r="DO17">
        <v>0</v>
      </c>
    </row>
    <row r="18" spans="1:119" x14ac:dyDescent="0.2">
      <c r="A18">
        <f>ROW(Source!A41)</f>
        <v>41</v>
      </c>
      <c r="B18">
        <v>75703208</v>
      </c>
      <c r="C18">
        <v>75703418</v>
      </c>
      <c r="D18">
        <v>75386788</v>
      </c>
      <c r="E18">
        <v>39</v>
      </c>
      <c r="F18">
        <v>1</v>
      </c>
      <c r="G18">
        <v>39</v>
      </c>
      <c r="H18">
        <v>1</v>
      </c>
      <c r="I18" t="s">
        <v>276</v>
      </c>
      <c r="J18" t="s">
        <v>3</v>
      </c>
      <c r="K18" t="s">
        <v>277</v>
      </c>
      <c r="L18">
        <v>1191</v>
      </c>
      <c r="N18">
        <v>1013</v>
      </c>
      <c r="O18" t="s">
        <v>278</v>
      </c>
      <c r="P18" t="s">
        <v>278</v>
      </c>
      <c r="Q18">
        <v>1</v>
      </c>
      <c r="W18">
        <v>0</v>
      </c>
      <c r="X18">
        <v>476480486</v>
      </c>
      <c r="Y18">
        <f t="shared" si="0"/>
        <v>11.39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1</v>
      </c>
      <c r="AJ18">
        <v>1</v>
      </c>
      <c r="AK18">
        <v>1</v>
      </c>
      <c r="AL18">
        <v>1</v>
      </c>
      <c r="AM18">
        <v>-2</v>
      </c>
      <c r="AN18">
        <v>0</v>
      </c>
      <c r="AO18">
        <v>1</v>
      </c>
      <c r="AP18">
        <v>0</v>
      </c>
      <c r="AQ18">
        <v>0</v>
      </c>
      <c r="AR18">
        <v>0</v>
      </c>
      <c r="AS18" t="s">
        <v>3</v>
      </c>
      <c r="AT18">
        <v>11.39</v>
      </c>
      <c r="AU18" t="s">
        <v>3</v>
      </c>
      <c r="AV18">
        <v>1</v>
      </c>
      <c r="AW18">
        <v>2</v>
      </c>
      <c r="AX18">
        <v>75704056</v>
      </c>
      <c r="AY18">
        <v>1</v>
      </c>
      <c r="AZ18">
        <v>0</v>
      </c>
      <c r="BA18">
        <v>16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U18">
        <f>ROUND(AT18*Source!I41*AH18*AL18,2)</f>
        <v>0</v>
      </c>
      <c r="CV18">
        <f>ROUND(Y18*Source!I41,9)</f>
        <v>6.2645</v>
      </c>
      <c r="CW18">
        <v>0</v>
      </c>
      <c r="CX18">
        <f>ROUND(Y18*Source!I41,9)</f>
        <v>6.2645</v>
      </c>
      <c r="CY18">
        <f>AD18</f>
        <v>0</v>
      </c>
      <c r="CZ18">
        <f>AH18</f>
        <v>0</v>
      </c>
      <c r="DA18">
        <f>AL18</f>
        <v>1</v>
      </c>
      <c r="DB18">
        <f t="shared" si="1"/>
        <v>0</v>
      </c>
      <c r="DC18">
        <f t="shared" si="2"/>
        <v>0</v>
      </c>
      <c r="DD18" t="s">
        <v>3</v>
      </c>
      <c r="DE18" t="s">
        <v>3</v>
      </c>
      <c r="DF18">
        <f t="shared" si="3"/>
        <v>0</v>
      </c>
      <c r="DG18">
        <f t="shared" si="4"/>
        <v>0</v>
      </c>
      <c r="DH18">
        <f t="shared" si="5"/>
        <v>0</v>
      </c>
      <c r="DI18">
        <f t="shared" si="6"/>
        <v>0</v>
      </c>
      <c r="DJ18">
        <f>DI18</f>
        <v>0</v>
      </c>
      <c r="DK18">
        <v>0</v>
      </c>
      <c r="DL18" t="s">
        <v>3</v>
      </c>
      <c r="DM18">
        <v>0</v>
      </c>
      <c r="DN18" t="s">
        <v>3</v>
      </c>
      <c r="DO18">
        <v>0</v>
      </c>
    </row>
    <row r="19" spans="1:119" x14ac:dyDescent="0.2">
      <c r="A19">
        <f>ROW(Source!A41)</f>
        <v>41</v>
      </c>
      <c r="B19">
        <v>75703208</v>
      </c>
      <c r="C19">
        <v>75703418</v>
      </c>
      <c r="D19">
        <v>75386789</v>
      </c>
      <c r="E19">
        <v>39</v>
      </c>
      <c r="F19">
        <v>1</v>
      </c>
      <c r="G19">
        <v>39</v>
      </c>
      <c r="H19">
        <v>3</v>
      </c>
      <c r="I19" t="s">
        <v>283</v>
      </c>
      <c r="J19" t="s">
        <v>3</v>
      </c>
      <c r="K19" t="s">
        <v>284</v>
      </c>
      <c r="L19">
        <v>1348</v>
      </c>
      <c r="N19">
        <v>1009</v>
      </c>
      <c r="O19" t="s">
        <v>56</v>
      </c>
      <c r="P19" t="s">
        <v>56</v>
      </c>
      <c r="Q19">
        <v>1000</v>
      </c>
      <c r="W19">
        <v>0</v>
      </c>
      <c r="X19">
        <v>1489638031</v>
      </c>
      <c r="Y19">
        <f t="shared" si="0"/>
        <v>0.47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1</v>
      </c>
      <c r="AJ19">
        <v>1</v>
      </c>
      <c r="AK19">
        <v>1</v>
      </c>
      <c r="AL19">
        <v>1</v>
      </c>
      <c r="AM19">
        <v>-2</v>
      </c>
      <c r="AN19">
        <v>0</v>
      </c>
      <c r="AO19">
        <v>1</v>
      </c>
      <c r="AP19">
        <v>0</v>
      </c>
      <c r="AQ19">
        <v>0</v>
      </c>
      <c r="AR19">
        <v>0</v>
      </c>
      <c r="AS19" t="s">
        <v>3</v>
      </c>
      <c r="AT19">
        <v>0.47</v>
      </c>
      <c r="AU19" t="s">
        <v>3</v>
      </c>
      <c r="AV19">
        <v>0</v>
      </c>
      <c r="AW19">
        <v>2</v>
      </c>
      <c r="AX19">
        <v>75704057</v>
      </c>
      <c r="AY19">
        <v>1</v>
      </c>
      <c r="AZ19">
        <v>0</v>
      </c>
      <c r="BA19">
        <v>17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V19">
        <v>0</v>
      </c>
      <c r="CW19">
        <v>0</v>
      </c>
      <c r="CX19">
        <f>ROUND(Y19*Source!I41,9)</f>
        <v>0.25850000000000001</v>
      </c>
      <c r="CY19">
        <f>AA19</f>
        <v>0</v>
      </c>
      <c r="CZ19">
        <f>AE19</f>
        <v>0</v>
      </c>
      <c r="DA19">
        <f>AI19</f>
        <v>1</v>
      </c>
      <c r="DB19">
        <f t="shared" si="1"/>
        <v>0</v>
      </c>
      <c r="DC19">
        <f t="shared" si="2"/>
        <v>0</v>
      </c>
      <c r="DD19" t="s">
        <v>3</v>
      </c>
      <c r="DE19" t="s">
        <v>3</v>
      </c>
      <c r="DF19">
        <f t="shared" si="3"/>
        <v>0</v>
      </c>
      <c r="DG19">
        <f t="shared" si="4"/>
        <v>0</v>
      </c>
      <c r="DH19">
        <f t="shared" si="5"/>
        <v>0</v>
      </c>
      <c r="DI19">
        <f t="shared" si="6"/>
        <v>0</v>
      </c>
      <c r="DJ19">
        <f>DF19</f>
        <v>0</v>
      </c>
      <c r="DK19">
        <v>0</v>
      </c>
      <c r="DL19" t="s">
        <v>3</v>
      </c>
      <c r="DM19">
        <v>0</v>
      </c>
      <c r="DN19" t="s">
        <v>3</v>
      </c>
      <c r="DO19">
        <v>0</v>
      </c>
    </row>
    <row r="20" spans="1:119" x14ac:dyDescent="0.2">
      <c r="A20">
        <f>ROW(Source!A42)</f>
        <v>42</v>
      </c>
      <c r="B20">
        <v>75703208</v>
      </c>
      <c r="C20">
        <v>75703423</v>
      </c>
      <c r="D20">
        <v>75386788</v>
      </c>
      <c r="E20">
        <v>39</v>
      </c>
      <c r="F20">
        <v>1</v>
      </c>
      <c r="G20">
        <v>39</v>
      </c>
      <c r="H20">
        <v>1</v>
      </c>
      <c r="I20" t="s">
        <v>276</v>
      </c>
      <c r="J20" t="s">
        <v>3</v>
      </c>
      <c r="K20" t="s">
        <v>277</v>
      </c>
      <c r="L20">
        <v>1191</v>
      </c>
      <c r="N20">
        <v>1013</v>
      </c>
      <c r="O20" t="s">
        <v>278</v>
      </c>
      <c r="P20" t="s">
        <v>278</v>
      </c>
      <c r="Q20">
        <v>1</v>
      </c>
      <c r="W20">
        <v>0</v>
      </c>
      <c r="X20">
        <v>476480486</v>
      </c>
      <c r="Y20">
        <f t="shared" si="0"/>
        <v>37.97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1</v>
      </c>
      <c r="AJ20">
        <v>1</v>
      </c>
      <c r="AK20">
        <v>1</v>
      </c>
      <c r="AL20">
        <v>1</v>
      </c>
      <c r="AM20">
        <v>-2</v>
      </c>
      <c r="AN20">
        <v>0</v>
      </c>
      <c r="AO20">
        <v>1</v>
      </c>
      <c r="AP20">
        <v>0</v>
      </c>
      <c r="AQ20">
        <v>0</v>
      </c>
      <c r="AR20">
        <v>0</v>
      </c>
      <c r="AS20" t="s">
        <v>3</v>
      </c>
      <c r="AT20">
        <v>37.97</v>
      </c>
      <c r="AU20" t="s">
        <v>3</v>
      </c>
      <c r="AV20">
        <v>1</v>
      </c>
      <c r="AW20">
        <v>2</v>
      </c>
      <c r="AX20">
        <v>75704058</v>
      </c>
      <c r="AY20">
        <v>1</v>
      </c>
      <c r="AZ20">
        <v>0</v>
      </c>
      <c r="BA20">
        <v>18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U20">
        <f>ROUND(AT20*Source!I42*AH20*AL20,2)</f>
        <v>0</v>
      </c>
      <c r="CV20">
        <f>ROUND(Y20*Source!I42,9)</f>
        <v>20.883500000000002</v>
      </c>
      <c r="CW20">
        <v>0</v>
      </c>
      <c r="CX20">
        <f>ROUND(Y20*Source!I42,9)</f>
        <v>20.883500000000002</v>
      </c>
      <c r="CY20">
        <f>AD20</f>
        <v>0</v>
      </c>
      <c r="CZ20">
        <f>AH20</f>
        <v>0</v>
      </c>
      <c r="DA20">
        <f>AL20</f>
        <v>1</v>
      </c>
      <c r="DB20">
        <f t="shared" si="1"/>
        <v>0</v>
      </c>
      <c r="DC20">
        <f t="shared" si="2"/>
        <v>0</v>
      </c>
      <c r="DD20" t="s">
        <v>3</v>
      </c>
      <c r="DE20" t="s">
        <v>3</v>
      </c>
      <c r="DF20">
        <f t="shared" si="3"/>
        <v>0</v>
      </c>
      <c r="DG20">
        <f t="shared" si="4"/>
        <v>0</v>
      </c>
      <c r="DH20">
        <f t="shared" si="5"/>
        <v>0</v>
      </c>
      <c r="DI20">
        <f t="shared" si="6"/>
        <v>0</v>
      </c>
      <c r="DJ20">
        <f>DI20</f>
        <v>0</v>
      </c>
      <c r="DK20">
        <v>0</v>
      </c>
      <c r="DL20" t="s">
        <v>3</v>
      </c>
      <c r="DM20">
        <v>0</v>
      </c>
      <c r="DN20" t="s">
        <v>3</v>
      </c>
      <c r="DO20">
        <v>0</v>
      </c>
    </row>
    <row r="21" spans="1:119" x14ac:dyDescent="0.2">
      <c r="A21">
        <f>ROW(Source!A42)</f>
        <v>42</v>
      </c>
      <c r="B21">
        <v>75703208</v>
      </c>
      <c r="C21">
        <v>75703423</v>
      </c>
      <c r="D21">
        <v>75388182</v>
      </c>
      <c r="E21">
        <v>1</v>
      </c>
      <c r="F21">
        <v>1</v>
      </c>
      <c r="G21">
        <v>39</v>
      </c>
      <c r="H21">
        <v>2</v>
      </c>
      <c r="I21" t="s">
        <v>300</v>
      </c>
      <c r="J21" t="s">
        <v>301</v>
      </c>
      <c r="K21" t="s">
        <v>302</v>
      </c>
      <c r="L21">
        <v>1368</v>
      </c>
      <c r="N21">
        <v>1011</v>
      </c>
      <c r="O21" t="s">
        <v>282</v>
      </c>
      <c r="P21" t="s">
        <v>282</v>
      </c>
      <c r="Q21">
        <v>1</v>
      </c>
      <c r="W21">
        <v>0</v>
      </c>
      <c r="X21">
        <v>64700738</v>
      </c>
      <c r="Y21">
        <f t="shared" si="0"/>
        <v>3</v>
      </c>
      <c r="AA21">
        <v>0</v>
      </c>
      <c r="AB21">
        <v>56.19</v>
      </c>
      <c r="AC21">
        <v>0.31</v>
      </c>
      <c r="AD21">
        <v>0</v>
      </c>
      <c r="AE21">
        <v>0</v>
      </c>
      <c r="AF21">
        <v>56.19</v>
      </c>
      <c r="AG21">
        <v>0.31</v>
      </c>
      <c r="AH21">
        <v>0</v>
      </c>
      <c r="AI21">
        <v>1</v>
      </c>
      <c r="AJ21">
        <v>1</v>
      </c>
      <c r="AK21">
        <v>1</v>
      </c>
      <c r="AL21">
        <v>1</v>
      </c>
      <c r="AM21">
        <v>-2</v>
      </c>
      <c r="AN21">
        <v>0</v>
      </c>
      <c r="AO21">
        <v>1</v>
      </c>
      <c r="AP21">
        <v>0</v>
      </c>
      <c r="AQ21">
        <v>0</v>
      </c>
      <c r="AR21">
        <v>0</v>
      </c>
      <c r="AS21" t="s">
        <v>3</v>
      </c>
      <c r="AT21">
        <v>3</v>
      </c>
      <c r="AU21" t="s">
        <v>3</v>
      </c>
      <c r="AV21">
        <v>0</v>
      </c>
      <c r="AW21">
        <v>2</v>
      </c>
      <c r="AX21">
        <v>75704059</v>
      </c>
      <c r="AY21">
        <v>1</v>
      </c>
      <c r="AZ21">
        <v>0</v>
      </c>
      <c r="BA21">
        <v>19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V21">
        <v>0</v>
      </c>
      <c r="CW21">
        <f>ROUND(Y21*Source!I42*DO21,9)</f>
        <v>0</v>
      </c>
      <c r="CX21">
        <f>ROUND(Y21*Source!I42,9)</f>
        <v>1.65</v>
      </c>
      <c r="CY21">
        <f>AB21</f>
        <v>56.19</v>
      </c>
      <c r="CZ21">
        <f>AF21</f>
        <v>56.19</v>
      </c>
      <c r="DA21">
        <f>AJ21</f>
        <v>1</v>
      </c>
      <c r="DB21">
        <f t="shared" si="1"/>
        <v>168.57</v>
      </c>
      <c r="DC21">
        <f t="shared" si="2"/>
        <v>0.93</v>
      </c>
      <c r="DD21" t="s">
        <v>3</v>
      </c>
      <c r="DE21" t="s">
        <v>3</v>
      </c>
      <c r="DF21">
        <f t="shared" si="3"/>
        <v>0</v>
      </c>
      <c r="DG21">
        <f t="shared" si="4"/>
        <v>92.71</v>
      </c>
      <c r="DH21">
        <f t="shared" si="5"/>
        <v>0.51</v>
      </c>
      <c r="DI21">
        <f t="shared" si="6"/>
        <v>0</v>
      </c>
      <c r="DJ21">
        <f>DG21</f>
        <v>92.71</v>
      </c>
      <c r="DK21">
        <v>0</v>
      </c>
      <c r="DL21" t="s">
        <v>3</v>
      </c>
      <c r="DM21">
        <v>0</v>
      </c>
      <c r="DN21" t="s">
        <v>3</v>
      </c>
      <c r="DO21">
        <v>0</v>
      </c>
    </row>
    <row r="22" spans="1:119" x14ac:dyDescent="0.2">
      <c r="A22">
        <f>ROW(Source!A42)</f>
        <v>42</v>
      </c>
      <c r="B22">
        <v>75703208</v>
      </c>
      <c r="C22">
        <v>75703423</v>
      </c>
      <c r="D22">
        <v>75388586</v>
      </c>
      <c r="E22">
        <v>1</v>
      </c>
      <c r="F22">
        <v>1</v>
      </c>
      <c r="G22">
        <v>39</v>
      </c>
      <c r="H22">
        <v>2</v>
      </c>
      <c r="I22" t="s">
        <v>303</v>
      </c>
      <c r="J22" t="s">
        <v>304</v>
      </c>
      <c r="K22" t="s">
        <v>305</v>
      </c>
      <c r="L22">
        <v>1368</v>
      </c>
      <c r="N22">
        <v>1011</v>
      </c>
      <c r="O22" t="s">
        <v>282</v>
      </c>
      <c r="P22" t="s">
        <v>282</v>
      </c>
      <c r="Q22">
        <v>1</v>
      </c>
      <c r="W22">
        <v>0</v>
      </c>
      <c r="X22">
        <v>-684189830</v>
      </c>
      <c r="Y22">
        <f t="shared" si="0"/>
        <v>4.1500000000000004</v>
      </c>
      <c r="AA22">
        <v>0</v>
      </c>
      <c r="AB22">
        <v>10.7</v>
      </c>
      <c r="AC22">
        <v>1.91</v>
      </c>
      <c r="AD22">
        <v>0</v>
      </c>
      <c r="AE22">
        <v>0</v>
      </c>
      <c r="AF22">
        <v>10.7</v>
      </c>
      <c r="AG22">
        <v>1.91</v>
      </c>
      <c r="AH22">
        <v>0</v>
      </c>
      <c r="AI22">
        <v>1</v>
      </c>
      <c r="AJ22">
        <v>1</v>
      </c>
      <c r="AK22">
        <v>1</v>
      </c>
      <c r="AL22">
        <v>1</v>
      </c>
      <c r="AM22">
        <v>-2</v>
      </c>
      <c r="AN22">
        <v>0</v>
      </c>
      <c r="AO22">
        <v>1</v>
      </c>
      <c r="AP22">
        <v>0</v>
      </c>
      <c r="AQ22">
        <v>0</v>
      </c>
      <c r="AR22">
        <v>0</v>
      </c>
      <c r="AS22" t="s">
        <v>3</v>
      </c>
      <c r="AT22">
        <v>4.1500000000000004</v>
      </c>
      <c r="AU22" t="s">
        <v>3</v>
      </c>
      <c r="AV22">
        <v>0</v>
      </c>
      <c r="AW22">
        <v>2</v>
      </c>
      <c r="AX22">
        <v>75704060</v>
      </c>
      <c r="AY22">
        <v>1</v>
      </c>
      <c r="AZ22">
        <v>0</v>
      </c>
      <c r="BA22">
        <v>20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V22">
        <v>0</v>
      </c>
      <c r="CW22">
        <f>ROUND(Y22*Source!I42*DO22,9)</f>
        <v>0</v>
      </c>
      <c r="CX22">
        <f>ROUND(Y22*Source!I42,9)</f>
        <v>2.2825000000000002</v>
      </c>
      <c r="CY22">
        <f>AB22</f>
        <v>10.7</v>
      </c>
      <c r="CZ22">
        <f>AF22</f>
        <v>10.7</v>
      </c>
      <c r="DA22">
        <f>AJ22</f>
        <v>1</v>
      </c>
      <c r="DB22">
        <f t="shared" si="1"/>
        <v>44.41</v>
      </c>
      <c r="DC22">
        <f t="shared" si="2"/>
        <v>7.93</v>
      </c>
      <c r="DD22" t="s">
        <v>3</v>
      </c>
      <c r="DE22" t="s">
        <v>3</v>
      </c>
      <c r="DF22">
        <f t="shared" si="3"/>
        <v>0</v>
      </c>
      <c r="DG22">
        <f t="shared" si="4"/>
        <v>24.42</v>
      </c>
      <c r="DH22">
        <f t="shared" si="5"/>
        <v>4.3600000000000003</v>
      </c>
      <c r="DI22">
        <f t="shared" si="6"/>
        <v>0</v>
      </c>
      <c r="DJ22">
        <f>DG22</f>
        <v>24.42</v>
      </c>
      <c r="DK22">
        <v>0</v>
      </c>
      <c r="DL22" t="s">
        <v>3</v>
      </c>
      <c r="DM22">
        <v>0</v>
      </c>
      <c r="DN22" t="s">
        <v>3</v>
      </c>
      <c r="DO22">
        <v>0</v>
      </c>
    </row>
    <row r="23" spans="1:119" x14ac:dyDescent="0.2">
      <c r="A23">
        <f>ROW(Source!A42)</f>
        <v>42</v>
      </c>
      <c r="B23">
        <v>75703208</v>
      </c>
      <c r="C23">
        <v>75703423</v>
      </c>
      <c r="D23">
        <v>75387866</v>
      </c>
      <c r="E23">
        <v>1</v>
      </c>
      <c r="F23">
        <v>1</v>
      </c>
      <c r="G23">
        <v>39</v>
      </c>
      <c r="H23">
        <v>2</v>
      </c>
      <c r="I23" t="s">
        <v>306</v>
      </c>
      <c r="J23" t="s">
        <v>307</v>
      </c>
      <c r="K23" t="s">
        <v>308</v>
      </c>
      <c r="L23">
        <v>1368</v>
      </c>
      <c r="N23">
        <v>1011</v>
      </c>
      <c r="O23" t="s">
        <v>282</v>
      </c>
      <c r="P23" t="s">
        <v>282</v>
      </c>
      <c r="Q23">
        <v>1</v>
      </c>
      <c r="W23">
        <v>0</v>
      </c>
      <c r="X23">
        <v>2002913998</v>
      </c>
      <c r="Y23">
        <f t="shared" si="0"/>
        <v>0.02</v>
      </c>
      <c r="AA23">
        <v>0</v>
      </c>
      <c r="AB23">
        <v>1472.88</v>
      </c>
      <c r="AC23">
        <v>893.16</v>
      </c>
      <c r="AD23">
        <v>0</v>
      </c>
      <c r="AE23">
        <v>0</v>
      </c>
      <c r="AF23">
        <v>1472.88</v>
      </c>
      <c r="AG23">
        <v>893.16</v>
      </c>
      <c r="AH23">
        <v>0</v>
      </c>
      <c r="AI23">
        <v>1</v>
      </c>
      <c r="AJ23">
        <v>1</v>
      </c>
      <c r="AK23">
        <v>1</v>
      </c>
      <c r="AL23">
        <v>1</v>
      </c>
      <c r="AM23">
        <v>-2</v>
      </c>
      <c r="AN23">
        <v>0</v>
      </c>
      <c r="AO23">
        <v>1</v>
      </c>
      <c r="AP23">
        <v>0</v>
      </c>
      <c r="AQ23">
        <v>0</v>
      </c>
      <c r="AR23">
        <v>0</v>
      </c>
      <c r="AS23" t="s">
        <v>3</v>
      </c>
      <c r="AT23">
        <v>0.02</v>
      </c>
      <c r="AU23" t="s">
        <v>3</v>
      </c>
      <c r="AV23">
        <v>0</v>
      </c>
      <c r="AW23">
        <v>2</v>
      </c>
      <c r="AX23">
        <v>75704061</v>
      </c>
      <c r="AY23">
        <v>1</v>
      </c>
      <c r="AZ23">
        <v>0</v>
      </c>
      <c r="BA23">
        <v>21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V23">
        <v>0</v>
      </c>
      <c r="CW23">
        <f>ROUND(Y23*Source!I42*DO23,9)</f>
        <v>0</v>
      </c>
      <c r="CX23">
        <f>ROUND(Y23*Source!I42,9)</f>
        <v>1.0999999999999999E-2</v>
      </c>
      <c r="CY23">
        <f>AB23</f>
        <v>1472.88</v>
      </c>
      <c r="CZ23">
        <f>AF23</f>
        <v>1472.88</v>
      </c>
      <c r="DA23">
        <f>AJ23</f>
        <v>1</v>
      </c>
      <c r="DB23">
        <f t="shared" si="1"/>
        <v>29.46</v>
      </c>
      <c r="DC23">
        <f t="shared" si="2"/>
        <v>17.86</v>
      </c>
      <c r="DD23" t="s">
        <v>3</v>
      </c>
      <c r="DE23" t="s">
        <v>3</v>
      </c>
      <c r="DF23">
        <f t="shared" si="3"/>
        <v>0</v>
      </c>
      <c r="DG23">
        <f t="shared" si="4"/>
        <v>16.2</v>
      </c>
      <c r="DH23">
        <f t="shared" si="5"/>
        <v>9.82</v>
      </c>
      <c r="DI23">
        <f t="shared" si="6"/>
        <v>0</v>
      </c>
      <c r="DJ23">
        <f>DG23</f>
        <v>16.2</v>
      </c>
      <c r="DK23">
        <v>0</v>
      </c>
      <c r="DL23" t="s">
        <v>3</v>
      </c>
      <c r="DM23">
        <v>0</v>
      </c>
      <c r="DN23" t="s">
        <v>3</v>
      </c>
      <c r="DO23">
        <v>0</v>
      </c>
    </row>
    <row r="24" spans="1:119" x14ac:dyDescent="0.2">
      <c r="A24">
        <f>ROW(Source!A42)</f>
        <v>42</v>
      </c>
      <c r="B24">
        <v>75703208</v>
      </c>
      <c r="C24">
        <v>75703423</v>
      </c>
      <c r="D24">
        <v>75390588</v>
      </c>
      <c r="E24">
        <v>1</v>
      </c>
      <c r="F24">
        <v>1</v>
      </c>
      <c r="G24">
        <v>39</v>
      </c>
      <c r="H24">
        <v>3</v>
      </c>
      <c r="I24" t="s">
        <v>309</v>
      </c>
      <c r="J24" t="s">
        <v>310</v>
      </c>
      <c r="K24" t="s">
        <v>311</v>
      </c>
      <c r="L24">
        <v>1339</v>
      </c>
      <c r="N24">
        <v>1007</v>
      </c>
      <c r="O24" t="s">
        <v>312</v>
      </c>
      <c r="P24" t="s">
        <v>312</v>
      </c>
      <c r="Q24">
        <v>1</v>
      </c>
      <c r="W24">
        <v>0</v>
      </c>
      <c r="X24">
        <v>973433911</v>
      </c>
      <c r="Y24">
        <f t="shared" si="0"/>
        <v>0.30199999999999999</v>
      </c>
      <c r="AA24">
        <v>49.83</v>
      </c>
      <c r="AB24">
        <v>0</v>
      </c>
      <c r="AC24">
        <v>0</v>
      </c>
      <c r="AD24">
        <v>0</v>
      </c>
      <c r="AE24">
        <v>49.83</v>
      </c>
      <c r="AF24">
        <v>0</v>
      </c>
      <c r="AG24">
        <v>0</v>
      </c>
      <c r="AH24">
        <v>0</v>
      </c>
      <c r="AI24">
        <v>1</v>
      </c>
      <c r="AJ24">
        <v>1</v>
      </c>
      <c r="AK24">
        <v>1</v>
      </c>
      <c r="AL24">
        <v>1</v>
      </c>
      <c r="AM24">
        <v>-2</v>
      </c>
      <c r="AN24">
        <v>0</v>
      </c>
      <c r="AO24">
        <v>1</v>
      </c>
      <c r="AP24">
        <v>0</v>
      </c>
      <c r="AQ24">
        <v>0</v>
      </c>
      <c r="AR24">
        <v>0</v>
      </c>
      <c r="AS24" t="s">
        <v>3</v>
      </c>
      <c r="AT24">
        <v>0.30199999999999999</v>
      </c>
      <c r="AU24" t="s">
        <v>3</v>
      </c>
      <c r="AV24">
        <v>0</v>
      </c>
      <c r="AW24">
        <v>2</v>
      </c>
      <c r="AX24">
        <v>75704062</v>
      </c>
      <c r="AY24">
        <v>1</v>
      </c>
      <c r="AZ24">
        <v>0</v>
      </c>
      <c r="BA24">
        <v>22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V24">
        <v>0</v>
      </c>
      <c r="CW24">
        <v>0</v>
      </c>
      <c r="CX24">
        <f>ROUND(Y24*Source!I42,9)</f>
        <v>0.1661</v>
      </c>
      <c r="CY24">
        <f>AA24</f>
        <v>49.83</v>
      </c>
      <c r="CZ24">
        <f>AE24</f>
        <v>49.83</v>
      </c>
      <c r="DA24">
        <f>AI24</f>
        <v>1</v>
      </c>
      <c r="DB24">
        <f t="shared" si="1"/>
        <v>15.05</v>
      </c>
      <c r="DC24">
        <f t="shared" si="2"/>
        <v>0</v>
      </c>
      <c r="DD24" t="s">
        <v>3</v>
      </c>
      <c r="DE24" t="s">
        <v>3</v>
      </c>
      <c r="DF24">
        <f t="shared" si="3"/>
        <v>8.2799999999999994</v>
      </c>
      <c r="DG24">
        <f t="shared" si="4"/>
        <v>0</v>
      </c>
      <c r="DH24">
        <f t="shared" si="5"/>
        <v>0</v>
      </c>
      <c r="DI24">
        <f t="shared" si="6"/>
        <v>0</v>
      </c>
      <c r="DJ24">
        <f>DF24</f>
        <v>8.2799999999999994</v>
      </c>
      <c r="DK24">
        <v>0</v>
      </c>
      <c r="DL24" t="s">
        <v>3</v>
      </c>
      <c r="DM24">
        <v>0</v>
      </c>
      <c r="DN24" t="s">
        <v>3</v>
      </c>
      <c r="DO24">
        <v>0</v>
      </c>
    </row>
    <row r="25" spans="1:119" x14ac:dyDescent="0.2">
      <c r="A25">
        <f>ROW(Source!A42)</f>
        <v>42</v>
      </c>
      <c r="B25">
        <v>75703208</v>
      </c>
      <c r="C25">
        <v>75703423</v>
      </c>
      <c r="D25">
        <v>75390808</v>
      </c>
      <c r="E25">
        <v>1</v>
      </c>
      <c r="F25">
        <v>1</v>
      </c>
      <c r="G25">
        <v>39</v>
      </c>
      <c r="H25">
        <v>3</v>
      </c>
      <c r="I25" t="s">
        <v>313</v>
      </c>
      <c r="J25" t="s">
        <v>314</v>
      </c>
      <c r="K25" t="s">
        <v>315</v>
      </c>
      <c r="L25">
        <v>1327</v>
      </c>
      <c r="N25">
        <v>1005</v>
      </c>
      <c r="O25" t="s">
        <v>76</v>
      </c>
      <c r="P25" t="s">
        <v>76</v>
      </c>
      <c r="Q25">
        <v>1</v>
      </c>
      <c r="W25">
        <v>0</v>
      </c>
      <c r="X25">
        <v>1627923774</v>
      </c>
      <c r="Y25">
        <f t="shared" si="0"/>
        <v>10</v>
      </c>
      <c r="AA25">
        <v>10.62</v>
      </c>
      <c r="AB25">
        <v>0</v>
      </c>
      <c r="AC25">
        <v>0</v>
      </c>
      <c r="AD25">
        <v>0</v>
      </c>
      <c r="AE25">
        <v>10.62</v>
      </c>
      <c r="AF25">
        <v>0</v>
      </c>
      <c r="AG25">
        <v>0</v>
      </c>
      <c r="AH25">
        <v>0</v>
      </c>
      <c r="AI25">
        <v>1</v>
      </c>
      <c r="AJ25">
        <v>1</v>
      </c>
      <c r="AK25">
        <v>1</v>
      </c>
      <c r="AL25">
        <v>1</v>
      </c>
      <c r="AM25">
        <v>-2</v>
      </c>
      <c r="AN25">
        <v>0</v>
      </c>
      <c r="AO25">
        <v>1</v>
      </c>
      <c r="AP25">
        <v>0</v>
      </c>
      <c r="AQ25">
        <v>0</v>
      </c>
      <c r="AR25">
        <v>0</v>
      </c>
      <c r="AS25" t="s">
        <v>3</v>
      </c>
      <c r="AT25">
        <v>10</v>
      </c>
      <c r="AU25" t="s">
        <v>3</v>
      </c>
      <c r="AV25">
        <v>0</v>
      </c>
      <c r="AW25">
        <v>2</v>
      </c>
      <c r="AX25">
        <v>75704063</v>
      </c>
      <c r="AY25">
        <v>1</v>
      </c>
      <c r="AZ25">
        <v>0</v>
      </c>
      <c r="BA25">
        <v>23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V25">
        <v>0</v>
      </c>
      <c r="CW25">
        <v>0</v>
      </c>
      <c r="CX25">
        <f>ROUND(Y25*Source!I42,9)</f>
        <v>5.5</v>
      </c>
      <c r="CY25">
        <f>AA25</f>
        <v>10.62</v>
      </c>
      <c r="CZ25">
        <f>AE25</f>
        <v>10.62</v>
      </c>
      <c r="DA25">
        <f>AI25</f>
        <v>1</v>
      </c>
      <c r="DB25">
        <f t="shared" si="1"/>
        <v>106.2</v>
      </c>
      <c r="DC25">
        <f t="shared" si="2"/>
        <v>0</v>
      </c>
      <c r="DD25" t="s">
        <v>3</v>
      </c>
      <c r="DE25" t="s">
        <v>3</v>
      </c>
      <c r="DF25">
        <f t="shared" si="3"/>
        <v>58.41</v>
      </c>
      <c r="DG25">
        <f t="shared" si="4"/>
        <v>0</v>
      </c>
      <c r="DH25">
        <f t="shared" si="5"/>
        <v>0</v>
      </c>
      <c r="DI25">
        <f t="shared" si="6"/>
        <v>0</v>
      </c>
      <c r="DJ25">
        <f>DF25</f>
        <v>58.41</v>
      </c>
      <c r="DK25">
        <v>0</v>
      </c>
      <c r="DL25" t="s">
        <v>3</v>
      </c>
      <c r="DM25">
        <v>0</v>
      </c>
      <c r="DN25" t="s">
        <v>3</v>
      </c>
      <c r="DO25">
        <v>0</v>
      </c>
    </row>
    <row r="26" spans="1:119" x14ac:dyDescent="0.2">
      <c r="A26">
        <f>ROW(Source!A42)</f>
        <v>42</v>
      </c>
      <c r="B26">
        <v>75703208</v>
      </c>
      <c r="C26">
        <v>75703423</v>
      </c>
      <c r="D26">
        <v>75389157</v>
      </c>
      <c r="E26">
        <v>1</v>
      </c>
      <c r="F26">
        <v>1</v>
      </c>
      <c r="G26">
        <v>39</v>
      </c>
      <c r="H26">
        <v>3</v>
      </c>
      <c r="I26" t="s">
        <v>316</v>
      </c>
      <c r="J26" t="s">
        <v>317</v>
      </c>
      <c r="K26" t="s">
        <v>318</v>
      </c>
      <c r="L26">
        <v>1346</v>
      </c>
      <c r="N26">
        <v>1009</v>
      </c>
      <c r="O26" t="s">
        <v>51</v>
      </c>
      <c r="P26" t="s">
        <v>51</v>
      </c>
      <c r="Q26">
        <v>1</v>
      </c>
      <c r="W26">
        <v>0</v>
      </c>
      <c r="X26">
        <v>1856405498</v>
      </c>
      <c r="Y26">
        <f t="shared" si="0"/>
        <v>20</v>
      </c>
      <c r="AA26">
        <v>915.75</v>
      </c>
      <c r="AB26">
        <v>0</v>
      </c>
      <c r="AC26">
        <v>0</v>
      </c>
      <c r="AD26">
        <v>0</v>
      </c>
      <c r="AE26">
        <v>915.75</v>
      </c>
      <c r="AF26">
        <v>0</v>
      </c>
      <c r="AG26">
        <v>0</v>
      </c>
      <c r="AH26">
        <v>0</v>
      </c>
      <c r="AI26">
        <v>1</v>
      </c>
      <c r="AJ26">
        <v>1</v>
      </c>
      <c r="AK26">
        <v>1</v>
      </c>
      <c r="AL26">
        <v>1</v>
      </c>
      <c r="AM26">
        <v>-2</v>
      </c>
      <c r="AN26">
        <v>0</v>
      </c>
      <c r="AO26">
        <v>1</v>
      </c>
      <c r="AP26">
        <v>0</v>
      </c>
      <c r="AQ26">
        <v>0</v>
      </c>
      <c r="AR26">
        <v>0</v>
      </c>
      <c r="AS26" t="s">
        <v>3</v>
      </c>
      <c r="AT26">
        <v>20</v>
      </c>
      <c r="AU26" t="s">
        <v>3</v>
      </c>
      <c r="AV26">
        <v>0</v>
      </c>
      <c r="AW26">
        <v>2</v>
      </c>
      <c r="AX26">
        <v>75704064</v>
      </c>
      <c r="AY26">
        <v>1</v>
      </c>
      <c r="AZ26">
        <v>0</v>
      </c>
      <c r="BA26">
        <v>24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V26">
        <v>0</v>
      </c>
      <c r="CW26">
        <v>0</v>
      </c>
      <c r="CX26">
        <f>ROUND(Y26*Source!I42,9)</f>
        <v>11</v>
      </c>
      <c r="CY26">
        <f>AA26</f>
        <v>915.75</v>
      </c>
      <c r="CZ26">
        <f>AE26</f>
        <v>915.75</v>
      </c>
      <c r="DA26">
        <f>AI26</f>
        <v>1</v>
      </c>
      <c r="DB26">
        <f t="shared" si="1"/>
        <v>18315</v>
      </c>
      <c r="DC26">
        <f t="shared" si="2"/>
        <v>0</v>
      </c>
      <c r="DD26" t="s">
        <v>3</v>
      </c>
      <c r="DE26" t="s">
        <v>3</v>
      </c>
      <c r="DF26">
        <f t="shared" si="3"/>
        <v>10073.25</v>
      </c>
      <c r="DG26">
        <f t="shared" si="4"/>
        <v>0</v>
      </c>
      <c r="DH26">
        <f t="shared" si="5"/>
        <v>0</v>
      </c>
      <c r="DI26">
        <f t="shared" si="6"/>
        <v>0</v>
      </c>
      <c r="DJ26">
        <f>DF26</f>
        <v>10073.25</v>
      </c>
      <c r="DK26">
        <v>0</v>
      </c>
      <c r="DL26" t="s">
        <v>3</v>
      </c>
      <c r="DM26">
        <v>0</v>
      </c>
      <c r="DN26" t="s">
        <v>3</v>
      </c>
      <c r="DO26">
        <v>0</v>
      </c>
    </row>
    <row r="27" spans="1:119" x14ac:dyDescent="0.2">
      <c r="A27">
        <f>ROW(Source!A42)</f>
        <v>42</v>
      </c>
      <c r="B27">
        <v>75703208</v>
      </c>
      <c r="C27">
        <v>75703423</v>
      </c>
      <c r="D27">
        <v>75391767</v>
      </c>
      <c r="E27">
        <v>1</v>
      </c>
      <c r="F27">
        <v>1</v>
      </c>
      <c r="G27">
        <v>39</v>
      </c>
      <c r="H27">
        <v>3</v>
      </c>
      <c r="I27" t="s">
        <v>319</v>
      </c>
      <c r="J27" t="s">
        <v>320</v>
      </c>
      <c r="K27" t="s">
        <v>321</v>
      </c>
      <c r="L27">
        <v>1348</v>
      </c>
      <c r="N27">
        <v>1009</v>
      </c>
      <c r="O27" t="s">
        <v>56</v>
      </c>
      <c r="P27" t="s">
        <v>56</v>
      </c>
      <c r="Q27">
        <v>1000</v>
      </c>
      <c r="W27">
        <v>0</v>
      </c>
      <c r="X27">
        <v>837212414</v>
      </c>
      <c r="Y27">
        <f t="shared" si="0"/>
        <v>0.84199999999999997</v>
      </c>
      <c r="AA27">
        <v>37996.660000000003</v>
      </c>
      <c r="AB27">
        <v>0</v>
      </c>
      <c r="AC27">
        <v>0</v>
      </c>
      <c r="AD27">
        <v>0</v>
      </c>
      <c r="AE27">
        <v>37996.660000000003</v>
      </c>
      <c r="AF27">
        <v>0</v>
      </c>
      <c r="AG27">
        <v>0</v>
      </c>
      <c r="AH27">
        <v>0</v>
      </c>
      <c r="AI27">
        <v>1</v>
      </c>
      <c r="AJ27">
        <v>1</v>
      </c>
      <c r="AK27">
        <v>1</v>
      </c>
      <c r="AL27">
        <v>1</v>
      </c>
      <c r="AM27">
        <v>-2</v>
      </c>
      <c r="AN27">
        <v>0</v>
      </c>
      <c r="AO27">
        <v>1</v>
      </c>
      <c r="AP27">
        <v>0</v>
      </c>
      <c r="AQ27">
        <v>0</v>
      </c>
      <c r="AR27">
        <v>0</v>
      </c>
      <c r="AS27" t="s">
        <v>3</v>
      </c>
      <c r="AT27">
        <v>0.84199999999999997</v>
      </c>
      <c r="AU27" t="s">
        <v>3</v>
      </c>
      <c r="AV27">
        <v>0</v>
      </c>
      <c r="AW27">
        <v>2</v>
      </c>
      <c r="AX27">
        <v>75704065</v>
      </c>
      <c r="AY27">
        <v>1</v>
      </c>
      <c r="AZ27">
        <v>0</v>
      </c>
      <c r="BA27">
        <v>25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V27">
        <v>0</v>
      </c>
      <c r="CW27">
        <v>0</v>
      </c>
      <c r="CX27">
        <f>ROUND(Y27*Source!I42,9)</f>
        <v>0.46310000000000001</v>
      </c>
      <c r="CY27">
        <f>AA27</f>
        <v>37996.660000000003</v>
      </c>
      <c r="CZ27">
        <f>AE27</f>
        <v>37996.660000000003</v>
      </c>
      <c r="DA27">
        <f>AI27</f>
        <v>1</v>
      </c>
      <c r="DB27">
        <f t="shared" si="1"/>
        <v>31993.19</v>
      </c>
      <c r="DC27">
        <f t="shared" si="2"/>
        <v>0</v>
      </c>
      <c r="DD27" t="s">
        <v>3</v>
      </c>
      <c r="DE27" t="s">
        <v>3</v>
      </c>
      <c r="DF27">
        <f t="shared" si="3"/>
        <v>17596.25</v>
      </c>
      <c r="DG27">
        <f t="shared" si="4"/>
        <v>0</v>
      </c>
      <c r="DH27">
        <f t="shared" si="5"/>
        <v>0</v>
      </c>
      <c r="DI27">
        <f t="shared" si="6"/>
        <v>0</v>
      </c>
      <c r="DJ27">
        <f>DF27</f>
        <v>17596.25</v>
      </c>
      <c r="DK27">
        <v>0</v>
      </c>
      <c r="DL27" t="s">
        <v>3</v>
      </c>
      <c r="DM27">
        <v>0</v>
      </c>
      <c r="DN27" t="s">
        <v>3</v>
      </c>
      <c r="DO27">
        <v>0</v>
      </c>
    </row>
    <row r="28" spans="1:119" x14ac:dyDescent="0.2">
      <c r="A28">
        <f>ROW(Source!A43)</f>
        <v>43</v>
      </c>
      <c r="B28">
        <v>75703208</v>
      </c>
      <c r="C28">
        <v>75703440</v>
      </c>
      <c r="D28">
        <v>75386788</v>
      </c>
      <c r="E28">
        <v>39</v>
      </c>
      <c r="F28">
        <v>1</v>
      </c>
      <c r="G28">
        <v>39</v>
      </c>
      <c r="H28">
        <v>1</v>
      </c>
      <c r="I28" t="s">
        <v>276</v>
      </c>
      <c r="J28" t="s">
        <v>3</v>
      </c>
      <c r="K28" t="s">
        <v>277</v>
      </c>
      <c r="L28">
        <v>1191</v>
      </c>
      <c r="N28">
        <v>1013</v>
      </c>
      <c r="O28" t="s">
        <v>278</v>
      </c>
      <c r="P28" t="s">
        <v>278</v>
      </c>
      <c r="Q28">
        <v>1</v>
      </c>
      <c r="W28">
        <v>0</v>
      </c>
      <c r="X28">
        <v>476480486</v>
      </c>
      <c r="Y28">
        <f t="shared" si="0"/>
        <v>29.59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1</v>
      </c>
      <c r="AJ28">
        <v>1</v>
      </c>
      <c r="AK28">
        <v>1</v>
      </c>
      <c r="AL28">
        <v>1</v>
      </c>
      <c r="AM28">
        <v>-2</v>
      </c>
      <c r="AN28">
        <v>0</v>
      </c>
      <c r="AO28">
        <v>1</v>
      </c>
      <c r="AP28">
        <v>0</v>
      </c>
      <c r="AQ28">
        <v>0</v>
      </c>
      <c r="AR28">
        <v>0</v>
      </c>
      <c r="AS28" t="s">
        <v>3</v>
      </c>
      <c r="AT28">
        <v>29.59</v>
      </c>
      <c r="AU28" t="s">
        <v>3</v>
      </c>
      <c r="AV28">
        <v>1</v>
      </c>
      <c r="AW28">
        <v>2</v>
      </c>
      <c r="AX28">
        <v>75704066</v>
      </c>
      <c r="AY28">
        <v>1</v>
      </c>
      <c r="AZ28">
        <v>0</v>
      </c>
      <c r="BA28">
        <v>26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U28">
        <f>ROUND(AT28*Source!I43*AH28*AL28,2)</f>
        <v>0</v>
      </c>
      <c r="CV28">
        <f>ROUND(Y28*Source!I43,9)</f>
        <v>16.2745</v>
      </c>
      <c r="CW28">
        <v>0</v>
      </c>
      <c r="CX28">
        <f>ROUND(Y28*Source!I43,9)</f>
        <v>16.2745</v>
      </c>
      <c r="CY28">
        <f>AD28</f>
        <v>0</v>
      </c>
      <c r="CZ28">
        <f>AH28</f>
        <v>0</v>
      </c>
      <c r="DA28">
        <f>AL28</f>
        <v>1</v>
      </c>
      <c r="DB28">
        <f t="shared" si="1"/>
        <v>0</v>
      </c>
      <c r="DC28">
        <f t="shared" si="2"/>
        <v>0</v>
      </c>
      <c r="DD28" t="s">
        <v>3</v>
      </c>
      <c r="DE28" t="s">
        <v>3</v>
      </c>
      <c r="DF28">
        <f t="shared" si="3"/>
        <v>0</v>
      </c>
      <c r="DG28">
        <f t="shared" si="4"/>
        <v>0</v>
      </c>
      <c r="DH28">
        <f t="shared" si="5"/>
        <v>0</v>
      </c>
      <c r="DI28">
        <f t="shared" si="6"/>
        <v>0</v>
      </c>
      <c r="DJ28">
        <f>DI28</f>
        <v>0</v>
      </c>
      <c r="DK28">
        <v>0</v>
      </c>
      <c r="DL28" t="s">
        <v>3</v>
      </c>
      <c r="DM28">
        <v>0</v>
      </c>
      <c r="DN28" t="s">
        <v>3</v>
      </c>
      <c r="DO28">
        <v>0</v>
      </c>
    </row>
    <row r="29" spans="1:119" x14ac:dyDescent="0.2">
      <c r="A29">
        <f>ROW(Source!A43)</f>
        <v>43</v>
      </c>
      <c r="B29">
        <v>75703208</v>
      </c>
      <c r="C29">
        <v>75703440</v>
      </c>
      <c r="D29">
        <v>75388182</v>
      </c>
      <c r="E29">
        <v>1</v>
      </c>
      <c r="F29">
        <v>1</v>
      </c>
      <c r="G29">
        <v>39</v>
      </c>
      <c r="H29">
        <v>2</v>
      </c>
      <c r="I29" t="s">
        <v>300</v>
      </c>
      <c r="J29" t="s">
        <v>301</v>
      </c>
      <c r="K29" t="s">
        <v>302</v>
      </c>
      <c r="L29">
        <v>1368</v>
      </c>
      <c r="N29">
        <v>1011</v>
      </c>
      <c r="O29" t="s">
        <v>282</v>
      </c>
      <c r="P29" t="s">
        <v>282</v>
      </c>
      <c r="Q29">
        <v>1</v>
      </c>
      <c r="W29">
        <v>0</v>
      </c>
      <c r="X29">
        <v>64700738</v>
      </c>
      <c r="Y29">
        <f t="shared" si="0"/>
        <v>6.64</v>
      </c>
      <c r="AA29">
        <v>0</v>
      </c>
      <c r="AB29">
        <v>56.19</v>
      </c>
      <c r="AC29">
        <v>0.31</v>
      </c>
      <c r="AD29">
        <v>0</v>
      </c>
      <c r="AE29">
        <v>0</v>
      </c>
      <c r="AF29">
        <v>56.19</v>
      </c>
      <c r="AG29">
        <v>0.31</v>
      </c>
      <c r="AH29">
        <v>0</v>
      </c>
      <c r="AI29">
        <v>1</v>
      </c>
      <c r="AJ29">
        <v>1</v>
      </c>
      <c r="AK29">
        <v>1</v>
      </c>
      <c r="AL29">
        <v>1</v>
      </c>
      <c r="AM29">
        <v>-2</v>
      </c>
      <c r="AN29">
        <v>0</v>
      </c>
      <c r="AO29">
        <v>1</v>
      </c>
      <c r="AP29">
        <v>0</v>
      </c>
      <c r="AQ29">
        <v>0</v>
      </c>
      <c r="AR29">
        <v>0</v>
      </c>
      <c r="AS29" t="s">
        <v>3</v>
      </c>
      <c r="AT29">
        <v>6.64</v>
      </c>
      <c r="AU29" t="s">
        <v>3</v>
      </c>
      <c r="AV29">
        <v>0</v>
      </c>
      <c r="AW29">
        <v>2</v>
      </c>
      <c r="AX29">
        <v>75704067</v>
      </c>
      <c r="AY29">
        <v>1</v>
      </c>
      <c r="AZ29">
        <v>0</v>
      </c>
      <c r="BA29">
        <v>27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V29">
        <v>0</v>
      </c>
      <c r="CW29">
        <f>ROUND(Y29*Source!I43*DO29,9)</f>
        <v>0</v>
      </c>
      <c r="CX29">
        <f>ROUND(Y29*Source!I43,9)</f>
        <v>3.6520000000000001</v>
      </c>
      <c r="CY29">
        <f>AB29</f>
        <v>56.19</v>
      </c>
      <c r="CZ29">
        <f>AF29</f>
        <v>56.19</v>
      </c>
      <c r="DA29">
        <f>AJ29</f>
        <v>1</v>
      </c>
      <c r="DB29">
        <f t="shared" si="1"/>
        <v>373.1</v>
      </c>
      <c r="DC29">
        <f t="shared" si="2"/>
        <v>2.06</v>
      </c>
      <c r="DD29" t="s">
        <v>3</v>
      </c>
      <c r="DE29" t="s">
        <v>3</v>
      </c>
      <c r="DF29">
        <f t="shared" si="3"/>
        <v>0</v>
      </c>
      <c r="DG29">
        <f t="shared" si="4"/>
        <v>205.21</v>
      </c>
      <c r="DH29">
        <f t="shared" si="5"/>
        <v>1.1299999999999999</v>
      </c>
      <c r="DI29">
        <f t="shared" si="6"/>
        <v>0</v>
      </c>
      <c r="DJ29">
        <f>DG29</f>
        <v>205.21</v>
      </c>
      <c r="DK29">
        <v>0</v>
      </c>
      <c r="DL29" t="s">
        <v>3</v>
      </c>
      <c r="DM29">
        <v>0</v>
      </c>
      <c r="DN29" t="s">
        <v>3</v>
      </c>
      <c r="DO29">
        <v>0</v>
      </c>
    </row>
    <row r="30" spans="1:119" x14ac:dyDescent="0.2">
      <c r="A30">
        <f>ROW(Source!A43)</f>
        <v>43</v>
      </c>
      <c r="B30">
        <v>75703208</v>
      </c>
      <c r="C30">
        <v>75703440</v>
      </c>
      <c r="D30">
        <v>75389982</v>
      </c>
      <c r="E30">
        <v>1</v>
      </c>
      <c r="F30">
        <v>1</v>
      </c>
      <c r="G30">
        <v>39</v>
      </c>
      <c r="H30">
        <v>3</v>
      </c>
      <c r="I30" t="s">
        <v>79</v>
      </c>
      <c r="J30" t="s">
        <v>81</v>
      </c>
      <c r="K30" t="s">
        <v>80</v>
      </c>
      <c r="L30">
        <v>1327</v>
      </c>
      <c r="N30">
        <v>1005</v>
      </c>
      <c r="O30" t="s">
        <v>76</v>
      </c>
      <c r="P30" t="s">
        <v>76</v>
      </c>
      <c r="Q30">
        <v>1</v>
      </c>
      <c r="W30">
        <v>1</v>
      </c>
      <c r="X30">
        <v>934093876</v>
      </c>
      <c r="Y30">
        <f t="shared" si="0"/>
        <v>-103</v>
      </c>
      <c r="AA30">
        <v>20.420000000000002</v>
      </c>
      <c r="AB30">
        <v>0</v>
      </c>
      <c r="AC30">
        <v>0</v>
      </c>
      <c r="AD30">
        <v>0</v>
      </c>
      <c r="AE30">
        <v>20.420000000000002</v>
      </c>
      <c r="AF30">
        <v>0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M30">
        <v>0</v>
      </c>
      <c r="AN30">
        <v>0</v>
      </c>
      <c r="AO30">
        <v>1</v>
      </c>
      <c r="AP30">
        <v>0</v>
      </c>
      <c r="AQ30">
        <v>0</v>
      </c>
      <c r="AR30">
        <v>0</v>
      </c>
      <c r="AS30" t="s">
        <v>3</v>
      </c>
      <c r="AT30">
        <v>-103</v>
      </c>
      <c r="AU30" t="s">
        <v>3</v>
      </c>
      <c r="AV30">
        <v>0</v>
      </c>
      <c r="AW30">
        <v>2</v>
      </c>
      <c r="AX30">
        <v>75704068</v>
      </c>
      <c r="AY30">
        <v>1</v>
      </c>
      <c r="AZ30">
        <v>6144</v>
      </c>
      <c r="BA30">
        <v>28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V30">
        <v>0</v>
      </c>
      <c r="CW30">
        <v>0</v>
      </c>
      <c r="CX30">
        <f>ROUND(Y30*Source!I43,9)</f>
        <v>-56.65</v>
      </c>
      <c r="CY30">
        <f>AA30</f>
        <v>20.420000000000002</v>
      </c>
      <c r="CZ30">
        <f>AE30</f>
        <v>20.420000000000002</v>
      </c>
      <c r="DA30">
        <f>AI30</f>
        <v>1</v>
      </c>
      <c r="DB30">
        <f t="shared" si="1"/>
        <v>-2103.2600000000002</v>
      </c>
      <c r="DC30">
        <f t="shared" si="2"/>
        <v>0</v>
      </c>
      <c r="DD30" t="s">
        <v>3</v>
      </c>
      <c r="DE30" t="s">
        <v>3</v>
      </c>
      <c r="DF30">
        <f t="shared" si="3"/>
        <v>-1156.79</v>
      </c>
      <c r="DG30">
        <f t="shared" si="4"/>
        <v>0</v>
      </c>
      <c r="DH30">
        <f t="shared" si="5"/>
        <v>0</v>
      </c>
      <c r="DI30">
        <f t="shared" si="6"/>
        <v>0</v>
      </c>
      <c r="DJ30">
        <f>DF30</f>
        <v>-1156.79</v>
      </c>
      <c r="DK30">
        <v>0</v>
      </c>
      <c r="DL30" t="s">
        <v>3</v>
      </c>
      <c r="DM30">
        <v>0</v>
      </c>
      <c r="DN30" t="s">
        <v>3</v>
      </c>
      <c r="DO30">
        <v>0</v>
      </c>
    </row>
    <row r="31" spans="1:119" x14ac:dyDescent="0.2">
      <c r="A31">
        <f>ROW(Source!A43)</f>
        <v>43</v>
      </c>
      <c r="B31">
        <v>75703208</v>
      </c>
      <c r="C31">
        <v>75703440</v>
      </c>
      <c r="D31">
        <v>75390660</v>
      </c>
      <c r="E31">
        <v>1</v>
      </c>
      <c r="F31">
        <v>1</v>
      </c>
      <c r="G31">
        <v>39</v>
      </c>
      <c r="H31">
        <v>3</v>
      </c>
      <c r="I31" t="s">
        <v>322</v>
      </c>
      <c r="J31" t="s">
        <v>323</v>
      </c>
      <c r="K31" t="s">
        <v>324</v>
      </c>
      <c r="L31">
        <v>1346</v>
      </c>
      <c r="N31">
        <v>1009</v>
      </c>
      <c r="O31" t="s">
        <v>51</v>
      </c>
      <c r="P31" t="s">
        <v>51</v>
      </c>
      <c r="Q31">
        <v>1</v>
      </c>
      <c r="W31">
        <v>0</v>
      </c>
      <c r="X31">
        <v>713614851</v>
      </c>
      <c r="Y31">
        <f t="shared" si="0"/>
        <v>30.9</v>
      </c>
      <c r="AA31">
        <v>221.14</v>
      </c>
      <c r="AB31">
        <v>0</v>
      </c>
      <c r="AC31">
        <v>0</v>
      </c>
      <c r="AD31">
        <v>0</v>
      </c>
      <c r="AE31">
        <v>221.14</v>
      </c>
      <c r="AF31">
        <v>0</v>
      </c>
      <c r="AG31">
        <v>0</v>
      </c>
      <c r="AH31">
        <v>0</v>
      </c>
      <c r="AI31">
        <v>1</v>
      </c>
      <c r="AJ31">
        <v>1</v>
      </c>
      <c r="AK31">
        <v>1</v>
      </c>
      <c r="AL31">
        <v>1</v>
      </c>
      <c r="AM31">
        <v>-2</v>
      </c>
      <c r="AN31">
        <v>0</v>
      </c>
      <c r="AO31">
        <v>1</v>
      </c>
      <c r="AP31">
        <v>0</v>
      </c>
      <c r="AQ31">
        <v>0</v>
      </c>
      <c r="AR31">
        <v>0</v>
      </c>
      <c r="AS31" t="s">
        <v>3</v>
      </c>
      <c r="AT31">
        <v>30.9</v>
      </c>
      <c r="AU31" t="s">
        <v>3</v>
      </c>
      <c r="AV31">
        <v>0</v>
      </c>
      <c r="AW31">
        <v>2</v>
      </c>
      <c r="AX31">
        <v>75704069</v>
      </c>
      <c r="AY31">
        <v>1</v>
      </c>
      <c r="AZ31">
        <v>0</v>
      </c>
      <c r="BA31">
        <v>29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V31">
        <v>0</v>
      </c>
      <c r="CW31">
        <v>0</v>
      </c>
      <c r="CX31">
        <f>ROUND(Y31*Source!I43,9)</f>
        <v>16.995000000000001</v>
      </c>
      <c r="CY31">
        <f>AA31</f>
        <v>221.14</v>
      </c>
      <c r="CZ31">
        <f>AE31</f>
        <v>221.14</v>
      </c>
      <c r="DA31">
        <f>AI31</f>
        <v>1</v>
      </c>
      <c r="DB31">
        <f t="shared" si="1"/>
        <v>6833.23</v>
      </c>
      <c r="DC31">
        <f t="shared" si="2"/>
        <v>0</v>
      </c>
      <c r="DD31" t="s">
        <v>3</v>
      </c>
      <c r="DE31" t="s">
        <v>3</v>
      </c>
      <c r="DF31">
        <f t="shared" si="3"/>
        <v>3758.27</v>
      </c>
      <c r="DG31">
        <f t="shared" si="4"/>
        <v>0</v>
      </c>
      <c r="DH31">
        <f t="shared" si="5"/>
        <v>0</v>
      </c>
      <c r="DI31">
        <f t="shared" si="6"/>
        <v>0</v>
      </c>
      <c r="DJ31">
        <f>DF31</f>
        <v>3758.27</v>
      </c>
      <c r="DK31">
        <v>0</v>
      </c>
      <c r="DL31" t="s">
        <v>3</v>
      </c>
      <c r="DM31">
        <v>0</v>
      </c>
      <c r="DN31" t="s">
        <v>3</v>
      </c>
      <c r="DO31">
        <v>0</v>
      </c>
    </row>
    <row r="32" spans="1:119" x14ac:dyDescent="0.2">
      <c r="A32">
        <f>ROW(Source!A43)</f>
        <v>43</v>
      </c>
      <c r="B32">
        <v>75703208</v>
      </c>
      <c r="C32">
        <v>75703440</v>
      </c>
      <c r="D32">
        <v>75389139</v>
      </c>
      <c r="E32">
        <v>1</v>
      </c>
      <c r="F32">
        <v>1</v>
      </c>
      <c r="G32">
        <v>39</v>
      </c>
      <c r="H32">
        <v>3</v>
      </c>
      <c r="I32" t="s">
        <v>325</v>
      </c>
      <c r="J32" t="s">
        <v>326</v>
      </c>
      <c r="K32" t="s">
        <v>327</v>
      </c>
      <c r="L32">
        <v>1346</v>
      </c>
      <c r="N32">
        <v>1009</v>
      </c>
      <c r="O32" t="s">
        <v>51</v>
      </c>
      <c r="P32" t="s">
        <v>51</v>
      </c>
      <c r="Q32">
        <v>1</v>
      </c>
      <c r="W32">
        <v>0</v>
      </c>
      <c r="X32">
        <v>538144241</v>
      </c>
      <c r="Y32">
        <f t="shared" si="0"/>
        <v>10.3</v>
      </c>
      <c r="AA32">
        <v>138.59</v>
      </c>
      <c r="AB32">
        <v>0</v>
      </c>
      <c r="AC32">
        <v>0</v>
      </c>
      <c r="AD32">
        <v>0</v>
      </c>
      <c r="AE32">
        <v>138.59</v>
      </c>
      <c r="AF32">
        <v>0</v>
      </c>
      <c r="AG32">
        <v>0</v>
      </c>
      <c r="AH32">
        <v>0</v>
      </c>
      <c r="AI32">
        <v>1</v>
      </c>
      <c r="AJ32">
        <v>1</v>
      </c>
      <c r="AK32">
        <v>1</v>
      </c>
      <c r="AL32">
        <v>1</v>
      </c>
      <c r="AM32">
        <v>-2</v>
      </c>
      <c r="AN32">
        <v>0</v>
      </c>
      <c r="AO32">
        <v>1</v>
      </c>
      <c r="AP32">
        <v>0</v>
      </c>
      <c r="AQ32">
        <v>0</v>
      </c>
      <c r="AR32">
        <v>0</v>
      </c>
      <c r="AS32" t="s">
        <v>3</v>
      </c>
      <c r="AT32">
        <v>10.3</v>
      </c>
      <c r="AU32" t="s">
        <v>3</v>
      </c>
      <c r="AV32">
        <v>0</v>
      </c>
      <c r="AW32">
        <v>2</v>
      </c>
      <c r="AX32">
        <v>75704070</v>
      </c>
      <c r="AY32">
        <v>1</v>
      </c>
      <c r="AZ32">
        <v>0</v>
      </c>
      <c r="BA32">
        <v>30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V32">
        <v>0</v>
      </c>
      <c r="CW32">
        <v>0</v>
      </c>
      <c r="CX32">
        <f>ROUND(Y32*Source!I43,9)</f>
        <v>5.665</v>
      </c>
      <c r="CY32">
        <f>AA32</f>
        <v>138.59</v>
      </c>
      <c r="CZ32">
        <f>AE32</f>
        <v>138.59</v>
      </c>
      <c r="DA32">
        <f>AI32</f>
        <v>1</v>
      </c>
      <c r="DB32">
        <f t="shared" si="1"/>
        <v>1427.48</v>
      </c>
      <c r="DC32">
        <f t="shared" si="2"/>
        <v>0</v>
      </c>
      <c r="DD32" t="s">
        <v>3</v>
      </c>
      <c r="DE32" t="s">
        <v>3</v>
      </c>
      <c r="DF32">
        <f t="shared" si="3"/>
        <v>785.11</v>
      </c>
      <c r="DG32">
        <f t="shared" si="4"/>
        <v>0</v>
      </c>
      <c r="DH32">
        <f t="shared" si="5"/>
        <v>0</v>
      </c>
      <c r="DI32">
        <f t="shared" si="6"/>
        <v>0</v>
      </c>
      <c r="DJ32">
        <f>DF32</f>
        <v>785.11</v>
      </c>
      <c r="DK32">
        <v>0</v>
      </c>
      <c r="DL32" t="s">
        <v>3</v>
      </c>
      <c r="DM32">
        <v>0</v>
      </c>
      <c r="DN32" t="s">
        <v>3</v>
      </c>
      <c r="DO32">
        <v>0</v>
      </c>
    </row>
    <row r="33" spans="1:119" x14ac:dyDescent="0.2">
      <c r="A33">
        <f>ROW(Source!A43)</f>
        <v>43</v>
      </c>
      <c r="B33">
        <v>75703208</v>
      </c>
      <c r="C33">
        <v>75703440</v>
      </c>
      <c r="D33">
        <v>0</v>
      </c>
      <c r="E33">
        <v>39</v>
      </c>
      <c r="F33">
        <v>1</v>
      </c>
      <c r="G33">
        <v>39</v>
      </c>
      <c r="H33">
        <v>3</v>
      </c>
      <c r="I33" t="s">
        <v>34</v>
      </c>
      <c r="J33" t="s">
        <v>3</v>
      </c>
      <c r="K33" t="s">
        <v>75</v>
      </c>
      <c r="L33">
        <v>1327</v>
      </c>
      <c r="N33">
        <v>1005</v>
      </c>
      <c r="O33" t="s">
        <v>76</v>
      </c>
      <c r="P33" t="s">
        <v>76</v>
      </c>
      <c r="Q33">
        <v>1</v>
      </c>
      <c r="W33">
        <v>0</v>
      </c>
      <c r="X33">
        <v>236700427</v>
      </c>
      <c r="Y33">
        <f t="shared" ref="Y33:Y56" si="7">AT33</f>
        <v>103</v>
      </c>
      <c r="AA33">
        <v>22.78</v>
      </c>
      <c r="AB33">
        <v>0</v>
      </c>
      <c r="AC33">
        <v>0</v>
      </c>
      <c r="AD33">
        <v>0</v>
      </c>
      <c r="AE33">
        <v>22.78</v>
      </c>
      <c r="AF33">
        <v>0</v>
      </c>
      <c r="AG33">
        <v>0</v>
      </c>
      <c r="AH33">
        <v>0</v>
      </c>
      <c r="AI33">
        <v>1</v>
      </c>
      <c r="AJ33">
        <v>1</v>
      </c>
      <c r="AK33">
        <v>1</v>
      </c>
      <c r="AL33">
        <v>1</v>
      </c>
      <c r="AM33">
        <v>0</v>
      </c>
      <c r="AN33">
        <v>0</v>
      </c>
      <c r="AO33">
        <v>0</v>
      </c>
      <c r="AP33">
        <v>1</v>
      </c>
      <c r="AQ33">
        <v>0</v>
      </c>
      <c r="AR33">
        <v>0</v>
      </c>
      <c r="AS33" t="s">
        <v>3</v>
      </c>
      <c r="AT33">
        <v>103</v>
      </c>
      <c r="AU33" t="s">
        <v>3</v>
      </c>
      <c r="AV33">
        <v>0</v>
      </c>
      <c r="AW33">
        <v>1</v>
      </c>
      <c r="AX33">
        <v>-1</v>
      </c>
      <c r="AY33">
        <v>0</v>
      </c>
      <c r="AZ33">
        <v>0</v>
      </c>
      <c r="BA33" t="s">
        <v>3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V33">
        <v>0</v>
      </c>
      <c r="CW33">
        <v>0</v>
      </c>
      <c r="CX33">
        <f>ROUND(Y33*Source!I43,9)</f>
        <v>56.65</v>
      </c>
      <c r="CY33">
        <f>AA33</f>
        <v>22.78</v>
      </c>
      <c r="CZ33">
        <f>AE33</f>
        <v>22.78</v>
      </c>
      <c r="DA33">
        <f>AI33</f>
        <v>1</v>
      </c>
      <c r="DB33">
        <f t="shared" ref="DB33:DB56" si="8">ROUND(ROUND(AT33*CZ33,2),6)</f>
        <v>2346.34</v>
      </c>
      <c r="DC33">
        <f t="shared" ref="DC33:DC56" si="9">ROUND(ROUND(AT33*AG33,2),6)</f>
        <v>0</v>
      </c>
      <c r="DD33" t="s">
        <v>3</v>
      </c>
      <c r="DE33" t="s">
        <v>3</v>
      </c>
      <c r="DF33">
        <f t="shared" ref="DF33:DF64" si="10">ROUND(ROUND(AE33,2)*CX33,2)</f>
        <v>1290.49</v>
      </c>
      <c r="DG33">
        <f t="shared" ref="DG33:DG64" si="11">ROUND(ROUND(AF33,2)*CX33,2)</f>
        <v>0</v>
      </c>
      <c r="DH33">
        <f t="shared" ref="DH33:DH64" si="12">ROUND(ROUND(AG33,2)*CX33,2)</f>
        <v>0</v>
      </c>
      <c r="DI33">
        <f t="shared" ref="DI33:DI64" si="13">ROUND(ROUND(AH33,2)*CX33,2)</f>
        <v>0</v>
      </c>
      <c r="DJ33">
        <f>DF33</f>
        <v>1290.49</v>
      </c>
      <c r="DK33">
        <v>0</v>
      </c>
      <c r="DL33" t="s">
        <v>3</v>
      </c>
      <c r="DM33">
        <v>0</v>
      </c>
      <c r="DN33" t="s">
        <v>3</v>
      </c>
      <c r="DO33">
        <v>0</v>
      </c>
    </row>
    <row r="34" spans="1:119" x14ac:dyDescent="0.2">
      <c r="A34">
        <f>ROW(Source!A46)</f>
        <v>46</v>
      </c>
      <c r="B34">
        <v>75703208</v>
      </c>
      <c r="C34">
        <v>75703454</v>
      </c>
      <c r="D34">
        <v>75386788</v>
      </c>
      <c r="E34">
        <v>39</v>
      </c>
      <c r="F34">
        <v>1</v>
      </c>
      <c r="G34">
        <v>39</v>
      </c>
      <c r="H34">
        <v>1</v>
      </c>
      <c r="I34" t="s">
        <v>276</v>
      </c>
      <c r="J34" t="s">
        <v>3</v>
      </c>
      <c r="K34" t="s">
        <v>277</v>
      </c>
      <c r="L34">
        <v>1191</v>
      </c>
      <c r="N34">
        <v>1013</v>
      </c>
      <c r="O34" t="s">
        <v>278</v>
      </c>
      <c r="P34" t="s">
        <v>278</v>
      </c>
      <c r="Q34">
        <v>1</v>
      </c>
      <c r="W34">
        <v>0</v>
      </c>
      <c r="X34">
        <v>476480486</v>
      </c>
      <c r="Y34">
        <f t="shared" si="7"/>
        <v>60.04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1</v>
      </c>
      <c r="AJ34">
        <v>1</v>
      </c>
      <c r="AK34">
        <v>1</v>
      </c>
      <c r="AL34">
        <v>1</v>
      </c>
      <c r="AM34">
        <v>-2</v>
      </c>
      <c r="AN34">
        <v>0</v>
      </c>
      <c r="AO34">
        <v>1</v>
      </c>
      <c r="AP34">
        <v>0</v>
      </c>
      <c r="AQ34">
        <v>0</v>
      </c>
      <c r="AR34">
        <v>0</v>
      </c>
      <c r="AS34" t="s">
        <v>3</v>
      </c>
      <c r="AT34">
        <v>60.04</v>
      </c>
      <c r="AU34" t="s">
        <v>3</v>
      </c>
      <c r="AV34">
        <v>1</v>
      </c>
      <c r="AW34">
        <v>2</v>
      </c>
      <c r="AX34">
        <v>75704071</v>
      </c>
      <c r="AY34">
        <v>1</v>
      </c>
      <c r="AZ34">
        <v>0</v>
      </c>
      <c r="BA34">
        <v>31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U34">
        <f>ROUND(AT34*Source!I46*AH34*AL34,2)</f>
        <v>0</v>
      </c>
      <c r="CV34">
        <f>ROUND(Y34*Source!I46,9)</f>
        <v>33.021999999999998</v>
      </c>
      <c r="CW34">
        <v>0</v>
      </c>
      <c r="CX34">
        <f>ROUND(Y34*Source!I46,9)</f>
        <v>33.021999999999998</v>
      </c>
      <c r="CY34">
        <f>AD34</f>
        <v>0</v>
      </c>
      <c r="CZ34">
        <f>AH34</f>
        <v>0</v>
      </c>
      <c r="DA34">
        <f>AL34</f>
        <v>1</v>
      </c>
      <c r="DB34">
        <f t="shared" si="8"/>
        <v>0</v>
      </c>
      <c r="DC34">
        <f t="shared" si="9"/>
        <v>0</v>
      </c>
      <c r="DD34" t="s">
        <v>3</v>
      </c>
      <c r="DE34" t="s">
        <v>3</v>
      </c>
      <c r="DF34">
        <f t="shared" si="10"/>
        <v>0</v>
      </c>
      <c r="DG34">
        <f t="shared" si="11"/>
        <v>0</v>
      </c>
      <c r="DH34">
        <f t="shared" si="12"/>
        <v>0</v>
      </c>
      <c r="DI34">
        <f t="shared" si="13"/>
        <v>0</v>
      </c>
      <c r="DJ34">
        <f>DI34</f>
        <v>0</v>
      </c>
      <c r="DK34">
        <v>0</v>
      </c>
      <c r="DL34" t="s">
        <v>3</v>
      </c>
      <c r="DM34">
        <v>0</v>
      </c>
      <c r="DN34" t="s">
        <v>3</v>
      </c>
      <c r="DO34">
        <v>0</v>
      </c>
    </row>
    <row r="35" spans="1:119" x14ac:dyDescent="0.2">
      <c r="A35">
        <f>ROW(Source!A46)</f>
        <v>46</v>
      </c>
      <c r="B35">
        <v>75703208</v>
      </c>
      <c r="C35">
        <v>75703454</v>
      </c>
      <c r="D35">
        <v>75388182</v>
      </c>
      <c r="E35">
        <v>1</v>
      </c>
      <c r="F35">
        <v>1</v>
      </c>
      <c r="G35">
        <v>39</v>
      </c>
      <c r="H35">
        <v>2</v>
      </c>
      <c r="I35" t="s">
        <v>300</v>
      </c>
      <c r="J35" t="s">
        <v>301</v>
      </c>
      <c r="K35" t="s">
        <v>302</v>
      </c>
      <c r="L35">
        <v>1368</v>
      </c>
      <c r="N35">
        <v>1011</v>
      </c>
      <c r="O35" t="s">
        <v>282</v>
      </c>
      <c r="P35" t="s">
        <v>282</v>
      </c>
      <c r="Q35">
        <v>1</v>
      </c>
      <c r="W35">
        <v>0</v>
      </c>
      <c r="X35">
        <v>64700738</v>
      </c>
      <c r="Y35">
        <f t="shared" si="7"/>
        <v>6.64</v>
      </c>
      <c r="AA35">
        <v>0</v>
      </c>
      <c r="AB35">
        <v>56.19</v>
      </c>
      <c r="AC35">
        <v>0.31</v>
      </c>
      <c r="AD35">
        <v>0</v>
      </c>
      <c r="AE35">
        <v>0</v>
      </c>
      <c r="AF35">
        <v>56.19</v>
      </c>
      <c r="AG35">
        <v>0.31</v>
      </c>
      <c r="AH35">
        <v>0</v>
      </c>
      <c r="AI35">
        <v>1</v>
      </c>
      <c r="AJ35">
        <v>1</v>
      </c>
      <c r="AK35">
        <v>1</v>
      </c>
      <c r="AL35">
        <v>1</v>
      </c>
      <c r="AM35">
        <v>-2</v>
      </c>
      <c r="AN35">
        <v>0</v>
      </c>
      <c r="AO35">
        <v>1</v>
      </c>
      <c r="AP35">
        <v>0</v>
      </c>
      <c r="AQ35">
        <v>0</v>
      </c>
      <c r="AR35">
        <v>0</v>
      </c>
      <c r="AS35" t="s">
        <v>3</v>
      </c>
      <c r="AT35">
        <v>6.64</v>
      </c>
      <c r="AU35" t="s">
        <v>3</v>
      </c>
      <c r="AV35">
        <v>0</v>
      </c>
      <c r="AW35">
        <v>2</v>
      </c>
      <c r="AX35">
        <v>75704072</v>
      </c>
      <c r="AY35">
        <v>1</v>
      </c>
      <c r="AZ35">
        <v>0</v>
      </c>
      <c r="BA35">
        <v>32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V35">
        <v>0</v>
      </c>
      <c r="CW35">
        <f>ROUND(Y35*Source!I46*DO35,9)</f>
        <v>0</v>
      </c>
      <c r="CX35">
        <f>ROUND(Y35*Source!I46,9)</f>
        <v>3.6520000000000001</v>
      </c>
      <c r="CY35">
        <f>AB35</f>
        <v>56.19</v>
      </c>
      <c r="CZ35">
        <f>AF35</f>
        <v>56.19</v>
      </c>
      <c r="DA35">
        <f>AJ35</f>
        <v>1</v>
      </c>
      <c r="DB35">
        <f t="shared" si="8"/>
        <v>373.1</v>
      </c>
      <c r="DC35">
        <f t="shared" si="9"/>
        <v>2.06</v>
      </c>
      <c r="DD35" t="s">
        <v>3</v>
      </c>
      <c r="DE35" t="s">
        <v>3</v>
      </c>
      <c r="DF35">
        <f t="shared" si="10"/>
        <v>0</v>
      </c>
      <c r="DG35">
        <f t="shared" si="11"/>
        <v>205.21</v>
      </c>
      <c r="DH35">
        <f t="shared" si="12"/>
        <v>1.1299999999999999</v>
      </c>
      <c r="DI35">
        <f t="shared" si="13"/>
        <v>0</v>
      </c>
      <c r="DJ35">
        <f>DG35</f>
        <v>205.21</v>
      </c>
      <c r="DK35">
        <v>0</v>
      </c>
      <c r="DL35" t="s">
        <v>3</v>
      </c>
      <c r="DM35">
        <v>0</v>
      </c>
      <c r="DN35" t="s">
        <v>3</v>
      </c>
      <c r="DO35">
        <v>0</v>
      </c>
    </row>
    <row r="36" spans="1:119" x14ac:dyDescent="0.2">
      <c r="A36">
        <f>ROW(Source!A46)</f>
        <v>46</v>
      </c>
      <c r="B36">
        <v>75703208</v>
      </c>
      <c r="C36">
        <v>75703454</v>
      </c>
      <c r="D36">
        <v>75388325</v>
      </c>
      <c r="E36">
        <v>1</v>
      </c>
      <c r="F36">
        <v>1</v>
      </c>
      <c r="G36">
        <v>39</v>
      </c>
      <c r="H36">
        <v>2</v>
      </c>
      <c r="I36" t="s">
        <v>328</v>
      </c>
      <c r="J36" t="s">
        <v>329</v>
      </c>
      <c r="K36" t="s">
        <v>330</v>
      </c>
      <c r="L36">
        <v>1368</v>
      </c>
      <c r="N36">
        <v>1011</v>
      </c>
      <c r="O36" t="s">
        <v>282</v>
      </c>
      <c r="P36" t="s">
        <v>282</v>
      </c>
      <c r="Q36">
        <v>1</v>
      </c>
      <c r="W36">
        <v>0</v>
      </c>
      <c r="X36">
        <v>-476797040</v>
      </c>
      <c r="Y36">
        <f t="shared" si="7"/>
        <v>4.7</v>
      </c>
      <c r="AA36">
        <v>0</v>
      </c>
      <c r="AB36">
        <v>10.02</v>
      </c>
      <c r="AC36">
        <v>0</v>
      </c>
      <c r="AD36">
        <v>0</v>
      </c>
      <c r="AE36">
        <v>0</v>
      </c>
      <c r="AF36">
        <v>10.02</v>
      </c>
      <c r="AG36">
        <v>0</v>
      </c>
      <c r="AH36">
        <v>0</v>
      </c>
      <c r="AI36">
        <v>1</v>
      </c>
      <c r="AJ36">
        <v>1</v>
      </c>
      <c r="AK36">
        <v>1</v>
      </c>
      <c r="AL36">
        <v>1</v>
      </c>
      <c r="AM36">
        <v>-2</v>
      </c>
      <c r="AN36">
        <v>0</v>
      </c>
      <c r="AO36">
        <v>1</v>
      </c>
      <c r="AP36">
        <v>0</v>
      </c>
      <c r="AQ36">
        <v>0</v>
      </c>
      <c r="AR36">
        <v>0</v>
      </c>
      <c r="AS36" t="s">
        <v>3</v>
      </c>
      <c r="AT36">
        <v>4.7</v>
      </c>
      <c r="AU36" t="s">
        <v>3</v>
      </c>
      <c r="AV36">
        <v>0</v>
      </c>
      <c r="AW36">
        <v>2</v>
      </c>
      <c r="AX36">
        <v>75704073</v>
      </c>
      <c r="AY36">
        <v>1</v>
      </c>
      <c r="AZ36">
        <v>0</v>
      </c>
      <c r="BA36">
        <v>33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V36">
        <v>0</v>
      </c>
      <c r="CW36">
        <f>ROUND(Y36*Source!I46*DO36,9)</f>
        <v>0</v>
      </c>
      <c r="CX36">
        <f>ROUND(Y36*Source!I46,9)</f>
        <v>2.585</v>
      </c>
      <c r="CY36">
        <f>AB36</f>
        <v>10.02</v>
      </c>
      <c r="CZ36">
        <f>AF36</f>
        <v>10.02</v>
      </c>
      <c r="DA36">
        <f>AJ36</f>
        <v>1</v>
      </c>
      <c r="DB36">
        <f t="shared" si="8"/>
        <v>47.09</v>
      </c>
      <c r="DC36">
        <f t="shared" si="9"/>
        <v>0</v>
      </c>
      <c r="DD36" t="s">
        <v>3</v>
      </c>
      <c r="DE36" t="s">
        <v>3</v>
      </c>
      <c r="DF36">
        <f t="shared" si="10"/>
        <v>0</v>
      </c>
      <c r="DG36">
        <f t="shared" si="11"/>
        <v>25.9</v>
      </c>
      <c r="DH36">
        <f t="shared" si="12"/>
        <v>0</v>
      </c>
      <c r="DI36">
        <f t="shared" si="13"/>
        <v>0</v>
      </c>
      <c r="DJ36">
        <f>DG36</f>
        <v>25.9</v>
      </c>
      <c r="DK36">
        <v>0</v>
      </c>
      <c r="DL36" t="s">
        <v>3</v>
      </c>
      <c r="DM36">
        <v>0</v>
      </c>
      <c r="DN36" t="s">
        <v>3</v>
      </c>
      <c r="DO36">
        <v>0</v>
      </c>
    </row>
    <row r="37" spans="1:119" x14ac:dyDescent="0.2">
      <c r="A37">
        <f>ROW(Source!A46)</f>
        <v>46</v>
      </c>
      <c r="B37">
        <v>75703208</v>
      </c>
      <c r="C37">
        <v>75703454</v>
      </c>
      <c r="D37">
        <v>75388524</v>
      </c>
      <c r="E37">
        <v>1</v>
      </c>
      <c r="F37">
        <v>1</v>
      </c>
      <c r="G37">
        <v>39</v>
      </c>
      <c r="H37">
        <v>2</v>
      </c>
      <c r="I37" t="s">
        <v>331</v>
      </c>
      <c r="J37" t="s">
        <v>332</v>
      </c>
      <c r="K37" t="s">
        <v>333</v>
      </c>
      <c r="L37">
        <v>1368</v>
      </c>
      <c r="N37">
        <v>1011</v>
      </c>
      <c r="O37" t="s">
        <v>282</v>
      </c>
      <c r="P37" t="s">
        <v>282</v>
      </c>
      <c r="Q37">
        <v>1</v>
      </c>
      <c r="W37">
        <v>0</v>
      </c>
      <c r="X37">
        <v>-1279016800</v>
      </c>
      <c r="Y37">
        <f t="shared" si="7"/>
        <v>1.5</v>
      </c>
      <c r="AA37">
        <v>0</v>
      </c>
      <c r="AB37">
        <v>3.57</v>
      </c>
      <c r="AC37">
        <v>0.01</v>
      </c>
      <c r="AD37">
        <v>0</v>
      </c>
      <c r="AE37">
        <v>0</v>
      </c>
      <c r="AF37">
        <v>3.57</v>
      </c>
      <c r="AG37">
        <v>0.01</v>
      </c>
      <c r="AH37">
        <v>0</v>
      </c>
      <c r="AI37">
        <v>1</v>
      </c>
      <c r="AJ37">
        <v>1</v>
      </c>
      <c r="AK37">
        <v>1</v>
      </c>
      <c r="AL37">
        <v>1</v>
      </c>
      <c r="AM37">
        <v>-2</v>
      </c>
      <c r="AN37">
        <v>0</v>
      </c>
      <c r="AO37">
        <v>1</v>
      </c>
      <c r="AP37">
        <v>0</v>
      </c>
      <c r="AQ37">
        <v>0</v>
      </c>
      <c r="AR37">
        <v>0</v>
      </c>
      <c r="AS37" t="s">
        <v>3</v>
      </c>
      <c r="AT37">
        <v>1.5</v>
      </c>
      <c r="AU37" t="s">
        <v>3</v>
      </c>
      <c r="AV37">
        <v>0</v>
      </c>
      <c r="AW37">
        <v>2</v>
      </c>
      <c r="AX37">
        <v>75704074</v>
      </c>
      <c r="AY37">
        <v>1</v>
      </c>
      <c r="AZ37">
        <v>0</v>
      </c>
      <c r="BA37">
        <v>34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V37">
        <v>0</v>
      </c>
      <c r="CW37">
        <f>ROUND(Y37*Source!I46*DO37,9)</f>
        <v>0</v>
      </c>
      <c r="CX37">
        <f>ROUND(Y37*Source!I46,9)</f>
        <v>0.82499999999999996</v>
      </c>
      <c r="CY37">
        <f>AB37</f>
        <v>3.57</v>
      </c>
      <c r="CZ37">
        <f>AF37</f>
        <v>3.57</v>
      </c>
      <c r="DA37">
        <f>AJ37</f>
        <v>1</v>
      </c>
      <c r="DB37">
        <f t="shared" si="8"/>
        <v>5.36</v>
      </c>
      <c r="DC37">
        <f t="shared" si="9"/>
        <v>0.02</v>
      </c>
      <c r="DD37" t="s">
        <v>3</v>
      </c>
      <c r="DE37" t="s">
        <v>3</v>
      </c>
      <c r="DF37">
        <f t="shared" si="10"/>
        <v>0</v>
      </c>
      <c r="DG37">
        <f t="shared" si="11"/>
        <v>2.95</v>
      </c>
      <c r="DH37">
        <f t="shared" si="12"/>
        <v>0.01</v>
      </c>
      <c r="DI37">
        <f t="shared" si="13"/>
        <v>0</v>
      </c>
      <c r="DJ37">
        <f>DG37</f>
        <v>2.95</v>
      </c>
      <c r="DK37">
        <v>0</v>
      </c>
      <c r="DL37" t="s">
        <v>3</v>
      </c>
      <c r="DM37">
        <v>0</v>
      </c>
      <c r="DN37" t="s">
        <v>3</v>
      </c>
      <c r="DO37">
        <v>0</v>
      </c>
    </row>
    <row r="38" spans="1:119" x14ac:dyDescent="0.2">
      <c r="A38">
        <f>ROW(Source!A46)</f>
        <v>46</v>
      </c>
      <c r="B38">
        <v>75703208</v>
      </c>
      <c r="C38">
        <v>75703454</v>
      </c>
      <c r="D38">
        <v>75390660</v>
      </c>
      <c r="E38">
        <v>1</v>
      </c>
      <c r="F38">
        <v>1</v>
      </c>
      <c r="G38">
        <v>39</v>
      </c>
      <c r="H38">
        <v>3</v>
      </c>
      <c r="I38" t="s">
        <v>322</v>
      </c>
      <c r="J38" t="s">
        <v>323</v>
      </c>
      <c r="K38" t="s">
        <v>324</v>
      </c>
      <c r="L38">
        <v>1346</v>
      </c>
      <c r="N38">
        <v>1009</v>
      </c>
      <c r="O38" t="s">
        <v>51</v>
      </c>
      <c r="P38" t="s">
        <v>51</v>
      </c>
      <c r="Q38">
        <v>1</v>
      </c>
      <c r="W38">
        <v>0</v>
      </c>
      <c r="X38">
        <v>713614851</v>
      </c>
      <c r="Y38">
        <f t="shared" si="7"/>
        <v>36.049999999999997</v>
      </c>
      <c r="AA38">
        <v>221.14</v>
      </c>
      <c r="AB38">
        <v>0</v>
      </c>
      <c r="AC38">
        <v>0</v>
      </c>
      <c r="AD38">
        <v>0</v>
      </c>
      <c r="AE38">
        <v>221.14</v>
      </c>
      <c r="AF38">
        <v>0</v>
      </c>
      <c r="AG38">
        <v>0</v>
      </c>
      <c r="AH38">
        <v>0</v>
      </c>
      <c r="AI38">
        <v>1</v>
      </c>
      <c r="AJ38">
        <v>1</v>
      </c>
      <c r="AK38">
        <v>1</v>
      </c>
      <c r="AL38">
        <v>1</v>
      </c>
      <c r="AM38">
        <v>-2</v>
      </c>
      <c r="AN38">
        <v>0</v>
      </c>
      <c r="AO38">
        <v>1</v>
      </c>
      <c r="AP38">
        <v>0</v>
      </c>
      <c r="AQ38">
        <v>0</v>
      </c>
      <c r="AR38">
        <v>0</v>
      </c>
      <c r="AS38" t="s">
        <v>3</v>
      </c>
      <c r="AT38">
        <v>36.049999999999997</v>
      </c>
      <c r="AU38" t="s">
        <v>3</v>
      </c>
      <c r="AV38">
        <v>0</v>
      </c>
      <c r="AW38">
        <v>2</v>
      </c>
      <c r="AX38">
        <v>75704075</v>
      </c>
      <c r="AY38">
        <v>1</v>
      </c>
      <c r="AZ38">
        <v>0</v>
      </c>
      <c r="BA38">
        <v>35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V38">
        <v>0</v>
      </c>
      <c r="CW38">
        <v>0</v>
      </c>
      <c r="CX38">
        <f>ROUND(Y38*Source!I46,9)</f>
        <v>19.827500000000001</v>
      </c>
      <c r="CY38">
        <f>AA38</f>
        <v>221.14</v>
      </c>
      <c r="CZ38">
        <f>AE38</f>
        <v>221.14</v>
      </c>
      <c r="DA38">
        <f>AI38</f>
        <v>1</v>
      </c>
      <c r="DB38">
        <f t="shared" si="8"/>
        <v>7972.1</v>
      </c>
      <c r="DC38">
        <f t="shared" si="9"/>
        <v>0</v>
      </c>
      <c r="DD38" t="s">
        <v>3</v>
      </c>
      <c r="DE38" t="s">
        <v>3</v>
      </c>
      <c r="DF38">
        <f t="shared" si="10"/>
        <v>4384.6499999999996</v>
      </c>
      <c r="DG38">
        <f t="shared" si="11"/>
        <v>0</v>
      </c>
      <c r="DH38">
        <f t="shared" si="12"/>
        <v>0</v>
      </c>
      <c r="DI38">
        <f t="shared" si="13"/>
        <v>0</v>
      </c>
      <c r="DJ38">
        <f>DF38</f>
        <v>4384.6499999999996</v>
      </c>
      <c r="DK38">
        <v>0</v>
      </c>
      <c r="DL38" t="s">
        <v>3</v>
      </c>
      <c r="DM38">
        <v>0</v>
      </c>
      <c r="DN38" t="s">
        <v>3</v>
      </c>
      <c r="DO38">
        <v>0</v>
      </c>
    </row>
    <row r="39" spans="1:119" x14ac:dyDescent="0.2">
      <c r="A39">
        <f>ROW(Source!A46)</f>
        <v>46</v>
      </c>
      <c r="B39">
        <v>75703208</v>
      </c>
      <c r="C39">
        <v>75703454</v>
      </c>
      <c r="D39">
        <v>75391078</v>
      </c>
      <c r="E39">
        <v>1</v>
      </c>
      <c r="F39">
        <v>1</v>
      </c>
      <c r="G39">
        <v>39</v>
      </c>
      <c r="H39">
        <v>3</v>
      </c>
      <c r="I39" t="s">
        <v>334</v>
      </c>
      <c r="J39" t="s">
        <v>335</v>
      </c>
      <c r="K39" t="s">
        <v>336</v>
      </c>
      <c r="L39">
        <v>1327</v>
      </c>
      <c r="N39">
        <v>1005</v>
      </c>
      <c r="O39" t="s">
        <v>76</v>
      </c>
      <c r="P39" t="s">
        <v>76</v>
      </c>
      <c r="Q39">
        <v>1</v>
      </c>
      <c r="W39">
        <v>0</v>
      </c>
      <c r="X39">
        <v>-1901445925</v>
      </c>
      <c r="Y39">
        <f t="shared" si="7"/>
        <v>107</v>
      </c>
      <c r="AA39">
        <v>1117.3499999999999</v>
      </c>
      <c r="AB39">
        <v>0</v>
      </c>
      <c r="AC39">
        <v>0</v>
      </c>
      <c r="AD39">
        <v>0</v>
      </c>
      <c r="AE39">
        <v>1117.3499999999999</v>
      </c>
      <c r="AF39">
        <v>0</v>
      </c>
      <c r="AG39">
        <v>0</v>
      </c>
      <c r="AH39">
        <v>0</v>
      </c>
      <c r="AI39">
        <v>1</v>
      </c>
      <c r="AJ39">
        <v>1</v>
      </c>
      <c r="AK39">
        <v>1</v>
      </c>
      <c r="AL39">
        <v>1</v>
      </c>
      <c r="AM39">
        <v>-2</v>
      </c>
      <c r="AN39">
        <v>0</v>
      </c>
      <c r="AO39">
        <v>1</v>
      </c>
      <c r="AP39">
        <v>0</v>
      </c>
      <c r="AQ39">
        <v>0</v>
      </c>
      <c r="AR39">
        <v>0</v>
      </c>
      <c r="AS39" t="s">
        <v>3</v>
      </c>
      <c r="AT39">
        <v>107</v>
      </c>
      <c r="AU39" t="s">
        <v>3</v>
      </c>
      <c r="AV39">
        <v>0</v>
      </c>
      <c r="AW39">
        <v>2</v>
      </c>
      <c r="AX39">
        <v>75704076</v>
      </c>
      <c r="AY39">
        <v>1</v>
      </c>
      <c r="AZ39">
        <v>0</v>
      </c>
      <c r="BA39">
        <v>36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V39">
        <v>0</v>
      </c>
      <c r="CW39">
        <v>0</v>
      </c>
      <c r="CX39">
        <f>ROUND(Y39*Source!I46,9)</f>
        <v>58.85</v>
      </c>
      <c r="CY39">
        <f>AA39</f>
        <v>1117.3499999999999</v>
      </c>
      <c r="CZ39">
        <f>AE39</f>
        <v>1117.3499999999999</v>
      </c>
      <c r="DA39">
        <f>AI39</f>
        <v>1</v>
      </c>
      <c r="DB39">
        <f t="shared" si="8"/>
        <v>119556.45</v>
      </c>
      <c r="DC39">
        <f t="shared" si="9"/>
        <v>0</v>
      </c>
      <c r="DD39" t="s">
        <v>3</v>
      </c>
      <c r="DE39" t="s">
        <v>3</v>
      </c>
      <c r="DF39">
        <f t="shared" si="10"/>
        <v>65756.05</v>
      </c>
      <c r="DG39">
        <f t="shared" si="11"/>
        <v>0</v>
      </c>
      <c r="DH39">
        <f t="shared" si="12"/>
        <v>0</v>
      </c>
      <c r="DI39">
        <f t="shared" si="13"/>
        <v>0</v>
      </c>
      <c r="DJ39">
        <f>DF39</f>
        <v>65756.05</v>
      </c>
      <c r="DK39">
        <v>0</v>
      </c>
      <c r="DL39" t="s">
        <v>3</v>
      </c>
      <c r="DM39">
        <v>0</v>
      </c>
      <c r="DN39" t="s">
        <v>3</v>
      </c>
      <c r="DO39">
        <v>0</v>
      </c>
    </row>
    <row r="40" spans="1:119" x14ac:dyDescent="0.2">
      <c r="A40">
        <f>ROW(Source!A46)</f>
        <v>46</v>
      </c>
      <c r="B40">
        <v>75703208</v>
      </c>
      <c r="C40">
        <v>75703454</v>
      </c>
      <c r="D40">
        <v>75391090</v>
      </c>
      <c r="E40">
        <v>1</v>
      </c>
      <c r="F40">
        <v>1</v>
      </c>
      <c r="G40">
        <v>39</v>
      </c>
      <c r="H40">
        <v>3</v>
      </c>
      <c r="I40" t="s">
        <v>337</v>
      </c>
      <c r="J40" t="s">
        <v>338</v>
      </c>
      <c r="K40" t="s">
        <v>339</v>
      </c>
      <c r="L40">
        <v>1301</v>
      </c>
      <c r="N40">
        <v>1003</v>
      </c>
      <c r="O40" t="s">
        <v>36</v>
      </c>
      <c r="P40" t="s">
        <v>36</v>
      </c>
      <c r="Q40">
        <v>1</v>
      </c>
      <c r="W40">
        <v>0</v>
      </c>
      <c r="X40">
        <v>-1400349757</v>
      </c>
      <c r="Y40">
        <f t="shared" si="7"/>
        <v>60</v>
      </c>
      <c r="AA40">
        <v>57.6</v>
      </c>
      <c r="AB40">
        <v>0</v>
      </c>
      <c r="AC40">
        <v>0</v>
      </c>
      <c r="AD40">
        <v>0</v>
      </c>
      <c r="AE40">
        <v>57.6</v>
      </c>
      <c r="AF40">
        <v>0</v>
      </c>
      <c r="AG40">
        <v>0</v>
      </c>
      <c r="AH40">
        <v>0</v>
      </c>
      <c r="AI40">
        <v>1</v>
      </c>
      <c r="AJ40">
        <v>1</v>
      </c>
      <c r="AK40">
        <v>1</v>
      </c>
      <c r="AL40">
        <v>1</v>
      </c>
      <c r="AM40">
        <v>-2</v>
      </c>
      <c r="AN40">
        <v>0</v>
      </c>
      <c r="AO40">
        <v>1</v>
      </c>
      <c r="AP40">
        <v>0</v>
      </c>
      <c r="AQ40">
        <v>0</v>
      </c>
      <c r="AR40">
        <v>0</v>
      </c>
      <c r="AS40" t="s">
        <v>3</v>
      </c>
      <c r="AT40">
        <v>60</v>
      </c>
      <c r="AU40" t="s">
        <v>3</v>
      </c>
      <c r="AV40">
        <v>0</v>
      </c>
      <c r="AW40">
        <v>2</v>
      </c>
      <c r="AX40">
        <v>75704077</v>
      </c>
      <c r="AY40">
        <v>1</v>
      </c>
      <c r="AZ40">
        <v>0</v>
      </c>
      <c r="BA40">
        <v>37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V40">
        <v>0</v>
      </c>
      <c r="CW40">
        <v>0</v>
      </c>
      <c r="CX40">
        <f>ROUND(Y40*Source!I46,9)</f>
        <v>33</v>
      </c>
      <c r="CY40">
        <f>AA40</f>
        <v>57.6</v>
      </c>
      <c r="CZ40">
        <f>AE40</f>
        <v>57.6</v>
      </c>
      <c r="DA40">
        <f>AI40</f>
        <v>1</v>
      </c>
      <c r="DB40">
        <f t="shared" si="8"/>
        <v>3456</v>
      </c>
      <c r="DC40">
        <f t="shared" si="9"/>
        <v>0</v>
      </c>
      <c r="DD40" t="s">
        <v>3</v>
      </c>
      <c r="DE40" t="s">
        <v>3</v>
      </c>
      <c r="DF40">
        <f t="shared" si="10"/>
        <v>1900.8</v>
      </c>
      <c r="DG40">
        <f t="shared" si="11"/>
        <v>0</v>
      </c>
      <c r="DH40">
        <f t="shared" si="12"/>
        <v>0</v>
      </c>
      <c r="DI40">
        <f t="shared" si="13"/>
        <v>0</v>
      </c>
      <c r="DJ40">
        <f>DF40</f>
        <v>1900.8</v>
      </c>
      <c r="DK40">
        <v>0</v>
      </c>
      <c r="DL40" t="s">
        <v>3</v>
      </c>
      <c r="DM40">
        <v>0</v>
      </c>
      <c r="DN40" t="s">
        <v>3</v>
      </c>
      <c r="DO40">
        <v>0</v>
      </c>
    </row>
    <row r="41" spans="1:119" x14ac:dyDescent="0.2">
      <c r="A41">
        <f>ROW(Source!A46)</f>
        <v>46</v>
      </c>
      <c r="B41">
        <v>75703208</v>
      </c>
      <c r="C41">
        <v>75703454</v>
      </c>
      <c r="D41">
        <v>75389139</v>
      </c>
      <c r="E41">
        <v>1</v>
      </c>
      <c r="F41">
        <v>1</v>
      </c>
      <c r="G41">
        <v>39</v>
      </c>
      <c r="H41">
        <v>3</v>
      </c>
      <c r="I41" t="s">
        <v>325</v>
      </c>
      <c r="J41" t="s">
        <v>326</v>
      </c>
      <c r="K41" t="s">
        <v>327</v>
      </c>
      <c r="L41">
        <v>1346</v>
      </c>
      <c r="N41">
        <v>1009</v>
      </c>
      <c r="O41" t="s">
        <v>51</v>
      </c>
      <c r="P41" t="s">
        <v>51</v>
      </c>
      <c r="Q41">
        <v>1</v>
      </c>
      <c r="W41">
        <v>0</v>
      </c>
      <c r="X41">
        <v>538144241</v>
      </c>
      <c r="Y41">
        <f t="shared" si="7"/>
        <v>10.3</v>
      </c>
      <c r="AA41">
        <v>138.59</v>
      </c>
      <c r="AB41">
        <v>0</v>
      </c>
      <c r="AC41">
        <v>0</v>
      </c>
      <c r="AD41">
        <v>0</v>
      </c>
      <c r="AE41">
        <v>138.59</v>
      </c>
      <c r="AF41">
        <v>0</v>
      </c>
      <c r="AG41">
        <v>0</v>
      </c>
      <c r="AH41">
        <v>0</v>
      </c>
      <c r="AI41">
        <v>1</v>
      </c>
      <c r="AJ41">
        <v>1</v>
      </c>
      <c r="AK41">
        <v>1</v>
      </c>
      <c r="AL41">
        <v>1</v>
      </c>
      <c r="AM41">
        <v>-2</v>
      </c>
      <c r="AN41">
        <v>0</v>
      </c>
      <c r="AO41">
        <v>1</v>
      </c>
      <c r="AP41">
        <v>0</v>
      </c>
      <c r="AQ41">
        <v>0</v>
      </c>
      <c r="AR41">
        <v>0</v>
      </c>
      <c r="AS41" t="s">
        <v>3</v>
      </c>
      <c r="AT41">
        <v>10.3</v>
      </c>
      <c r="AU41" t="s">
        <v>3</v>
      </c>
      <c r="AV41">
        <v>0</v>
      </c>
      <c r="AW41">
        <v>2</v>
      </c>
      <c r="AX41">
        <v>75704078</v>
      </c>
      <c r="AY41">
        <v>1</v>
      </c>
      <c r="AZ41">
        <v>0</v>
      </c>
      <c r="BA41">
        <v>38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V41">
        <v>0</v>
      </c>
      <c r="CW41">
        <v>0</v>
      </c>
      <c r="CX41">
        <f>ROUND(Y41*Source!I46,9)</f>
        <v>5.665</v>
      </c>
      <c r="CY41">
        <f>AA41</f>
        <v>138.59</v>
      </c>
      <c r="CZ41">
        <f>AE41</f>
        <v>138.59</v>
      </c>
      <c r="DA41">
        <f>AI41</f>
        <v>1</v>
      </c>
      <c r="DB41">
        <f t="shared" si="8"/>
        <v>1427.48</v>
      </c>
      <c r="DC41">
        <f t="shared" si="9"/>
        <v>0</v>
      </c>
      <c r="DD41" t="s">
        <v>3</v>
      </c>
      <c r="DE41" t="s">
        <v>3</v>
      </c>
      <c r="DF41">
        <f t="shared" si="10"/>
        <v>785.11</v>
      </c>
      <c r="DG41">
        <f t="shared" si="11"/>
        <v>0</v>
      </c>
      <c r="DH41">
        <f t="shared" si="12"/>
        <v>0</v>
      </c>
      <c r="DI41">
        <f t="shared" si="13"/>
        <v>0</v>
      </c>
      <c r="DJ41">
        <f>DF41</f>
        <v>785.11</v>
      </c>
      <c r="DK41">
        <v>0</v>
      </c>
      <c r="DL41" t="s">
        <v>3</v>
      </c>
      <c r="DM41">
        <v>0</v>
      </c>
      <c r="DN41" t="s">
        <v>3</v>
      </c>
      <c r="DO41">
        <v>0</v>
      </c>
    </row>
    <row r="42" spans="1:119" x14ac:dyDescent="0.2">
      <c r="A42">
        <f>ROW(Source!A82)</f>
        <v>82</v>
      </c>
      <c r="B42">
        <v>75703208</v>
      </c>
      <c r="C42">
        <v>75703527</v>
      </c>
      <c r="D42">
        <v>75386788</v>
      </c>
      <c r="E42">
        <v>39</v>
      </c>
      <c r="F42">
        <v>1</v>
      </c>
      <c r="G42">
        <v>39</v>
      </c>
      <c r="H42">
        <v>1</v>
      </c>
      <c r="I42" t="s">
        <v>276</v>
      </c>
      <c r="J42" t="s">
        <v>3</v>
      </c>
      <c r="K42" t="s">
        <v>277</v>
      </c>
      <c r="L42">
        <v>1191</v>
      </c>
      <c r="N42">
        <v>1013</v>
      </c>
      <c r="O42" t="s">
        <v>278</v>
      </c>
      <c r="P42" t="s">
        <v>278</v>
      </c>
      <c r="Q42">
        <v>1</v>
      </c>
      <c r="W42">
        <v>0</v>
      </c>
      <c r="X42">
        <v>476480486</v>
      </c>
      <c r="Y42">
        <f t="shared" si="7"/>
        <v>24.52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1</v>
      </c>
      <c r="AJ42">
        <v>1</v>
      </c>
      <c r="AK42">
        <v>1</v>
      </c>
      <c r="AL42">
        <v>1</v>
      </c>
      <c r="AM42">
        <v>-2</v>
      </c>
      <c r="AN42">
        <v>0</v>
      </c>
      <c r="AO42">
        <v>1</v>
      </c>
      <c r="AP42">
        <v>0</v>
      </c>
      <c r="AQ42">
        <v>0</v>
      </c>
      <c r="AR42">
        <v>0</v>
      </c>
      <c r="AS42" t="s">
        <v>3</v>
      </c>
      <c r="AT42">
        <v>24.52</v>
      </c>
      <c r="AU42" t="s">
        <v>3</v>
      </c>
      <c r="AV42">
        <v>1</v>
      </c>
      <c r="AW42">
        <v>2</v>
      </c>
      <c r="AX42">
        <v>75704079</v>
      </c>
      <c r="AY42">
        <v>1</v>
      </c>
      <c r="AZ42">
        <v>0</v>
      </c>
      <c r="BA42">
        <v>39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U42">
        <f>ROUND(AT42*Source!I82*AH42*AL42,2)</f>
        <v>0</v>
      </c>
      <c r="CV42">
        <f>ROUND(Y42*Source!I82,9)</f>
        <v>19.076560000000001</v>
      </c>
      <c r="CW42">
        <v>0</v>
      </c>
      <c r="CX42">
        <f>ROUND(Y42*Source!I82,9)</f>
        <v>19.076560000000001</v>
      </c>
      <c r="CY42">
        <f>AD42</f>
        <v>0</v>
      </c>
      <c r="CZ42">
        <f>AH42</f>
        <v>0</v>
      </c>
      <c r="DA42">
        <f>AL42</f>
        <v>1</v>
      </c>
      <c r="DB42">
        <f t="shared" si="8"/>
        <v>0</v>
      </c>
      <c r="DC42">
        <f t="shared" si="9"/>
        <v>0</v>
      </c>
      <c r="DD42" t="s">
        <v>3</v>
      </c>
      <c r="DE42" t="s">
        <v>3</v>
      </c>
      <c r="DF42">
        <f t="shared" si="10"/>
        <v>0</v>
      </c>
      <c r="DG42">
        <f t="shared" si="11"/>
        <v>0</v>
      </c>
      <c r="DH42">
        <f t="shared" si="12"/>
        <v>0</v>
      </c>
      <c r="DI42">
        <f t="shared" si="13"/>
        <v>0</v>
      </c>
      <c r="DJ42">
        <f>DI42</f>
        <v>0</v>
      </c>
      <c r="DK42">
        <v>0</v>
      </c>
      <c r="DL42" t="s">
        <v>3</v>
      </c>
      <c r="DM42">
        <v>0</v>
      </c>
      <c r="DN42" t="s">
        <v>3</v>
      </c>
      <c r="DO42">
        <v>0</v>
      </c>
    </row>
    <row r="43" spans="1:119" x14ac:dyDescent="0.2">
      <c r="A43">
        <f>ROW(Source!A82)</f>
        <v>82</v>
      </c>
      <c r="B43">
        <v>75703208</v>
      </c>
      <c r="C43">
        <v>75703527</v>
      </c>
      <c r="D43">
        <v>75390376</v>
      </c>
      <c r="E43">
        <v>1</v>
      </c>
      <c r="F43">
        <v>1</v>
      </c>
      <c r="G43">
        <v>39</v>
      </c>
      <c r="H43">
        <v>3</v>
      </c>
      <c r="I43" t="s">
        <v>340</v>
      </c>
      <c r="J43" t="s">
        <v>341</v>
      </c>
      <c r="K43" t="s">
        <v>342</v>
      </c>
      <c r="L43">
        <v>1346</v>
      </c>
      <c r="N43">
        <v>1009</v>
      </c>
      <c r="O43" t="s">
        <v>51</v>
      </c>
      <c r="P43" t="s">
        <v>51</v>
      </c>
      <c r="Q43">
        <v>1</v>
      </c>
      <c r="W43">
        <v>0</v>
      </c>
      <c r="X43">
        <v>1118017035</v>
      </c>
      <c r="Y43">
        <f t="shared" si="7"/>
        <v>0.36</v>
      </c>
      <c r="AA43">
        <v>26.09</v>
      </c>
      <c r="AB43">
        <v>0</v>
      </c>
      <c r="AC43">
        <v>0</v>
      </c>
      <c r="AD43">
        <v>0</v>
      </c>
      <c r="AE43">
        <v>26.09</v>
      </c>
      <c r="AF43">
        <v>0</v>
      </c>
      <c r="AG43">
        <v>0</v>
      </c>
      <c r="AH43">
        <v>0</v>
      </c>
      <c r="AI43">
        <v>1</v>
      </c>
      <c r="AJ43">
        <v>1</v>
      </c>
      <c r="AK43">
        <v>1</v>
      </c>
      <c r="AL43">
        <v>1</v>
      </c>
      <c r="AM43">
        <v>-2</v>
      </c>
      <c r="AN43">
        <v>0</v>
      </c>
      <c r="AO43">
        <v>1</v>
      </c>
      <c r="AP43">
        <v>0</v>
      </c>
      <c r="AQ43">
        <v>0</v>
      </c>
      <c r="AR43">
        <v>0</v>
      </c>
      <c r="AS43" t="s">
        <v>3</v>
      </c>
      <c r="AT43">
        <v>0.36</v>
      </c>
      <c r="AU43" t="s">
        <v>3</v>
      </c>
      <c r="AV43">
        <v>0</v>
      </c>
      <c r="AW43">
        <v>2</v>
      </c>
      <c r="AX43">
        <v>75704080</v>
      </c>
      <c r="AY43">
        <v>1</v>
      </c>
      <c r="AZ43">
        <v>0</v>
      </c>
      <c r="BA43">
        <v>40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V43">
        <v>0</v>
      </c>
      <c r="CW43">
        <v>0</v>
      </c>
      <c r="CX43">
        <f>ROUND(Y43*Source!I82,9)</f>
        <v>0.28008</v>
      </c>
      <c r="CY43">
        <f t="shared" ref="CY43:CY49" si="14">AA43</f>
        <v>26.09</v>
      </c>
      <c r="CZ43">
        <f t="shared" ref="CZ43:CZ49" si="15">AE43</f>
        <v>26.09</v>
      </c>
      <c r="DA43">
        <f t="shared" ref="DA43:DA49" si="16">AI43</f>
        <v>1</v>
      </c>
      <c r="DB43">
        <f t="shared" si="8"/>
        <v>9.39</v>
      </c>
      <c r="DC43">
        <f t="shared" si="9"/>
        <v>0</v>
      </c>
      <c r="DD43" t="s">
        <v>3</v>
      </c>
      <c r="DE43" t="s">
        <v>3</v>
      </c>
      <c r="DF43">
        <f t="shared" si="10"/>
        <v>7.31</v>
      </c>
      <c r="DG43">
        <f t="shared" si="11"/>
        <v>0</v>
      </c>
      <c r="DH43">
        <f t="shared" si="12"/>
        <v>0</v>
      </c>
      <c r="DI43">
        <f t="shared" si="13"/>
        <v>0</v>
      </c>
      <c r="DJ43">
        <f t="shared" ref="DJ43:DJ49" si="17">DF43</f>
        <v>7.31</v>
      </c>
      <c r="DK43">
        <v>0</v>
      </c>
      <c r="DL43" t="s">
        <v>3</v>
      </c>
      <c r="DM43">
        <v>0</v>
      </c>
      <c r="DN43" t="s">
        <v>3</v>
      </c>
      <c r="DO43">
        <v>0</v>
      </c>
    </row>
    <row r="44" spans="1:119" x14ac:dyDescent="0.2">
      <c r="A44">
        <f>ROW(Source!A82)</f>
        <v>82</v>
      </c>
      <c r="B44">
        <v>75703208</v>
      </c>
      <c r="C44">
        <v>75703527</v>
      </c>
      <c r="D44">
        <v>75390588</v>
      </c>
      <c r="E44">
        <v>1</v>
      </c>
      <c r="F44">
        <v>1</v>
      </c>
      <c r="G44">
        <v>39</v>
      </c>
      <c r="H44">
        <v>3</v>
      </c>
      <c r="I44" t="s">
        <v>309</v>
      </c>
      <c r="J44" t="s">
        <v>310</v>
      </c>
      <c r="K44" t="s">
        <v>311</v>
      </c>
      <c r="L44">
        <v>1339</v>
      </c>
      <c r="N44">
        <v>1007</v>
      </c>
      <c r="O44" t="s">
        <v>312</v>
      </c>
      <c r="P44" t="s">
        <v>312</v>
      </c>
      <c r="Q44">
        <v>1</v>
      </c>
      <c r="W44">
        <v>0</v>
      </c>
      <c r="X44">
        <v>973433911</v>
      </c>
      <c r="Y44">
        <f t="shared" si="7"/>
        <v>0.24</v>
      </c>
      <c r="AA44">
        <v>49.83</v>
      </c>
      <c r="AB44">
        <v>0</v>
      </c>
      <c r="AC44">
        <v>0</v>
      </c>
      <c r="AD44">
        <v>0</v>
      </c>
      <c r="AE44">
        <v>49.83</v>
      </c>
      <c r="AF44">
        <v>0</v>
      </c>
      <c r="AG44">
        <v>0</v>
      </c>
      <c r="AH44">
        <v>0</v>
      </c>
      <c r="AI44">
        <v>1</v>
      </c>
      <c r="AJ44">
        <v>1</v>
      </c>
      <c r="AK44">
        <v>1</v>
      </c>
      <c r="AL44">
        <v>1</v>
      </c>
      <c r="AM44">
        <v>-2</v>
      </c>
      <c r="AN44">
        <v>0</v>
      </c>
      <c r="AO44">
        <v>1</v>
      </c>
      <c r="AP44">
        <v>0</v>
      </c>
      <c r="AQ44">
        <v>0</v>
      </c>
      <c r="AR44">
        <v>0</v>
      </c>
      <c r="AS44" t="s">
        <v>3</v>
      </c>
      <c r="AT44">
        <v>0.24</v>
      </c>
      <c r="AU44" t="s">
        <v>3</v>
      </c>
      <c r="AV44">
        <v>0</v>
      </c>
      <c r="AW44">
        <v>2</v>
      </c>
      <c r="AX44">
        <v>75704081</v>
      </c>
      <c r="AY44">
        <v>1</v>
      </c>
      <c r="AZ44">
        <v>0</v>
      </c>
      <c r="BA44">
        <v>41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V44">
        <v>0</v>
      </c>
      <c r="CW44">
        <v>0</v>
      </c>
      <c r="CX44">
        <f>ROUND(Y44*Source!I82,9)</f>
        <v>0.18672</v>
      </c>
      <c r="CY44">
        <f t="shared" si="14"/>
        <v>49.83</v>
      </c>
      <c r="CZ44">
        <f t="shared" si="15"/>
        <v>49.83</v>
      </c>
      <c r="DA44">
        <f t="shared" si="16"/>
        <v>1</v>
      </c>
      <c r="DB44">
        <f t="shared" si="8"/>
        <v>11.96</v>
      </c>
      <c r="DC44">
        <f t="shared" si="9"/>
        <v>0</v>
      </c>
      <c r="DD44" t="s">
        <v>3</v>
      </c>
      <c r="DE44" t="s">
        <v>3</v>
      </c>
      <c r="DF44">
        <f t="shared" si="10"/>
        <v>9.3000000000000007</v>
      </c>
      <c r="DG44">
        <f t="shared" si="11"/>
        <v>0</v>
      </c>
      <c r="DH44">
        <f t="shared" si="12"/>
        <v>0</v>
      </c>
      <c r="DI44">
        <f t="shared" si="13"/>
        <v>0</v>
      </c>
      <c r="DJ44">
        <f t="shared" si="17"/>
        <v>9.3000000000000007</v>
      </c>
      <c r="DK44">
        <v>0</v>
      </c>
      <c r="DL44" t="s">
        <v>3</v>
      </c>
      <c r="DM44">
        <v>0</v>
      </c>
      <c r="DN44" t="s">
        <v>3</v>
      </c>
      <c r="DO44">
        <v>0</v>
      </c>
    </row>
    <row r="45" spans="1:119" x14ac:dyDescent="0.2">
      <c r="A45">
        <f>ROW(Source!A82)</f>
        <v>82</v>
      </c>
      <c r="B45">
        <v>75703208</v>
      </c>
      <c r="C45">
        <v>75703527</v>
      </c>
      <c r="D45">
        <v>75390936</v>
      </c>
      <c r="E45">
        <v>1</v>
      </c>
      <c r="F45">
        <v>1</v>
      </c>
      <c r="G45">
        <v>39</v>
      </c>
      <c r="H45">
        <v>3</v>
      </c>
      <c r="I45" t="s">
        <v>343</v>
      </c>
      <c r="J45" t="s">
        <v>344</v>
      </c>
      <c r="K45" t="s">
        <v>345</v>
      </c>
      <c r="L45">
        <v>1327</v>
      </c>
      <c r="N45">
        <v>1005</v>
      </c>
      <c r="O45" t="s">
        <v>76</v>
      </c>
      <c r="P45" t="s">
        <v>76</v>
      </c>
      <c r="Q45">
        <v>1</v>
      </c>
      <c r="W45">
        <v>0</v>
      </c>
      <c r="X45">
        <v>-668698448</v>
      </c>
      <c r="Y45">
        <f t="shared" si="7"/>
        <v>0.8</v>
      </c>
      <c r="AA45">
        <v>338.51</v>
      </c>
      <c r="AB45">
        <v>0</v>
      </c>
      <c r="AC45">
        <v>0</v>
      </c>
      <c r="AD45">
        <v>0</v>
      </c>
      <c r="AE45">
        <v>338.51</v>
      </c>
      <c r="AF45">
        <v>0</v>
      </c>
      <c r="AG45">
        <v>0</v>
      </c>
      <c r="AH45">
        <v>0</v>
      </c>
      <c r="AI45">
        <v>1</v>
      </c>
      <c r="AJ45">
        <v>1</v>
      </c>
      <c r="AK45">
        <v>1</v>
      </c>
      <c r="AL45">
        <v>1</v>
      </c>
      <c r="AM45">
        <v>-2</v>
      </c>
      <c r="AN45">
        <v>0</v>
      </c>
      <c r="AO45">
        <v>1</v>
      </c>
      <c r="AP45">
        <v>0</v>
      </c>
      <c r="AQ45">
        <v>0</v>
      </c>
      <c r="AR45">
        <v>0</v>
      </c>
      <c r="AS45" t="s">
        <v>3</v>
      </c>
      <c r="AT45">
        <v>0.8</v>
      </c>
      <c r="AU45" t="s">
        <v>3</v>
      </c>
      <c r="AV45">
        <v>0</v>
      </c>
      <c r="AW45">
        <v>2</v>
      </c>
      <c r="AX45">
        <v>75704082</v>
      </c>
      <c r="AY45">
        <v>1</v>
      </c>
      <c r="AZ45">
        <v>0</v>
      </c>
      <c r="BA45">
        <v>42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V45">
        <v>0</v>
      </c>
      <c r="CW45">
        <v>0</v>
      </c>
      <c r="CX45">
        <f>ROUND(Y45*Source!I82,9)</f>
        <v>0.62239999999999995</v>
      </c>
      <c r="CY45">
        <f t="shared" si="14"/>
        <v>338.51</v>
      </c>
      <c r="CZ45">
        <f t="shared" si="15"/>
        <v>338.51</v>
      </c>
      <c r="DA45">
        <f t="shared" si="16"/>
        <v>1</v>
      </c>
      <c r="DB45">
        <f t="shared" si="8"/>
        <v>270.81</v>
      </c>
      <c r="DC45">
        <f t="shared" si="9"/>
        <v>0</v>
      </c>
      <c r="DD45" t="s">
        <v>3</v>
      </c>
      <c r="DE45" t="s">
        <v>3</v>
      </c>
      <c r="DF45">
        <f t="shared" si="10"/>
        <v>210.69</v>
      </c>
      <c r="DG45">
        <f t="shared" si="11"/>
        <v>0</v>
      </c>
      <c r="DH45">
        <f t="shared" si="12"/>
        <v>0</v>
      </c>
      <c r="DI45">
        <f t="shared" si="13"/>
        <v>0</v>
      </c>
      <c r="DJ45">
        <f t="shared" si="17"/>
        <v>210.69</v>
      </c>
      <c r="DK45">
        <v>0</v>
      </c>
      <c r="DL45" t="s">
        <v>3</v>
      </c>
      <c r="DM45">
        <v>0</v>
      </c>
      <c r="DN45" t="s">
        <v>3</v>
      </c>
      <c r="DO45">
        <v>0</v>
      </c>
    </row>
    <row r="46" spans="1:119" x14ac:dyDescent="0.2">
      <c r="A46">
        <f>ROW(Source!A82)</f>
        <v>82</v>
      </c>
      <c r="B46">
        <v>75703208</v>
      </c>
      <c r="C46">
        <v>75703527</v>
      </c>
      <c r="D46">
        <v>75390952</v>
      </c>
      <c r="E46">
        <v>1</v>
      </c>
      <c r="F46">
        <v>1</v>
      </c>
      <c r="G46">
        <v>39</v>
      </c>
      <c r="H46">
        <v>3</v>
      </c>
      <c r="I46" t="s">
        <v>346</v>
      </c>
      <c r="J46" t="s">
        <v>347</v>
      </c>
      <c r="K46" t="s">
        <v>348</v>
      </c>
      <c r="L46">
        <v>1348</v>
      </c>
      <c r="N46">
        <v>1009</v>
      </c>
      <c r="O46" t="s">
        <v>56</v>
      </c>
      <c r="P46" t="s">
        <v>56</v>
      </c>
      <c r="Q46">
        <v>1000</v>
      </c>
      <c r="W46">
        <v>0</v>
      </c>
      <c r="X46">
        <v>1133369200</v>
      </c>
      <c r="Y46">
        <f t="shared" si="7"/>
        <v>6.4000000000000003E-3</v>
      </c>
      <c r="AA46">
        <v>76204.789999999994</v>
      </c>
      <c r="AB46">
        <v>0</v>
      </c>
      <c r="AC46">
        <v>0</v>
      </c>
      <c r="AD46">
        <v>0</v>
      </c>
      <c r="AE46">
        <v>76204.789999999994</v>
      </c>
      <c r="AF46">
        <v>0</v>
      </c>
      <c r="AG46">
        <v>0</v>
      </c>
      <c r="AH46">
        <v>0</v>
      </c>
      <c r="AI46">
        <v>1</v>
      </c>
      <c r="AJ46">
        <v>1</v>
      </c>
      <c r="AK46">
        <v>1</v>
      </c>
      <c r="AL46">
        <v>1</v>
      </c>
      <c r="AM46">
        <v>-2</v>
      </c>
      <c r="AN46">
        <v>0</v>
      </c>
      <c r="AO46">
        <v>1</v>
      </c>
      <c r="AP46">
        <v>0</v>
      </c>
      <c r="AQ46">
        <v>0</v>
      </c>
      <c r="AR46">
        <v>0</v>
      </c>
      <c r="AS46" t="s">
        <v>3</v>
      </c>
      <c r="AT46">
        <v>6.4000000000000003E-3</v>
      </c>
      <c r="AU46" t="s">
        <v>3</v>
      </c>
      <c r="AV46">
        <v>0</v>
      </c>
      <c r="AW46">
        <v>2</v>
      </c>
      <c r="AX46">
        <v>75704083</v>
      </c>
      <c r="AY46">
        <v>1</v>
      </c>
      <c r="AZ46">
        <v>0</v>
      </c>
      <c r="BA46">
        <v>43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V46">
        <v>0</v>
      </c>
      <c r="CW46">
        <v>0</v>
      </c>
      <c r="CX46">
        <f>ROUND(Y46*Source!I82,9)</f>
        <v>4.9791999999999996E-3</v>
      </c>
      <c r="CY46">
        <f t="shared" si="14"/>
        <v>76204.789999999994</v>
      </c>
      <c r="CZ46">
        <f t="shared" si="15"/>
        <v>76204.789999999994</v>
      </c>
      <c r="DA46">
        <f t="shared" si="16"/>
        <v>1</v>
      </c>
      <c r="DB46">
        <f t="shared" si="8"/>
        <v>487.71</v>
      </c>
      <c r="DC46">
        <f t="shared" si="9"/>
        <v>0</v>
      </c>
      <c r="DD46" t="s">
        <v>3</v>
      </c>
      <c r="DE46" t="s">
        <v>3</v>
      </c>
      <c r="DF46">
        <f t="shared" si="10"/>
        <v>379.44</v>
      </c>
      <c r="DG46">
        <f t="shared" si="11"/>
        <v>0</v>
      </c>
      <c r="DH46">
        <f t="shared" si="12"/>
        <v>0</v>
      </c>
      <c r="DI46">
        <f t="shared" si="13"/>
        <v>0</v>
      </c>
      <c r="DJ46">
        <f t="shared" si="17"/>
        <v>379.44</v>
      </c>
      <c r="DK46">
        <v>0</v>
      </c>
      <c r="DL46" t="s">
        <v>3</v>
      </c>
      <c r="DM46">
        <v>0</v>
      </c>
      <c r="DN46" t="s">
        <v>3</v>
      </c>
      <c r="DO46">
        <v>0</v>
      </c>
    </row>
    <row r="47" spans="1:119" x14ac:dyDescent="0.2">
      <c r="A47">
        <f>ROW(Source!A82)</f>
        <v>82</v>
      </c>
      <c r="B47">
        <v>75703208</v>
      </c>
      <c r="C47">
        <v>75703527</v>
      </c>
      <c r="D47">
        <v>75389081</v>
      </c>
      <c r="E47">
        <v>1</v>
      </c>
      <c r="F47">
        <v>1</v>
      </c>
      <c r="G47">
        <v>39</v>
      </c>
      <c r="H47">
        <v>3</v>
      </c>
      <c r="I47" t="s">
        <v>146</v>
      </c>
      <c r="J47" t="s">
        <v>148</v>
      </c>
      <c r="K47" t="s">
        <v>147</v>
      </c>
      <c r="L47">
        <v>1348</v>
      </c>
      <c r="N47">
        <v>1009</v>
      </c>
      <c r="O47" t="s">
        <v>56</v>
      </c>
      <c r="P47" t="s">
        <v>56</v>
      </c>
      <c r="Q47">
        <v>1000</v>
      </c>
      <c r="W47">
        <v>0</v>
      </c>
      <c r="X47">
        <v>812432982</v>
      </c>
      <c r="Y47">
        <f t="shared" si="7"/>
        <v>1.6999999999999999E-3</v>
      </c>
      <c r="AA47">
        <v>198992.34</v>
      </c>
      <c r="AB47">
        <v>0</v>
      </c>
      <c r="AC47">
        <v>0</v>
      </c>
      <c r="AD47">
        <v>0</v>
      </c>
      <c r="AE47">
        <v>198992.34</v>
      </c>
      <c r="AF47">
        <v>0</v>
      </c>
      <c r="AG47">
        <v>0</v>
      </c>
      <c r="AH47">
        <v>0</v>
      </c>
      <c r="AI47">
        <v>1</v>
      </c>
      <c r="AJ47">
        <v>1</v>
      </c>
      <c r="AK47">
        <v>1</v>
      </c>
      <c r="AL47">
        <v>1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 t="s">
        <v>3</v>
      </c>
      <c r="AT47">
        <v>1.6999999999999999E-3</v>
      </c>
      <c r="AU47" t="s">
        <v>3</v>
      </c>
      <c r="AV47">
        <v>0</v>
      </c>
      <c r="AW47">
        <v>1</v>
      </c>
      <c r="AX47">
        <v>-1</v>
      </c>
      <c r="AY47">
        <v>0</v>
      </c>
      <c r="AZ47">
        <v>0</v>
      </c>
      <c r="BA47" t="s">
        <v>3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V47">
        <v>0</v>
      </c>
      <c r="CW47">
        <v>0</v>
      </c>
      <c r="CX47">
        <f>ROUND(Y47*Source!I82,9)</f>
        <v>1.3225999999999999E-3</v>
      </c>
      <c r="CY47">
        <f t="shared" si="14"/>
        <v>198992.34</v>
      </c>
      <c r="CZ47">
        <f t="shared" si="15"/>
        <v>198992.34</v>
      </c>
      <c r="DA47">
        <f t="shared" si="16"/>
        <v>1</v>
      </c>
      <c r="DB47">
        <f t="shared" si="8"/>
        <v>338.29</v>
      </c>
      <c r="DC47">
        <f t="shared" si="9"/>
        <v>0</v>
      </c>
      <c r="DD47" t="s">
        <v>3</v>
      </c>
      <c r="DE47" t="s">
        <v>3</v>
      </c>
      <c r="DF47">
        <f t="shared" si="10"/>
        <v>263.19</v>
      </c>
      <c r="DG47">
        <f t="shared" si="11"/>
        <v>0</v>
      </c>
      <c r="DH47">
        <f t="shared" si="12"/>
        <v>0</v>
      </c>
      <c r="DI47">
        <f t="shared" si="13"/>
        <v>0</v>
      </c>
      <c r="DJ47">
        <f t="shared" si="17"/>
        <v>263.19</v>
      </c>
      <c r="DK47">
        <v>0</v>
      </c>
      <c r="DL47" t="s">
        <v>3</v>
      </c>
      <c r="DM47">
        <v>0</v>
      </c>
      <c r="DN47" t="s">
        <v>3</v>
      </c>
      <c r="DO47">
        <v>0</v>
      </c>
    </row>
    <row r="48" spans="1:119" x14ac:dyDescent="0.2">
      <c r="A48">
        <f>ROW(Source!A82)</f>
        <v>82</v>
      </c>
      <c r="B48">
        <v>75703208</v>
      </c>
      <c r="C48">
        <v>75703527</v>
      </c>
      <c r="D48">
        <v>75389193</v>
      </c>
      <c r="E48">
        <v>1</v>
      </c>
      <c r="F48">
        <v>1</v>
      </c>
      <c r="G48">
        <v>39</v>
      </c>
      <c r="H48">
        <v>3</v>
      </c>
      <c r="I48" t="s">
        <v>349</v>
      </c>
      <c r="J48" t="s">
        <v>350</v>
      </c>
      <c r="K48" t="s">
        <v>351</v>
      </c>
      <c r="L48">
        <v>1346</v>
      </c>
      <c r="N48">
        <v>1009</v>
      </c>
      <c r="O48" t="s">
        <v>51</v>
      </c>
      <c r="P48" t="s">
        <v>51</v>
      </c>
      <c r="Q48">
        <v>1</v>
      </c>
      <c r="W48">
        <v>0</v>
      </c>
      <c r="X48">
        <v>-1799487693</v>
      </c>
      <c r="Y48">
        <f t="shared" si="7"/>
        <v>24.8</v>
      </c>
      <c r="AA48">
        <v>215.72</v>
      </c>
      <c r="AB48">
        <v>0</v>
      </c>
      <c r="AC48">
        <v>0</v>
      </c>
      <c r="AD48">
        <v>0</v>
      </c>
      <c r="AE48">
        <v>215.72</v>
      </c>
      <c r="AF48">
        <v>0</v>
      </c>
      <c r="AG48">
        <v>0</v>
      </c>
      <c r="AH48">
        <v>0</v>
      </c>
      <c r="AI48">
        <v>1</v>
      </c>
      <c r="AJ48">
        <v>1</v>
      </c>
      <c r="AK48">
        <v>1</v>
      </c>
      <c r="AL48">
        <v>1</v>
      </c>
      <c r="AM48">
        <v>-2</v>
      </c>
      <c r="AN48">
        <v>0</v>
      </c>
      <c r="AO48">
        <v>1</v>
      </c>
      <c r="AP48">
        <v>0</v>
      </c>
      <c r="AQ48">
        <v>0</v>
      </c>
      <c r="AR48">
        <v>0</v>
      </c>
      <c r="AS48" t="s">
        <v>3</v>
      </c>
      <c r="AT48">
        <v>24.8</v>
      </c>
      <c r="AU48" t="s">
        <v>3</v>
      </c>
      <c r="AV48">
        <v>0</v>
      </c>
      <c r="AW48">
        <v>2</v>
      </c>
      <c r="AX48">
        <v>75704084</v>
      </c>
      <c r="AY48">
        <v>1</v>
      </c>
      <c r="AZ48">
        <v>0</v>
      </c>
      <c r="BA48">
        <v>44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V48">
        <v>0</v>
      </c>
      <c r="CW48">
        <v>0</v>
      </c>
      <c r="CX48">
        <f>ROUND(Y48*Source!I82,9)</f>
        <v>19.2944</v>
      </c>
      <c r="CY48">
        <f t="shared" si="14"/>
        <v>215.72</v>
      </c>
      <c r="CZ48">
        <f t="shared" si="15"/>
        <v>215.72</v>
      </c>
      <c r="DA48">
        <f t="shared" si="16"/>
        <v>1</v>
      </c>
      <c r="DB48">
        <f t="shared" si="8"/>
        <v>5349.86</v>
      </c>
      <c r="DC48">
        <f t="shared" si="9"/>
        <v>0</v>
      </c>
      <c r="DD48" t="s">
        <v>3</v>
      </c>
      <c r="DE48" t="s">
        <v>3</v>
      </c>
      <c r="DF48">
        <f t="shared" si="10"/>
        <v>4162.1899999999996</v>
      </c>
      <c r="DG48">
        <f t="shared" si="11"/>
        <v>0</v>
      </c>
      <c r="DH48">
        <f t="shared" si="12"/>
        <v>0</v>
      </c>
      <c r="DI48">
        <f t="shared" si="13"/>
        <v>0</v>
      </c>
      <c r="DJ48">
        <f t="shared" si="17"/>
        <v>4162.1899999999996</v>
      </c>
      <c r="DK48">
        <v>0</v>
      </c>
      <c r="DL48" t="s">
        <v>3</v>
      </c>
      <c r="DM48">
        <v>0</v>
      </c>
      <c r="DN48" t="s">
        <v>3</v>
      </c>
      <c r="DO48">
        <v>0</v>
      </c>
    </row>
    <row r="49" spans="1:119" x14ac:dyDescent="0.2">
      <c r="A49">
        <f>ROW(Source!A82)</f>
        <v>82</v>
      </c>
      <c r="B49">
        <v>75703208</v>
      </c>
      <c r="C49">
        <v>75703527</v>
      </c>
      <c r="D49">
        <v>75389195</v>
      </c>
      <c r="E49">
        <v>1</v>
      </c>
      <c r="F49">
        <v>1</v>
      </c>
      <c r="G49">
        <v>39</v>
      </c>
      <c r="H49">
        <v>3</v>
      </c>
      <c r="I49" t="s">
        <v>352</v>
      </c>
      <c r="J49" t="s">
        <v>353</v>
      </c>
      <c r="K49" t="s">
        <v>354</v>
      </c>
      <c r="L49">
        <v>1346</v>
      </c>
      <c r="N49">
        <v>1009</v>
      </c>
      <c r="O49" t="s">
        <v>51</v>
      </c>
      <c r="P49" t="s">
        <v>51</v>
      </c>
      <c r="Q49">
        <v>1</v>
      </c>
      <c r="W49">
        <v>0</v>
      </c>
      <c r="X49">
        <v>2089374929</v>
      </c>
      <c r="Y49">
        <f t="shared" si="7"/>
        <v>14</v>
      </c>
      <c r="AA49">
        <v>80.599999999999994</v>
      </c>
      <c r="AB49">
        <v>0</v>
      </c>
      <c r="AC49">
        <v>0</v>
      </c>
      <c r="AD49">
        <v>0</v>
      </c>
      <c r="AE49">
        <v>80.599999999999994</v>
      </c>
      <c r="AF49">
        <v>0</v>
      </c>
      <c r="AG49">
        <v>0</v>
      </c>
      <c r="AH49">
        <v>0</v>
      </c>
      <c r="AI49">
        <v>1</v>
      </c>
      <c r="AJ49">
        <v>1</v>
      </c>
      <c r="AK49">
        <v>1</v>
      </c>
      <c r="AL49">
        <v>1</v>
      </c>
      <c r="AM49">
        <v>-2</v>
      </c>
      <c r="AN49">
        <v>0</v>
      </c>
      <c r="AO49">
        <v>1</v>
      </c>
      <c r="AP49">
        <v>0</v>
      </c>
      <c r="AQ49">
        <v>0</v>
      </c>
      <c r="AR49">
        <v>0</v>
      </c>
      <c r="AS49" t="s">
        <v>3</v>
      </c>
      <c r="AT49">
        <v>14</v>
      </c>
      <c r="AU49" t="s">
        <v>3</v>
      </c>
      <c r="AV49">
        <v>0</v>
      </c>
      <c r="AW49">
        <v>2</v>
      </c>
      <c r="AX49">
        <v>75704085</v>
      </c>
      <c r="AY49">
        <v>1</v>
      </c>
      <c r="AZ49">
        <v>0</v>
      </c>
      <c r="BA49">
        <v>45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V49">
        <v>0</v>
      </c>
      <c r="CW49">
        <v>0</v>
      </c>
      <c r="CX49">
        <f>ROUND(Y49*Source!I82,9)</f>
        <v>10.891999999999999</v>
      </c>
      <c r="CY49">
        <f t="shared" si="14"/>
        <v>80.599999999999994</v>
      </c>
      <c r="CZ49">
        <f t="shared" si="15"/>
        <v>80.599999999999994</v>
      </c>
      <c r="DA49">
        <f t="shared" si="16"/>
        <v>1</v>
      </c>
      <c r="DB49">
        <f t="shared" si="8"/>
        <v>1128.4000000000001</v>
      </c>
      <c r="DC49">
        <f t="shared" si="9"/>
        <v>0</v>
      </c>
      <c r="DD49" t="s">
        <v>3</v>
      </c>
      <c r="DE49" t="s">
        <v>3</v>
      </c>
      <c r="DF49">
        <f t="shared" si="10"/>
        <v>877.9</v>
      </c>
      <c r="DG49">
        <f t="shared" si="11"/>
        <v>0</v>
      </c>
      <c r="DH49">
        <f t="shared" si="12"/>
        <v>0</v>
      </c>
      <c r="DI49">
        <f t="shared" si="13"/>
        <v>0</v>
      </c>
      <c r="DJ49">
        <f t="shared" si="17"/>
        <v>877.9</v>
      </c>
      <c r="DK49">
        <v>0</v>
      </c>
      <c r="DL49" t="s">
        <v>3</v>
      </c>
      <c r="DM49">
        <v>0</v>
      </c>
      <c r="DN49" t="s">
        <v>3</v>
      </c>
      <c r="DO49">
        <v>0</v>
      </c>
    </row>
    <row r="50" spans="1:119" x14ac:dyDescent="0.2">
      <c r="A50">
        <f>ROW(Source!A119)</f>
        <v>119</v>
      </c>
      <c r="B50">
        <v>75703208</v>
      </c>
      <c r="C50">
        <v>75703600</v>
      </c>
      <c r="D50">
        <v>75386788</v>
      </c>
      <c r="E50">
        <v>39</v>
      </c>
      <c r="F50">
        <v>1</v>
      </c>
      <c r="G50">
        <v>39</v>
      </c>
      <c r="H50">
        <v>1</v>
      </c>
      <c r="I50" t="s">
        <v>276</v>
      </c>
      <c r="J50" t="s">
        <v>3</v>
      </c>
      <c r="K50" t="s">
        <v>277</v>
      </c>
      <c r="L50">
        <v>1191</v>
      </c>
      <c r="N50">
        <v>1013</v>
      </c>
      <c r="O50" t="s">
        <v>278</v>
      </c>
      <c r="P50" t="s">
        <v>278</v>
      </c>
      <c r="Q50">
        <v>1</v>
      </c>
      <c r="W50">
        <v>0</v>
      </c>
      <c r="X50">
        <v>476480486</v>
      </c>
      <c r="Y50">
        <f t="shared" si="7"/>
        <v>30.74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1</v>
      </c>
      <c r="AJ50">
        <v>1</v>
      </c>
      <c r="AK50">
        <v>1</v>
      </c>
      <c r="AL50">
        <v>1</v>
      </c>
      <c r="AM50">
        <v>-2</v>
      </c>
      <c r="AN50">
        <v>0</v>
      </c>
      <c r="AO50">
        <v>1</v>
      </c>
      <c r="AP50">
        <v>0</v>
      </c>
      <c r="AQ50">
        <v>0</v>
      </c>
      <c r="AR50">
        <v>0</v>
      </c>
      <c r="AS50" t="s">
        <v>3</v>
      </c>
      <c r="AT50">
        <v>30.74</v>
      </c>
      <c r="AU50" t="s">
        <v>3</v>
      </c>
      <c r="AV50">
        <v>1</v>
      </c>
      <c r="AW50">
        <v>2</v>
      </c>
      <c r="AX50">
        <v>75704086</v>
      </c>
      <c r="AY50">
        <v>1</v>
      </c>
      <c r="AZ50">
        <v>0</v>
      </c>
      <c r="BA50">
        <v>46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U50">
        <f>ROUND(AT50*Source!I119*AH50*AL50,2)</f>
        <v>0</v>
      </c>
      <c r="CV50">
        <f>ROUND(Y50*Source!I119,9)</f>
        <v>16.907</v>
      </c>
      <c r="CW50">
        <v>0</v>
      </c>
      <c r="CX50">
        <f>ROUND(Y50*Source!I119,9)</f>
        <v>16.907</v>
      </c>
      <c r="CY50">
        <f>AD50</f>
        <v>0</v>
      </c>
      <c r="CZ50">
        <f>AH50</f>
        <v>0</v>
      </c>
      <c r="DA50">
        <f>AL50</f>
        <v>1</v>
      </c>
      <c r="DB50">
        <f t="shared" si="8"/>
        <v>0</v>
      </c>
      <c r="DC50">
        <f t="shared" si="9"/>
        <v>0</v>
      </c>
      <c r="DD50" t="s">
        <v>3</v>
      </c>
      <c r="DE50" t="s">
        <v>3</v>
      </c>
      <c r="DF50">
        <f t="shared" si="10"/>
        <v>0</v>
      </c>
      <c r="DG50">
        <f t="shared" si="11"/>
        <v>0</v>
      </c>
      <c r="DH50">
        <f t="shared" si="12"/>
        <v>0</v>
      </c>
      <c r="DI50">
        <f t="shared" si="13"/>
        <v>0</v>
      </c>
      <c r="DJ50">
        <f>DI50</f>
        <v>0</v>
      </c>
      <c r="DK50">
        <v>0</v>
      </c>
      <c r="DL50" t="s">
        <v>3</v>
      </c>
      <c r="DM50">
        <v>0</v>
      </c>
      <c r="DN50" t="s">
        <v>3</v>
      </c>
      <c r="DO50">
        <v>0</v>
      </c>
    </row>
    <row r="51" spans="1:119" x14ac:dyDescent="0.2">
      <c r="A51">
        <f>ROW(Source!A119)</f>
        <v>119</v>
      </c>
      <c r="B51">
        <v>75703208</v>
      </c>
      <c r="C51">
        <v>75703600</v>
      </c>
      <c r="D51">
        <v>75390376</v>
      </c>
      <c r="E51">
        <v>1</v>
      </c>
      <c r="F51">
        <v>1</v>
      </c>
      <c r="G51">
        <v>39</v>
      </c>
      <c r="H51">
        <v>3</v>
      </c>
      <c r="I51" t="s">
        <v>340</v>
      </c>
      <c r="J51" t="s">
        <v>341</v>
      </c>
      <c r="K51" t="s">
        <v>342</v>
      </c>
      <c r="L51">
        <v>1346</v>
      </c>
      <c r="N51">
        <v>1009</v>
      </c>
      <c r="O51" t="s">
        <v>51</v>
      </c>
      <c r="P51" t="s">
        <v>51</v>
      </c>
      <c r="Q51">
        <v>1</v>
      </c>
      <c r="W51">
        <v>0</v>
      </c>
      <c r="X51">
        <v>1118017035</v>
      </c>
      <c r="Y51">
        <f t="shared" si="7"/>
        <v>0.36</v>
      </c>
      <c r="AA51">
        <v>26.09</v>
      </c>
      <c r="AB51">
        <v>0</v>
      </c>
      <c r="AC51">
        <v>0</v>
      </c>
      <c r="AD51">
        <v>0</v>
      </c>
      <c r="AE51">
        <v>26.09</v>
      </c>
      <c r="AF51">
        <v>0</v>
      </c>
      <c r="AG51">
        <v>0</v>
      </c>
      <c r="AH51">
        <v>0</v>
      </c>
      <c r="AI51">
        <v>1</v>
      </c>
      <c r="AJ51">
        <v>1</v>
      </c>
      <c r="AK51">
        <v>1</v>
      </c>
      <c r="AL51">
        <v>1</v>
      </c>
      <c r="AM51">
        <v>-2</v>
      </c>
      <c r="AN51">
        <v>0</v>
      </c>
      <c r="AO51">
        <v>1</v>
      </c>
      <c r="AP51">
        <v>0</v>
      </c>
      <c r="AQ51">
        <v>0</v>
      </c>
      <c r="AR51">
        <v>0</v>
      </c>
      <c r="AS51" t="s">
        <v>3</v>
      </c>
      <c r="AT51">
        <v>0.36</v>
      </c>
      <c r="AU51" t="s">
        <v>3</v>
      </c>
      <c r="AV51">
        <v>0</v>
      </c>
      <c r="AW51">
        <v>2</v>
      </c>
      <c r="AX51">
        <v>75704087</v>
      </c>
      <c r="AY51">
        <v>1</v>
      </c>
      <c r="AZ51">
        <v>0</v>
      </c>
      <c r="BA51">
        <v>47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V51">
        <v>0</v>
      </c>
      <c r="CW51">
        <v>0</v>
      </c>
      <c r="CX51">
        <f>ROUND(Y51*Source!I119,9)</f>
        <v>0.19800000000000001</v>
      </c>
      <c r="CY51">
        <f t="shared" ref="CY51:CY56" si="18">AA51</f>
        <v>26.09</v>
      </c>
      <c r="CZ51">
        <f t="shared" ref="CZ51:CZ56" si="19">AE51</f>
        <v>26.09</v>
      </c>
      <c r="DA51">
        <f t="shared" ref="DA51:DA56" si="20">AI51</f>
        <v>1</v>
      </c>
      <c r="DB51">
        <f t="shared" si="8"/>
        <v>9.39</v>
      </c>
      <c r="DC51">
        <f t="shared" si="9"/>
        <v>0</v>
      </c>
      <c r="DD51" t="s">
        <v>3</v>
      </c>
      <c r="DE51" t="s">
        <v>3</v>
      </c>
      <c r="DF51">
        <f t="shared" si="10"/>
        <v>5.17</v>
      </c>
      <c r="DG51">
        <f t="shared" si="11"/>
        <v>0</v>
      </c>
      <c r="DH51">
        <f t="shared" si="12"/>
        <v>0</v>
      </c>
      <c r="DI51">
        <f t="shared" si="13"/>
        <v>0</v>
      </c>
      <c r="DJ51">
        <f t="shared" ref="DJ51:DJ56" si="21">DF51</f>
        <v>5.17</v>
      </c>
      <c r="DK51">
        <v>0</v>
      </c>
      <c r="DL51" t="s">
        <v>3</v>
      </c>
      <c r="DM51">
        <v>0</v>
      </c>
      <c r="DN51" t="s">
        <v>3</v>
      </c>
      <c r="DO51">
        <v>0</v>
      </c>
    </row>
    <row r="52" spans="1:119" x14ac:dyDescent="0.2">
      <c r="A52">
        <f>ROW(Source!A119)</f>
        <v>119</v>
      </c>
      <c r="B52">
        <v>75703208</v>
      </c>
      <c r="C52">
        <v>75703600</v>
      </c>
      <c r="D52">
        <v>75390588</v>
      </c>
      <c r="E52">
        <v>1</v>
      </c>
      <c r="F52">
        <v>1</v>
      </c>
      <c r="G52">
        <v>39</v>
      </c>
      <c r="H52">
        <v>3</v>
      </c>
      <c r="I52" t="s">
        <v>309</v>
      </c>
      <c r="J52" t="s">
        <v>310</v>
      </c>
      <c r="K52" t="s">
        <v>311</v>
      </c>
      <c r="L52">
        <v>1339</v>
      </c>
      <c r="N52">
        <v>1007</v>
      </c>
      <c r="O52" t="s">
        <v>312</v>
      </c>
      <c r="P52" t="s">
        <v>312</v>
      </c>
      <c r="Q52">
        <v>1</v>
      </c>
      <c r="W52">
        <v>0</v>
      </c>
      <c r="X52">
        <v>973433911</v>
      </c>
      <c r="Y52">
        <f t="shared" si="7"/>
        <v>0.24</v>
      </c>
      <c r="AA52">
        <v>49.83</v>
      </c>
      <c r="AB52">
        <v>0</v>
      </c>
      <c r="AC52">
        <v>0</v>
      </c>
      <c r="AD52">
        <v>0</v>
      </c>
      <c r="AE52">
        <v>49.83</v>
      </c>
      <c r="AF52">
        <v>0</v>
      </c>
      <c r="AG52">
        <v>0</v>
      </c>
      <c r="AH52">
        <v>0</v>
      </c>
      <c r="AI52">
        <v>1</v>
      </c>
      <c r="AJ52">
        <v>1</v>
      </c>
      <c r="AK52">
        <v>1</v>
      </c>
      <c r="AL52">
        <v>1</v>
      </c>
      <c r="AM52">
        <v>-2</v>
      </c>
      <c r="AN52">
        <v>0</v>
      </c>
      <c r="AO52">
        <v>1</v>
      </c>
      <c r="AP52">
        <v>0</v>
      </c>
      <c r="AQ52">
        <v>0</v>
      </c>
      <c r="AR52">
        <v>0</v>
      </c>
      <c r="AS52" t="s">
        <v>3</v>
      </c>
      <c r="AT52">
        <v>0.24</v>
      </c>
      <c r="AU52" t="s">
        <v>3</v>
      </c>
      <c r="AV52">
        <v>0</v>
      </c>
      <c r="AW52">
        <v>2</v>
      </c>
      <c r="AX52">
        <v>75704088</v>
      </c>
      <c r="AY52">
        <v>1</v>
      </c>
      <c r="AZ52">
        <v>0</v>
      </c>
      <c r="BA52">
        <v>48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V52">
        <v>0</v>
      </c>
      <c r="CW52">
        <v>0</v>
      </c>
      <c r="CX52">
        <f>ROUND(Y52*Source!I119,9)</f>
        <v>0.13200000000000001</v>
      </c>
      <c r="CY52">
        <f t="shared" si="18"/>
        <v>49.83</v>
      </c>
      <c r="CZ52">
        <f t="shared" si="19"/>
        <v>49.83</v>
      </c>
      <c r="DA52">
        <f t="shared" si="20"/>
        <v>1</v>
      </c>
      <c r="DB52">
        <f t="shared" si="8"/>
        <v>11.96</v>
      </c>
      <c r="DC52">
        <f t="shared" si="9"/>
        <v>0</v>
      </c>
      <c r="DD52" t="s">
        <v>3</v>
      </c>
      <c r="DE52" t="s">
        <v>3</v>
      </c>
      <c r="DF52">
        <f t="shared" si="10"/>
        <v>6.58</v>
      </c>
      <c r="DG52">
        <f t="shared" si="11"/>
        <v>0</v>
      </c>
      <c r="DH52">
        <f t="shared" si="12"/>
        <v>0</v>
      </c>
      <c r="DI52">
        <f t="shared" si="13"/>
        <v>0</v>
      </c>
      <c r="DJ52">
        <f t="shared" si="21"/>
        <v>6.58</v>
      </c>
      <c r="DK52">
        <v>0</v>
      </c>
      <c r="DL52" t="s">
        <v>3</v>
      </c>
      <c r="DM52">
        <v>0</v>
      </c>
      <c r="DN52" t="s">
        <v>3</v>
      </c>
      <c r="DO52">
        <v>0</v>
      </c>
    </row>
    <row r="53" spans="1:119" x14ac:dyDescent="0.2">
      <c r="A53">
        <f>ROW(Source!A119)</f>
        <v>119</v>
      </c>
      <c r="B53">
        <v>75703208</v>
      </c>
      <c r="C53">
        <v>75703600</v>
      </c>
      <c r="D53">
        <v>75390936</v>
      </c>
      <c r="E53">
        <v>1</v>
      </c>
      <c r="F53">
        <v>1</v>
      </c>
      <c r="G53">
        <v>39</v>
      </c>
      <c r="H53">
        <v>3</v>
      </c>
      <c r="I53" t="s">
        <v>343</v>
      </c>
      <c r="J53" t="s">
        <v>344</v>
      </c>
      <c r="K53" t="s">
        <v>345</v>
      </c>
      <c r="L53">
        <v>1327</v>
      </c>
      <c r="N53">
        <v>1005</v>
      </c>
      <c r="O53" t="s">
        <v>76</v>
      </c>
      <c r="P53" t="s">
        <v>76</v>
      </c>
      <c r="Q53">
        <v>1</v>
      </c>
      <c r="W53">
        <v>0</v>
      </c>
      <c r="X53">
        <v>-668698448</v>
      </c>
      <c r="Y53">
        <f t="shared" si="7"/>
        <v>1.6</v>
      </c>
      <c r="AA53">
        <v>338.51</v>
      </c>
      <c r="AB53">
        <v>0</v>
      </c>
      <c r="AC53">
        <v>0</v>
      </c>
      <c r="AD53">
        <v>0</v>
      </c>
      <c r="AE53">
        <v>338.51</v>
      </c>
      <c r="AF53">
        <v>0</v>
      </c>
      <c r="AG53">
        <v>0</v>
      </c>
      <c r="AH53">
        <v>0</v>
      </c>
      <c r="AI53">
        <v>1</v>
      </c>
      <c r="AJ53">
        <v>1</v>
      </c>
      <c r="AK53">
        <v>1</v>
      </c>
      <c r="AL53">
        <v>1</v>
      </c>
      <c r="AM53">
        <v>-2</v>
      </c>
      <c r="AN53">
        <v>0</v>
      </c>
      <c r="AO53">
        <v>1</v>
      </c>
      <c r="AP53">
        <v>0</v>
      </c>
      <c r="AQ53">
        <v>0</v>
      </c>
      <c r="AR53">
        <v>0</v>
      </c>
      <c r="AS53" t="s">
        <v>3</v>
      </c>
      <c r="AT53">
        <v>1.6</v>
      </c>
      <c r="AU53" t="s">
        <v>3</v>
      </c>
      <c r="AV53">
        <v>0</v>
      </c>
      <c r="AW53">
        <v>2</v>
      </c>
      <c r="AX53">
        <v>75704089</v>
      </c>
      <c r="AY53">
        <v>1</v>
      </c>
      <c r="AZ53">
        <v>0</v>
      </c>
      <c r="BA53">
        <v>49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V53">
        <v>0</v>
      </c>
      <c r="CW53">
        <v>0</v>
      </c>
      <c r="CX53">
        <f>ROUND(Y53*Source!I119,9)</f>
        <v>0.88</v>
      </c>
      <c r="CY53">
        <f t="shared" si="18"/>
        <v>338.51</v>
      </c>
      <c r="CZ53">
        <f t="shared" si="19"/>
        <v>338.51</v>
      </c>
      <c r="DA53">
        <f t="shared" si="20"/>
        <v>1</v>
      </c>
      <c r="DB53">
        <f t="shared" si="8"/>
        <v>541.62</v>
      </c>
      <c r="DC53">
        <f t="shared" si="9"/>
        <v>0</v>
      </c>
      <c r="DD53" t="s">
        <v>3</v>
      </c>
      <c r="DE53" t="s">
        <v>3</v>
      </c>
      <c r="DF53">
        <f t="shared" si="10"/>
        <v>297.89</v>
      </c>
      <c r="DG53">
        <f t="shared" si="11"/>
        <v>0</v>
      </c>
      <c r="DH53">
        <f t="shared" si="12"/>
        <v>0</v>
      </c>
      <c r="DI53">
        <f t="shared" si="13"/>
        <v>0</v>
      </c>
      <c r="DJ53">
        <f t="shared" si="21"/>
        <v>297.89</v>
      </c>
      <c r="DK53">
        <v>0</v>
      </c>
      <c r="DL53" t="s">
        <v>3</v>
      </c>
      <c r="DM53">
        <v>0</v>
      </c>
      <c r="DN53" t="s">
        <v>3</v>
      </c>
      <c r="DO53">
        <v>0</v>
      </c>
    </row>
    <row r="54" spans="1:119" x14ac:dyDescent="0.2">
      <c r="A54">
        <f>ROW(Source!A119)</f>
        <v>119</v>
      </c>
      <c r="B54">
        <v>75703208</v>
      </c>
      <c r="C54">
        <v>75703600</v>
      </c>
      <c r="D54">
        <v>75390952</v>
      </c>
      <c r="E54">
        <v>1</v>
      </c>
      <c r="F54">
        <v>1</v>
      </c>
      <c r="G54">
        <v>39</v>
      </c>
      <c r="H54">
        <v>3</v>
      </c>
      <c r="I54" t="s">
        <v>346</v>
      </c>
      <c r="J54" t="s">
        <v>347</v>
      </c>
      <c r="K54" t="s">
        <v>348</v>
      </c>
      <c r="L54">
        <v>1348</v>
      </c>
      <c r="N54">
        <v>1009</v>
      </c>
      <c r="O54" t="s">
        <v>56</v>
      </c>
      <c r="P54" t="s">
        <v>56</v>
      </c>
      <c r="Q54">
        <v>1000</v>
      </c>
      <c r="W54">
        <v>0</v>
      </c>
      <c r="X54">
        <v>1133369200</v>
      </c>
      <c r="Y54">
        <f t="shared" si="7"/>
        <v>6.7999999999999996E-3</v>
      </c>
      <c r="AA54">
        <v>76204.789999999994</v>
      </c>
      <c r="AB54">
        <v>0</v>
      </c>
      <c r="AC54">
        <v>0</v>
      </c>
      <c r="AD54">
        <v>0</v>
      </c>
      <c r="AE54">
        <v>76204.789999999994</v>
      </c>
      <c r="AF54">
        <v>0</v>
      </c>
      <c r="AG54">
        <v>0</v>
      </c>
      <c r="AH54">
        <v>0</v>
      </c>
      <c r="AI54">
        <v>1</v>
      </c>
      <c r="AJ54">
        <v>1</v>
      </c>
      <c r="AK54">
        <v>1</v>
      </c>
      <c r="AL54">
        <v>1</v>
      </c>
      <c r="AM54">
        <v>-2</v>
      </c>
      <c r="AN54">
        <v>0</v>
      </c>
      <c r="AO54">
        <v>1</v>
      </c>
      <c r="AP54">
        <v>0</v>
      </c>
      <c r="AQ54">
        <v>0</v>
      </c>
      <c r="AR54">
        <v>0</v>
      </c>
      <c r="AS54" t="s">
        <v>3</v>
      </c>
      <c r="AT54">
        <v>6.7999999999999996E-3</v>
      </c>
      <c r="AU54" t="s">
        <v>3</v>
      </c>
      <c r="AV54">
        <v>0</v>
      </c>
      <c r="AW54">
        <v>2</v>
      </c>
      <c r="AX54">
        <v>75704090</v>
      </c>
      <c r="AY54">
        <v>1</v>
      </c>
      <c r="AZ54">
        <v>0</v>
      </c>
      <c r="BA54">
        <v>50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V54">
        <v>0</v>
      </c>
      <c r="CW54">
        <v>0</v>
      </c>
      <c r="CX54">
        <f>ROUND(Y54*Source!I119,9)</f>
        <v>3.7399999999999998E-3</v>
      </c>
      <c r="CY54">
        <f t="shared" si="18"/>
        <v>76204.789999999994</v>
      </c>
      <c r="CZ54">
        <f t="shared" si="19"/>
        <v>76204.789999999994</v>
      </c>
      <c r="DA54">
        <f t="shared" si="20"/>
        <v>1</v>
      </c>
      <c r="DB54">
        <f t="shared" si="8"/>
        <v>518.19000000000005</v>
      </c>
      <c r="DC54">
        <f t="shared" si="9"/>
        <v>0</v>
      </c>
      <c r="DD54" t="s">
        <v>3</v>
      </c>
      <c r="DE54" t="s">
        <v>3</v>
      </c>
      <c r="DF54">
        <f t="shared" si="10"/>
        <v>285.01</v>
      </c>
      <c r="DG54">
        <f t="shared" si="11"/>
        <v>0</v>
      </c>
      <c r="DH54">
        <f t="shared" si="12"/>
        <v>0</v>
      </c>
      <c r="DI54">
        <f t="shared" si="13"/>
        <v>0</v>
      </c>
      <c r="DJ54">
        <f t="shared" si="21"/>
        <v>285.01</v>
      </c>
      <c r="DK54">
        <v>0</v>
      </c>
      <c r="DL54" t="s">
        <v>3</v>
      </c>
      <c r="DM54">
        <v>0</v>
      </c>
      <c r="DN54" t="s">
        <v>3</v>
      </c>
      <c r="DO54">
        <v>0</v>
      </c>
    </row>
    <row r="55" spans="1:119" x14ac:dyDescent="0.2">
      <c r="A55">
        <f>ROW(Source!A119)</f>
        <v>119</v>
      </c>
      <c r="B55">
        <v>75703208</v>
      </c>
      <c r="C55">
        <v>75703600</v>
      </c>
      <c r="D55">
        <v>75389192</v>
      </c>
      <c r="E55">
        <v>1</v>
      </c>
      <c r="F55">
        <v>1</v>
      </c>
      <c r="G55">
        <v>39</v>
      </c>
      <c r="H55">
        <v>3</v>
      </c>
      <c r="I55" t="s">
        <v>355</v>
      </c>
      <c r="J55" t="s">
        <v>356</v>
      </c>
      <c r="K55" t="s">
        <v>357</v>
      </c>
      <c r="L55">
        <v>1346</v>
      </c>
      <c r="N55">
        <v>1009</v>
      </c>
      <c r="O55" t="s">
        <v>51</v>
      </c>
      <c r="P55" t="s">
        <v>51</v>
      </c>
      <c r="Q55">
        <v>1</v>
      </c>
      <c r="W55">
        <v>0</v>
      </c>
      <c r="X55">
        <v>-959966110</v>
      </c>
      <c r="Y55">
        <f t="shared" si="7"/>
        <v>24.8</v>
      </c>
      <c r="AA55">
        <v>157.52000000000001</v>
      </c>
      <c r="AB55">
        <v>0</v>
      </c>
      <c r="AC55">
        <v>0</v>
      </c>
      <c r="AD55">
        <v>0</v>
      </c>
      <c r="AE55">
        <v>157.52000000000001</v>
      </c>
      <c r="AF55">
        <v>0</v>
      </c>
      <c r="AG55">
        <v>0</v>
      </c>
      <c r="AH55">
        <v>0</v>
      </c>
      <c r="AI55">
        <v>1</v>
      </c>
      <c r="AJ55">
        <v>1</v>
      </c>
      <c r="AK55">
        <v>1</v>
      </c>
      <c r="AL55">
        <v>1</v>
      </c>
      <c r="AM55">
        <v>-2</v>
      </c>
      <c r="AN55">
        <v>0</v>
      </c>
      <c r="AO55">
        <v>1</v>
      </c>
      <c r="AP55">
        <v>0</v>
      </c>
      <c r="AQ55">
        <v>0</v>
      </c>
      <c r="AR55">
        <v>0</v>
      </c>
      <c r="AS55" t="s">
        <v>3</v>
      </c>
      <c r="AT55">
        <v>24.8</v>
      </c>
      <c r="AU55" t="s">
        <v>3</v>
      </c>
      <c r="AV55">
        <v>0</v>
      </c>
      <c r="AW55">
        <v>2</v>
      </c>
      <c r="AX55">
        <v>75704091</v>
      </c>
      <c r="AY55">
        <v>1</v>
      </c>
      <c r="AZ55">
        <v>0</v>
      </c>
      <c r="BA55">
        <v>51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V55">
        <v>0</v>
      </c>
      <c r="CW55">
        <v>0</v>
      </c>
      <c r="CX55">
        <f>ROUND(Y55*Source!I119,9)</f>
        <v>13.64</v>
      </c>
      <c r="CY55">
        <f t="shared" si="18"/>
        <v>157.52000000000001</v>
      </c>
      <c r="CZ55">
        <f t="shared" si="19"/>
        <v>157.52000000000001</v>
      </c>
      <c r="DA55">
        <f t="shared" si="20"/>
        <v>1</v>
      </c>
      <c r="DB55">
        <f t="shared" si="8"/>
        <v>3906.5</v>
      </c>
      <c r="DC55">
        <f t="shared" si="9"/>
        <v>0</v>
      </c>
      <c r="DD55" t="s">
        <v>3</v>
      </c>
      <c r="DE55" t="s">
        <v>3</v>
      </c>
      <c r="DF55">
        <f t="shared" si="10"/>
        <v>2148.5700000000002</v>
      </c>
      <c r="DG55">
        <f t="shared" si="11"/>
        <v>0</v>
      </c>
      <c r="DH55">
        <f t="shared" si="12"/>
        <v>0</v>
      </c>
      <c r="DI55">
        <f t="shared" si="13"/>
        <v>0</v>
      </c>
      <c r="DJ55">
        <f t="shared" si="21"/>
        <v>2148.5700000000002</v>
      </c>
      <c r="DK55">
        <v>0</v>
      </c>
      <c r="DL55" t="s">
        <v>3</v>
      </c>
      <c r="DM55">
        <v>0</v>
      </c>
      <c r="DN55" t="s">
        <v>3</v>
      </c>
      <c r="DO55">
        <v>0</v>
      </c>
    </row>
    <row r="56" spans="1:119" x14ac:dyDescent="0.2">
      <c r="A56">
        <f>ROW(Source!A119)</f>
        <v>119</v>
      </c>
      <c r="B56">
        <v>75703208</v>
      </c>
      <c r="C56">
        <v>75703600</v>
      </c>
      <c r="D56">
        <v>75389195</v>
      </c>
      <c r="E56">
        <v>1</v>
      </c>
      <c r="F56">
        <v>1</v>
      </c>
      <c r="G56">
        <v>39</v>
      </c>
      <c r="H56">
        <v>3</v>
      </c>
      <c r="I56" t="s">
        <v>352</v>
      </c>
      <c r="J56" t="s">
        <v>353</v>
      </c>
      <c r="K56" t="s">
        <v>354</v>
      </c>
      <c r="L56">
        <v>1346</v>
      </c>
      <c r="N56">
        <v>1009</v>
      </c>
      <c r="O56" t="s">
        <v>51</v>
      </c>
      <c r="P56" t="s">
        <v>51</v>
      </c>
      <c r="Q56">
        <v>1</v>
      </c>
      <c r="W56">
        <v>0</v>
      </c>
      <c r="X56">
        <v>2089374929</v>
      </c>
      <c r="Y56">
        <f t="shared" si="7"/>
        <v>14</v>
      </c>
      <c r="AA56">
        <v>80.599999999999994</v>
      </c>
      <c r="AB56">
        <v>0</v>
      </c>
      <c r="AC56">
        <v>0</v>
      </c>
      <c r="AD56">
        <v>0</v>
      </c>
      <c r="AE56">
        <v>80.599999999999994</v>
      </c>
      <c r="AF56">
        <v>0</v>
      </c>
      <c r="AG56">
        <v>0</v>
      </c>
      <c r="AH56">
        <v>0</v>
      </c>
      <c r="AI56">
        <v>1</v>
      </c>
      <c r="AJ56">
        <v>1</v>
      </c>
      <c r="AK56">
        <v>1</v>
      </c>
      <c r="AL56">
        <v>1</v>
      </c>
      <c r="AM56">
        <v>-2</v>
      </c>
      <c r="AN56">
        <v>0</v>
      </c>
      <c r="AO56">
        <v>1</v>
      </c>
      <c r="AP56">
        <v>0</v>
      </c>
      <c r="AQ56">
        <v>0</v>
      </c>
      <c r="AR56">
        <v>0</v>
      </c>
      <c r="AS56" t="s">
        <v>3</v>
      </c>
      <c r="AT56">
        <v>14</v>
      </c>
      <c r="AU56" t="s">
        <v>3</v>
      </c>
      <c r="AV56">
        <v>0</v>
      </c>
      <c r="AW56">
        <v>2</v>
      </c>
      <c r="AX56">
        <v>75704092</v>
      </c>
      <c r="AY56">
        <v>1</v>
      </c>
      <c r="AZ56">
        <v>0</v>
      </c>
      <c r="BA56">
        <v>52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V56">
        <v>0</v>
      </c>
      <c r="CW56">
        <v>0</v>
      </c>
      <c r="CX56">
        <f>ROUND(Y56*Source!I119,9)</f>
        <v>7.7</v>
      </c>
      <c r="CY56">
        <f t="shared" si="18"/>
        <v>80.599999999999994</v>
      </c>
      <c r="CZ56">
        <f t="shared" si="19"/>
        <v>80.599999999999994</v>
      </c>
      <c r="DA56">
        <f t="shared" si="20"/>
        <v>1</v>
      </c>
      <c r="DB56">
        <f t="shared" si="8"/>
        <v>1128.4000000000001</v>
      </c>
      <c r="DC56">
        <f t="shared" si="9"/>
        <v>0</v>
      </c>
      <c r="DD56" t="s">
        <v>3</v>
      </c>
      <c r="DE56" t="s">
        <v>3</v>
      </c>
      <c r="DF56">
        <f t="shared" si="10"/>
        <v>620.62</v>
      </c>
      <c r="DG56">
        <f t="shared" si="11"/>
        <v>0</v>
      </c>
      <c r="DH56">
        <f t="shared" si="12"/>
        <v>0</v>
      </c>
      <c r="DI56">
        <f t="shared" si="13"/>
        <v>0</v>
      </c>
      <c r="DJ56">
        <f t="shared" si="21"/>
        <v>620.62</v>
      </c>
      <c r="DK56">
        <v>0</v>
      </c>
      <c r="DL56" t="s">
        <v>3</v>
      </c>
      <c r="DM56">
        <v>0</v>
      </c>
      <c r="DN56" t="s">
        <v>3</v>
      </c>
      <c r="DO56">
        <v>0</v>
      </c>
    </row>
    <row r="57" spans="1:119" x14ac:dyDescent="0.2">
      <c r="A57">
        <f>ROW(Source!A155)</f>
        <v>155</v>
      </c>
      <c r="B57">
        <v>75703208</v>
      </c>
      <c r="C57">
        <v>75703671</v>
      </c>
      <c r="D57">
        <v>75386788</v>
      </c>
      <c r="E57">
        <v>39</v>
      </c>
      <c r="F57">
        <v>1</v>
      </c>
      <c r="G57">
        <v>39</v>
      </c>
      <c r="H57">
        <v>1</v>
      </c>
      <c r="I57" t="s">
        <v>276</v>
      </c>
      <c r="J57" t="s">
        <v>3</v>
      </c>
      <c r="K57" t="s">
        <v>277</v>
      </c>
      <c r="L57">
        <v>1191</v>
      </c>
      <c r="N57">
        <v>1013</v>
      </c>
      <c r="O57" t="s">
        <v>278</v>
      </c>
      <c r="P57" t="s">
        <v>278</v>
      </c>
      <c r="Q57">
        <v>1</v>
      </c>
      <c r="W57">
        <v>0</v>
      </c>
      <c r="X57">
        <v>476480486</v>
      </c>
      <c r="Y57">
        <f>(AT57*0.2)</f>
        <v>1.4800000000000002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1</v>
      </c>
      <c r="AJ57">
        <v>1</v>
      </c>
      <c r="AK57">
        <v>1</v>
      </c>
      <c r="AL57">
        <v>1</v>
      </c>
      <c r="AM57">
        <v>-2</v>
      </c>
      <c r="AN57">
        <v>0</v>
      </c>
      <c r="AO57">
        <v>1</v>
      </c>
      <c r="AP57">
        <v>1</v>
      </c>
      <c r="AQ57">
        <v>0</v>
      </c>
      <c r="AR57">
        <v>0</v>
      </c>
      <c r="AS57" t="s">
        <v>3</v>
      </c>
      <c r="AT57">
        <v>7.4</v>
      </c>
      <c r="AU57" t="s">
        <v>160</v>
      </c>
      <c r="AV57">
        <v>1</v>
      </c>
      <c r="AW57">
        <v>2</v>
      </c>
      <c r="AX57">
        <v>75704093</v>
      </c>
      <c r="AY57">
        <v>1</v>
      </c>
      <c r="AZ57">
        <v>0</v>
      </c>
      <c r="BA57">
        <v>53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U57">
        <f>ROUND(AT57*Source!I155*AH57*AL57,2)</f>
        <v>0</v>
      </c>
      <c r="CV57">
        <f>ROUND(Y57*Source!I155,9)</f>
        <v>0.18204000000000001</v>
      </c>
      <c r="CW57">
        <v>0</v>
      </c>
      <c r="CX57">
        <f>ROUND(Y57*Source!I155,9)</f>
        <v>0.18204000000000001</v>
      </c>
      <c r="CY57">
        <f>AD57</f>
        <v>0</v>
      </c>
      <c r="CZ57">
        <f>AH57</f>
        <v>0</v>
      </c>
      <c r="DA57">
        <f>AL57</f>
        <v>1</v>
      </c>
      <c r="DB57">
        <f>ROUND((ROUND(AT57*CZ57,2)*0.2),6)</f>
        <v>0</v>
      </c>
      <c r="DC57">
        <f>ROUND((ROUND(AT57*AG57,2)*0.2),6)</f>
        <v>0</v>
      </c>
      <c r="DD57" t="s">
        <v>3</v>
      </c>
      <c r="DE57" t="s">
        <v>3</v>
      </c>
      <c r="DF57">
        <f t="shared" si="10"/>
        <v>0</v>
      </c>
      <c r="DG57">
        <f t="shared" si="11"/>
        <v>0</v>
      </c>
      <c r="DH57">
        <f t="shared" si="12"/>
        <v>0</v>
      </c>
      <c r="DI57">
        <f t="shared" si="13"/>
        <v>0</v>
      </c>
      <c r="DJ57">
        <f>DI57</f>
        <v>0</v>
      </c>
      <c r="DK57">
        <v>0</v>
      </c>
      <c r="DL57" t="s">
        <v>3</v>
      </c>
      <c r="DM57">
        <v>0</v>
      </c>
      <c r="DN57" t="s">
        <v>3</v>
      </c>
      <c r="DO57">
        <v>0</v>
      </c>
    </row>
    <row r="58" spans="1:119" x14ac:dyDescent="0.2">
      <c r="A58">
        <f>ROW(Source!A155)</f>
        <v>155</v>
      </c>
      <c r="B58">
        <v>75703208</v>
      </c>
      <c r="C58">
        <v>75703671</v>
      </c>
      <c r="D58">
        <v>75390706</v>
      </c>
      <c r="E58">
        <v>1</v>
      </c>
      <c r="F58">
        <v>1</v>
      </c>
      <c r="G58">
        <v>39</v>
      </c>
      <c r="H58">
        <v>3</v>
      </c>
      <c r="I58" t="s">
        <v>358</v>
      </c>
      <c r="J58" t="s">
        <v>359</v>
      </c>
      <c r="K58" t="s">
        <v>360</v>
      </c>
      <c r="L58">
        <v>1301</v>
      </c>
      <c r="N58">
        <v>1003</v>
      </c>
      <c r="O58" t="s">
        <v>36</v>
      </c>
      <c r="P58" t="s">
        <v>36</v>
      </c>
      <c r="Q58">
        <v>1</v>
      </c>
      <c r="W58">
        <v>0</v>
      </c>
      <c r="X58">
        <v>1792308677</v>
      </c>
      <c r="Y58">
        <f>(AT58*0)</f>
        <v>0</v>
      </c>
      <c r="AA58">
        <v>2.2400000000000002</v>
      </c>
      <c r="AB58">
        <v>0</v>
      </c>
      <c r="AC58">
        <v>0</v>
      </c>
      <c r="AD58">
        <v>0</v>
      </c>
      <c r="AE58">
        <v>2.2400000000000002</v>
      </c>
      <c r="AF58">
        <v>0</v>
      </c>
      <c r="AG58">
        <v>0</v>
      </c>
      <c r="AH58">
        <v>0</v>
      </c>
      <c r="AI58">
        <v>1</v>
      </c>
      <c r="AJ58">
        <v>1</v>
      </c>
      <c r="AK58">
        <v>1</v>
      </c>
      <c r="AL58">
        <v>1</v>
      </c>
      <c r="AM58">
        <v>-2</v>
      </c>
      <c r="AN58">
        <v>0</v>
      </c>
      <c r="AO58">
        <v>1</v>
      </c>
      <c r="AP58">
        <v>1</v>
      </c>
      <c r="AQ58">
        <v>0</v>
      </c>
      <c r="AR58">
        <v>0</v>
      </c>
      <c r="AS58" t="s">
        <v>3</v>
      </c>
      <c r="AT58">
        <v>13</v>
      </c>
      <c r="AU58" t="s">
        <v>159</v>
      </c>
      <c r="AV58">
        <v>0</v>
      </c>
      <c r="AW58">
        <v>2</v>
      </c>
      <c r="AX58">
        <v>75704094</v>
      </c>
      <c r="AY58">
        <v>1</v>
      </c>
      <c r="AZ58">
        <v>0</v>
      </c>
      <c r="BA58">
        <v>54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V58">
        <v>0</v>
      </c>
      <c r="CW58">
        <v>0</v>
      </c>
      <c r="CX58">
        <f>ROUND(Y58*Source!I155,9)</f>
        <v>0</v>
      </c>
      <c r="CY58">
        <f>AA58</f>
        <v>2.2400000000000002</v>
      </c>
      <c r="CZ58">
        <f>AE58</f>
        <v>2.2400000000000002</v>
      </c>
      <c r="DA58">
        <f>AI58</f>
        <v>1</v>
      </c>
      <c r="DB58">
        <f>ROUND((ROUND(AT58*CZ58,2)*0),6)</f>
        <v>0</v>
      </c>
      <c r="DC58">
        <f>ROUND((ROUND(AT58*AG58,2)*0),6)</f>
        <v>0</v>
      </c>
      <c r="DD58" t="s">
        <v>3</v>
      </c>
      <c r="DE58" t="s">
        <v>3</v>
      </c>
      <c r="DF58">
        <f t="shared" si="10"/>
        <v>0</v>
      </c>
      <c r="DG58">
        <f t="shared" si="11"/>
        <v>0</v>
      </c>
      <c r="DH58">
        <f t="shared" si="12"/>
        <v>0</v>
      </c>
      <c r="DI58">
        <f t="shared" si="13"/>
        <v>0</v>
      </c>
      <c r="DJ58">
        <f>DF58</f>
        <v>0</v>
      </c>
      <c r="DK58">
        <v>0</v>
      </c>
      <c r="DL58" t="s">
        <v>3</v>
      </c>
      <c r="DM58">
        <v>0</v>
      </c>
      <c r="DN58" t="s">
        <v>3</v>
      </c>
      <c r="DO58">
        <v>0</v>
      </c>
    </row>
    <row r="59" spans="1:119" x14ac:dyDescent="0.2">
      <c r="A59">
        <f>ROW(Source!A155)</f>
        <v>155</v>
      </c>
      <c r="B59">
        <v>75703208</v>
      </c>
      <c r="C59">
        <v>75703671</v>
      </c>
      <c r="D59">
        <v>75390645</v>
      </c>
      <c r="E59">
        <v>1</v>
      </c>
      <c r="F59">
        <v>1</v>
      </c>
      <c r="G59">
        <v>39</v>
      </c>
      <c r="H59">
        <v>3</v>
      </c>
      <c r="I59" t="s">
        <v>361</v>
      </c>
      <c r="J59" t="s">
        <v>362</v>
      </c>
      <c r="K59" t="s">
        <v>363</v>
      </c>
      <c r="L59">
        <v>1296</v>
      </c>
      <c r="N59">
        <v>1002</v>
      </c>
      <c r="O59" t="s">
        <v>364</v>
      </c>
      <c r="P59" t="s">
        <v>364</v>
      </c>
      <c r="Q59">
        <v>1</v>
      </c>
      <c r="W59">
        <v>0</v>
      </c>
      <c r="X59">
        <v>2116147259</v>
      </c>
      <c r="Y59">
        <f>(AT59*0)</f>
        <v>0</v>
      </c>
      <c r="AA59">
        <v>594.64</v>
      </c>
      <c r="AB59">
        <v>0</v>
      </c>
      <c r="AC59">
        <v>0</v>
      </c>
      <c r="AD59">
        <v>0</v>
      </c>
      <c r="AE59">
        <v>594.64</v>
      </c>
      <c r="AF59">
        <v>0</v>
      </c>
      <c r="AG59">
        <v>0</v>
      </c>
      <c r="AH59">
        <v>0</v>
      </c>
      <c r="AI59">
        <v>1</v>
      </c>
      <c r="AJ59">
        <v>1</v>
      </c>
      <c r="AK59">
        <v>1</v>
      </c>
      <c r="AL59">
        <v>1</v>
      </c>
      <c r="AM59">
        <v>-2</v>
      </c>
      <c r="AN59">
        <v>0</v>
      </c>
      <c r="AO59">
        <v>1</v>
      </c>
      <c r="AP59">
        <v>1</v>
      </c>
      <c r="AQ59">
        <v>0</v>
      </c>
      <c r="AR59">
        <v>0</v>
      </c>
      <c r="AS59" t="s">
        <v>3</v>
      </c>
      <c r="AT59">
        <v>0.56999999999999995</v>
      </c>
      <c r="AU59" t="s">
        <v>159</v>
      </c>
      <c r="AV59">
        <v>0</v>
      </c>
      <c r="AW59">
        <v>2</v>
      </c>
      <c r="AX59">
        <v>75704095</v>
      </c>
      <c r="AY59">
        <v>1</v>
      </c>
      <c r="AZ59">
        <v>0</v>
      </c>
      <c r="BA59">
        <v>55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V59">
        <v>0</v>
      </c>
      <c r="CW59">
        <v>0</v>
      </c>
      <c r="CX59">
        <f>ROUND(Y59*Source!I155,9)</f>
        <v>0</v>
      </c>
      <c r="CY59">
        <f>AA59</f>
        <v>594.64</v>
      </c>
      <c r="CZ59">
        <f>AE59</f>
        <v>594.64</v>
      </c>
      <c r="DA59">
        <f>AI59</f>
        <v>1</v>
      </c>
      <c r="DB59">
        <f>ROUND((ROUND(AT59*CZ59,2)*0),6)</f>
        <v>0</v>
      </c>
      <c r="DC59">
        <f>ROUND((ROUND(AT59*AG59,2)*0),6)</f>
        <v>0</v>
      </c>
      <c r="DD59" t="s">
        <v>3</v>
      </c>
      <c r="DE59" t="s">
        <v>3</v>
      </c>
      <c r="DF59">
        <f t="shared" si="10"/>
        <v>0</v>
      </c>
      <c r="DG59">
        <f t="shared" si="11"/>
        <v>0</v>
      </c>
      <c r="DH59">
        <f t="shared" si="12"/>
        <v>0</v>
      </c>
      <c r="DI59">
        <f t="shared" si="13"/>
        <v>0</v>
      </c>
      <c r="DJ59">
        <f>DF59</f>
        <v>0</v>
      </c>
      <c r="DK59">
        <v>0</v>
      </c>
      <c r="DL59" t="s">
        <v>3</v>
      </c>
      <c r="DM59">
        <v>0</v>
      </c>
      <c r="DN59" t="s">
        <v>3</v>
      </c>
      <c r="DO59">
        <v>0</v>
      </c>
    </row>
    <row r="60" spans="1:119" x14ac:dyDescent="0.2">
      <c r="A60">
        <f>ROW(Source!A156)</f>
        <v>156</v>
      </c>
      <c r="B60">
        <v>75703208</v>
      </c>
      <c r="C60">
        <v>75703679</v>
      </c>
      <c r="D60">
        <v>75386788</v>
      </c>
      <c r="E60">
        <v>39</v>
      </c>
      <c r="F60">
        <v>1</v>
      </c>
      <c r="G60">
        <v>39</v>
      </c>
      <c r="H60">
        <v>1</v>
      </c>
      <c r="I60" t="s">
        <v>276</v>
      </c>
      <c r="J60" t="s">
        <v>3</v>
      </c>
      <c r="K60" t="s">
        <v>277</v>
      </c>
      <c r="L60">
        <v>1191</v>
      </c>
      <c r="N60">
        <v>1013</v>
      </c>
      <c r="O60" t="s">
        <v>278</v>
      </c>
      <c r="P60" t="s">
        <v>278</v>
      </c>
      <c r="Q60">
        <v>1</v>
      </c>
      <c r="W60">
        <v>0</v>
      </c>
      <c r="X60">
        <v>476480486</v>
      </c>
      <c r="Y60">
        <f>(AT60*0.2)</f>
        <v>1.6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1</v>
      </c>
      <c r="AJ60">
        <v>1</v>
      </c>
      <c r="AK60">
        <v>1</v>
      </c>
      <c r="AL60">
        <v>1</v>
      </c>
      <c r="AM60">
        <v>-2</v>
      </c>
      <c r="AN60">
        <v>0</v>
      </c>
      <c r="AO60">
        <v>1</v>
      </c>
      <c r="AP60">
        <v>1</v>
      </c>
      <c r="AQ60">
        <v>0</v>
      </c>
      <c r="AR60">
        <v>0</v>
      </c>
      <c r="AS60" t="s">
        <v>3</v>
      </c>
      <c r="AT60">
        <v>8</v>
      </c>
      <c r="AU60" t="s">
        <v>160</v>
      </c>
      <c r="AV60">
        <v>1</v>
      </c>
      <c r="AW60">
        <v>2</v>
      </c>
      <c r="AX60">
        <v>75704097</v>
      </c>
      <c r="AY60">
        <v>1</v>
      </c>
      <c r="AZ60">
        <v>0</v>
      </c>
      <c r="BA60">
        <v>57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U60">
        <f>ROUND(AT60*Source!I156*AH60*AL60,2)</f>
        <v>0</v>
      </c>
      <c r="CV60">
        <f>ROUND(Y60*Source!I156,9)</f>
        <v>0.1152</v>
      </c>
      <c r="CW60">
        <v>0</v>
      </c>
      <c r="CX60">
        <f>ROUND(Y60*Source!I156,9)</f>
        <v>0.1152</v>
      </c>
      <c r="CY60">
        <f>AD60</f>
        <v>0</v>
      </c>
      <c r="CZ60">
        <f>AH60</f>
        <v>0</v>
      </c>
      <c r="DA60">
        <f>AL60</f>
        <v>1</v>
      </c>
      <c r="DB60">
        <f>ROUND((ROUND(AT60*CZ60,2)*0.2),6)</f>
        <v>0</v>
      </c>
      <c r="DC60">
        <f>ROUND((ROUND(AT60*AG60,2)*0.2),6)</f>
        <v>0</v>
      </c>
      <c r="DD60" t="s">
        <v>3</v>
      </c>
      <c r="DE60" t="s">
        <v>3</v>
      </c>
      <c r="DF60">
        <f t="shared" si="10"/>
        <v>0</v>
      </c>
      <c r="DG60">
        <f t="shared" si="11"/>
        <v>0</v>
      </c>
      <c r="DH60">
        <f t="shared" si="12"/>
        <v>0</v>
      </c>
      <c r="DI60">
        <f t="shared" si="13"/>
        <v>0</v>
      </c>
      <c r="DJ60">
        <f>DI60</f>
        <v>0</v>
      </c>
      <c r="DK60">
        <v>0</v>
      </c>
      <c r="DL60" t="s">
        <v>3</v>
      </c>
      <c r="DM60">
        <v>0</v>
      </c>
      <c r="DN60" t="s">
        <v>3</v>
      </c>
      <c r="DO60">
        <v>0</v>
      </c>
    </row>
    <row r="61" spans="1:119" x14ac:dyDescent="0.2">
      <c r="A61">
        <f>ROW(Source!A156)</f>
        <v>156</v>
      </c>
      <c r="B61">
        <v>75703208</v>
      </c>
      <c r="C61">
        <v>75703679</v>
      </c>
      <c r="D61">
        <v>75390706</v>
      </c>
      <c r="E61">
        <v>1</v>
      </c>
      <c r="F61">
        <v>1</v>
      </c>
      <c r="G61">
        <v>39</v>
      </c>
      <c r="H61">
        <v>3</v>
      </c>
      <c r="I61" t="s">
        <v>358</v>
      </c>
      <c r="J61" t="s">
        <v>359</v>
      </c>
      <c r="K61" t="s">
        <v>360</v>
      </c>
      <c r="L61">
        <v>1301</v>
      </c>
      <c r="N61">
        <v>1003</v>
      </c>
      <c r="O61" t="s">
        <v>36</v>
      </c>
      <c r="P61" t="s">
        <v>36</v>
      </c>
      <c r="Q61">
        <v>1</v>
      </c>
      <c r="W61">
        <v>0</v>
      </c>
      <c r="X61">
        <v>1792308677</v>
      </c>
      <c r="Y61">
        <f>(AT61*0)</f>
        <v>0</v>
      </c>
      <c r="AA61">
        <v>2.2400000000000002</v>
      </c>
      <c r="AB61">
        <v>0</v>
      </c>
      <c r="AC61">
        <v>0</v>
      </c>
      <c r="AD61">
        <v>0</v>
      </c>
      <c r="AE61">
        <v>2.2400000000000002</v>
      </c>
      <c r="AF61">
        <v>0</v>
      </c>
      <c r="AG61">
        <v>0</v>
      </c>
      <c r="AH61">
        <v>0</v>
      </c>
      <c r="AI61">
        <v>1</v>
      </c>
      <c r="AJ61">
        <v>1</v>
      </c>
      <c r="AK61">
        <v>1</v>
      </c>
      <c r="AL61">
        <v>1</v>
      </c>
      <c r="AM61">
        <v>-2</v>
      </c>
      <c r="AN61">
        <v>0</v>
      </c>
      <c r="AO61">
        <v>1</v>
      </c>
      <c r="AP61">
        <v>1</v>
      </c>
      <c r="AQ61">
        <v>0</v>
      </c>
      <c r="AR61">
        <v>0</v>
      </c>
      <c r="AS61" t="s">
        <v>3</v>
      </c>
      <c r="AT61">
        <v>13</v>
      </c>
      <c r="AU61" t="s">
        <v>159</v>
      </c>
      <c r="AV61">
        <v>0</v>
      </c>
      <c r="AW61">
        <v>2</v>
      </c>
      <c r="AX61">
        <v>75704098</v>
      </c>
      <c r="AY61">
        <v>1</v>
      </c>
      <c r="AZ61">
        <v>0</v>
      </c>
      <c r="BA61">
        <v>58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V61">
        <v>0</v>
      </c>
      <c r="CW61">
        <v>0</v>
      </c>
      <c r="CX61">
        <f>ROUND(Y61*Source!I156,9)</f>
        <v>0</v>
      </c>
      <c r="CY61">
        <f>AA61</f>
        <v>2.2400000000000002</v>
      </c>
      <c r="CZ61">
        <f>AE61</f>
        <v>2.2400000000000002</v>
      </c>
      <c r="DA61">
        <f>AI61</f>
        <v>1</v>
      </c>
      <c r="DB61">
        <f>ROUND((ROUND(AT61*CZ61,2)*0),6)</f>
        <v>0</v>
      </c>
      <c r="DC61">
        <f>ROUND((ROUND(AT61*AG61,2)*0),6)</f>
        <v>0</v>
      </c>
      <c r="DD61" t="s">
        <v>3</v>
      </c>
      <c r="DE61" t="s">
        <v>3</v>
      </c>
      <c r="DF61">
        <f t="shared" si="10"/>
        <v>0</v>
      </c>
      <c r="DG61">
        <f t="shared" si="11"/>
        <v>0</v>
      </c>
      <c r="DH61">
        <f t="shared" si="12"/>
        <v>0</v>
      </c>
      <c r="DI61">
        <f t="shared" si="13"/>
        <v>0</v>
      </c>
      <c r="DJ61">
        <f>DF61</f>
        <v>0</v>
      </c>
      <c r="DK61">
        <v>0</v>
      </c>
      <c r="DL61" t="s">
        <v>3</v>
      </c>
      <c r="DM61">
        <v>0</v>
      </c>
      <c r="DN61" t="s">
        <v>3</v>
      </c>
      <c r="DO61">
        <v>0</v>
      </c>
    </row>
    <row r="62" spans="1:119" x14ac:dyDescent="0.2">
      <c r="A62">
        <f>ROW(Source!A156)</f>
        <v>156</v>
      </c>
      <c r="B62">
        <v>75703208</v>
      </c>
      <c r="C62">
        <v>75703679</v>
      </c>
      <c r="D62">
        <v>75390645</v>
      </c>
      <c r="E62">
        <v>1</v>
      </c>
      <c r="F62">
        <v>1</v>
      </c>
      <c r="G62">
        <v>39</v>
      </c>
      <c r="H62">
        <v>3</v>
      </c>
      <c r="I62" t="s">
        <v>361</v>
      </c>
      <c r="J62" t="s">
        <v>362</v>
      </c>
      <c r="K62" t="s">
        <v>363</v>
      </c>
      <c r="L62">
        <v>1296</v>
      </c>
      <c r="N62">
        <v>1002</v>
      </c>
      <c r="O62" t="s">
        <v>364</v>
      </c>
      <c r="P62" t="s">
        <v>364</v>
      </c>
      <c r="Q62">
        <v>1</v>
      </c>
      <c r="W62">
        <v>0</v>
      </c>
      <c r="X62">
        <v>2116147259</v>
      </c>
      <c r="Y62">
        <f>(AT62*0)</f>
        <v>0</v>
      </c>
      <c r="AA62">
        <v>594.64</v>
      </c>
      <c r="AB62">
        <v>0</v>
      </c>
      <c r="AC62">
        <v>0</v>
      </c>
      <c r="AD62">
        <v>0</v>
      </c>
      <c r="AE62">
        <v>594.64</v>
      </c>
      <c r="AF62">
        <v>0</v>
      </c>
      <c r="AG62">
        <v>0</v>
      </c>
      <c r="AH62">
        <v>0</v>
      </c>
      <c r="AI62">
        <v>1</v>
      </c>
      <c r="AJ62">
        <v>1</v>
      </c>
      <c r="AK62">
        <v>1</v>
      </c>
      <c r="AL62">
        <v>1</v>
      </c>
      <c r="AM62">
        <v>-2</v>
      </c>
      <c r="AN62">
        <v>0</v>
      </c>
      <c r="AO62">
        <v>1</v>
      </c>
      <c r="AP62">
        <v>1</v>
      </c>
      <c r="AQ62">
        <v>0</v>
      </c>
      <c r="AR62">
        <v>0</v>
      </c>
      <c r="AS62" t="s">
        <v>3</v>
      </c>
      <c r="AT62">
        <v>0.56999999999999995</v>
      </c>
      <c r="AU62" t="s">
        <v>159</v>
      </c>
      <c r="AV62">
        <v>0</v>
      </c>
      <c r="AW62">
        <v>2</v>
      </c>
      <c r="AX62">
        <v>75704099</v>
      </c>
      <c r="AY62">
        <v>1</v>
      </c>
      <c r="AZ62">
        <v>0</v>
      </c>
      <c r="BA62">
        <v>59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V62">
        <v>0</v>
      </c>
      <c r="CW62">
        <v>0</v>
      </c>
      <c r="CX62">
        <f>ROUND(Y62*Source!I156,9)</f>
        <v>0</v>
      </c>
      <c r="CY62">
        <f>AA62</f>
        <v>594.64</v>
      </c>
      <c r="CZ62">
        <f>AE62</f>
        <v>594.64</v>
      </c>
      <c r="DA62">
        <f>AI62</f>
        <v>1</v>
      </c>
      <c r="DB62">
        <f>ROUND((ROUND(AT62*CZ62,2)*0),6)</f>
        <v>0</v>
      </c>
      <c r="DC62">
        <f>ROUND((ROUND(AT62*AG62,2)*0),6)</f>
        <v>0</v>
      </c>
      <c r="DD62" t="s">
        <v>3</v>
      </c>
      <c r="DE62" t="s">
        <v>3</v>
      </c>
      <c r="DF62">
        <f t="shared" si="10"/>
        <v>0</v>
      </c>
      <c r="DG62">
        <f t="shared" si="11"/>
        <v>0</v>
      </c>
      <c r="DH62">
        <f t="shared" si="12"/>
        <v>0</v>
      </c>
      <c r="DI62">
        <f t="shared" si="13"/>
        <v>0</v>
      </c>
      <c r="DJ62">
        <f>DF62</f>
        <v>0</v>
      </c>
      <c r="DK62">
        <v>0</v>
      </c>
      <c r="DL62" t="s">
        <v>3</v>
      </c>
      <c r="DM62">
        <v>0</v>
      </c>
      <c r="DN62" t="s">
        <v>3</v>
      </c>
      <c r="DO62">
        <v>0</v>
      </c>
    </row>
    <row r="63" spans="1:119" x14ac:dyDescent="0.2">
      <c r="A63">
        <f>ROW(Source!A157)</f>
        <v>157</v>
      </c>
      <c r="B63">
        <v>75703208</v>
      </c>
      <c r="C63">
        <v>75703687</v>
      </c>
      <c r="D63">
        <v>75386788</v>
      </c>
      <c r="E63">
        <v>39</v>
      </c>
      <c r="F63">
        <v>1</v>
      </c>
      <c r="G63">
        <v>39</v>
      </c>
      <c r="H63">
        <v>1</v>
      </c>
      <c r="I63" t="s">
        <v>276</v>
      </c>
      <c r="J63" t="s">
        <v>3</v>
      </c>
      <c r="K63" t="s">
        <v>277</v>
      </c>
      <c r="L63">
        <v>1191</v>
      </c>
      <c r="N63">
        <v>1013</v>
      </c>
      <c r="O63" t="s">
        <v>278</v>
      </c>
      <c r="P63" t="s">
        <v>278</v>
      </c>
      <c r="Q63">
        <v>1</v>
      </c>
      <c r="W63">
        <v>0</v>
      </c>
      <c r="X63">
        <v>476480486</v>
      </c>
      <c r="Y63">
        <f t="shared" ref="Y63:Y94" si="22">AT63</f>
        <v>7.4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1</v>
      </c>
      <c r="AJ63">
        <v>1</v>
      </c>
      <c r="AK63">
        <v>1</v>
      </c>
      <c r="AL63">
        <v>1</v>
      </c>
      <c r="AM63">
        <v>-2</v>
      </c>
      <c r="AN63">
        <v>0</v>
      </c>
      <c r="AO63">
        <v>1</v>
      </c>
      <c r="AP63">
        <v>0</v>
      </c>
      <c r="AQ63">
        <v>0</v>
      </c>
      <c r="AR63">
        <v>0</v>
      </c>
      <c r="AS63" t="s">
        <v>3</v>
      </c>
      <c r="AT63">
        <v>7.4</v>
      </c>
      <c r="AU63" t="s">
        <v>3</v>
      </c>
      <c r="AV63">
        <v>1</v>
      </c>
      <c r="AW63">
        <v>2</v>
      </c>
      <c r="AX63">
        <v>75704101</v>
      </c>
      <c r="AY63">
        <v>1</v>
      </c>
      <c r="AZ63">
        <v>0</v>
      </c>
      <c r="BA63">
        <v>61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U63">
        <f>ROUND(AT63*Source!I157*AH63*AL63,2)</f>
        <v>0</v>
      </c>
      <c r="CV63">
        <f>ROUND(Y63*Source!I157,9)</f>
        <v>0.91020000000000001</v>
      </c>
      <c r="CW63">
        <v>0</v>
      </c>
      <c r="CX63">
        <f>ROUND(Y63*Source!I157,9)</f>
        <v>0.91020000000000001</v>
      </c>
      <c r="CY63">
        <f>AD63</f>
        <v>0</v>
      </c>
      <c r="CZ63">
        <f>AH63</f>
        <v>0</v>
      </c>
      <c r="DA63">
        <f>AL63</f>
        <v>1</v>
      </c>
      <c r="DB63">
        <f t="shared" ref="DB63:DB94" si="23">ROUND(ROUND(AT63*CZ63,2),6)</f>
        <v>0</v>
      </c>
      <c r="DC63">
        <f t="shared" ref="DC63:DC94" si="24">ROUND(ROUND(AT63*AG63,2),6)</f>
        <v>0</v>
      </c>
      <c r="DD63" t="s">
        <v>3</v>
      </c>
      <c r="DE63" t="s">
        <v>3</v>
      </c>
      <c r="DF63">
        <f t="shared" si="10"/>
        <v>0</v>
      </c>
      <c r="DG63">
        <f t="shared" si="11"/>
        <v>0</v>
      </c>
      <c r="DH63">
        <f t="shared" si="12"/>
        <v>0</v>
      </c>
      <c r="DI63">
        <f t="shared" si="13"/>
        <v>0</v>
      </c>
      <c r="DJ63">
        <f>DI63</f>
        <v>0</v>
      </c>
      <c r="DK63">
        <v>0</v>
      </c>
      <c r="DL63" t="s">
        <v>3</v>
      </c>
      <c r="DM63">
        <v>0</v>
      </c>
      <c r="DN63" t="s">
        <v>3</v>
      </c>
      <c r="DO63">
        <v>0</v>
      </c>
    </row>
    <row r="64" spans="1:119" x14ac:dyDescent="0.2">
      <c r="A64">
        <f>ROW(Source!A157)</f>
        <v>157</v>
      </c>
      <c r="B64">
        <v>75703208</v>
      </c>
      <c r="C64">
        <v>75703687</v>
      </c>
      <c r="D64">
        <v>75391395</v>
      </c>
      <c r="E64">
        <v>1</v>
      </c>
      <c r="F64">
        <v>1</v>
      </c>
      <c r="G64">
        <v>39</v>
      </c>
      <c r="H64">
        <v>3</v>
      </c>
      <c r="I64" t="s">
        <v>169</v>
      </c>
      <c r="J64" t="s">
        <v>171</v>
      </c>
      <c r="K64" t="s">
        <v>170</v>
      </c>
      <c r="L64">
        <v>1301</v>
      </c>
      <c r="N64">
        <v>1003</v>
      </c>
      <c r="O64" t="s">
        <v>36</v>
      </c>
      <c r="P64" t="s">
        <v>36</v>
      </c>
      <c r="Q64">
        <v>1</v>
      </c>
      <c r="W64">
        <v>0</v>
      </c>
      <c r="X64">
        <v>170470939</v>
      </c>
      <c r="Y64">
        <f t="shared" si="22"/>
        <v>101</v>
      </c>
      <c r="AA64">
        <v>28.54</v>
      </c>
      <c r="AB64">
        <v>0</v>
      </c>
      <c r="AC64">
        <v>0</v>
      </c>
      <c r="AD64">
        <v>0</v>
      </c>
      <c r="AE64">
        <v>28.54</v>
      </c>
      <c r="AF64">
        <v>0</v>
      </c>
      <c r="AG64">
        <v>0</v>
      </c>
      <c r="AH64">
        <v>0</v>
      </c>
      <c r="AI64">
        <v>1</v>
      </c>
      <c r="AJ64">
        <v>1</v>
      </c>
      <c r="AK64">
        <v>1</v>
      </c>
      <c r="AL64">
        <v>1</v>
      </c>
      <c r="AM64">
        <v>0</v>
      </c>
      <c r="AN64">
        <v>0</v>
      </c>
      <c r="AO64">
        <v>0</v>
      </c>
      <c r="AP64">
        <v>1</v>
      </c>
      <c r="AQ64">
        <v>0</v>
      </c>
      <c r="AR64">
        <v>0</v>
      </c>
      <c r="AS64" t="s">
        <v>3</v>
      </c>
      <c r="AT64">
        <v>101</v>
      </c>
      <c r="AU64" t="s">
        <v>3</v>
      </c>
      <c r="AV64">
        <v>0</v>
      </c>
      <c r="AW64">
        <v>1</v>
      </c>
      <c r="AX64">
        <v>-1</v>
      </c>
      <c r="AY64">
        <v>0</v>
      </c>
      <c r="AZ64">
        <v>0</v>
      </c>
      <c r="BA64" t="s">
        <v>3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V64">
        <v>0</v>
      </c>
      <c r="CW64">
        <v>0</v>
      </c>
      <c r="CX64">
        <f>ROUND(Y64*Source!I157,9)</f>
        <v>12.423</v>
      </c>
      <c r="CY64">
        <f>AA64</f>
        <v>28.54</v>
      </c>
      <c r="CZ64">
        <f>AE64</f>
        <v>28.54</v>
      </c>
      <c r="DA64">
        <f>AI64</f>
        <v>1</v>
      </c>
      <c r="DB64">
        <f t="shared" si="23"/>
        <v>2882.54</v>
      </c>
      <c r="DC64">
        <f t="shared" si="24"/>
        <v>0</v>
      </c>
      <c r="DD64" t="s">
        <v>3</v>
      </c>
      <c r="DE64" t="s">
        <v>3</v>
      </c>
      <c r="DF64">
        <f t="shared" si="10"/>
        <v>354.55</v>
      </c>
      <c r="DG64">
        <f t="shared" si="11"/>
        <v>0</v>
      </c>
      <c r="DH64">
        <f t="shared" si="12"/>
        <v>0</v>
      </c>
      <c r="DI64">
        <f t="shared" si="13"/>
        <v>0</v>
      </c>
      <c r="DJ64">
        <f>DF64</f>
        <v>354.55</v>
      </c>
      <c r="DK64">
        <v>0</v>
      </c>
      <c r="DL64" t="s">
        <v>3</v>
      </c>
      <c r="DM64">
        <v>0</v>
      </c>
      <c r="DN64" t="s">
        <v>3</v>
      </c>
      <c r="DO64">
        <v>0</v>
      </c>
    </row>
    <row r="65" spans="1:119" x14ac:dyDescent="0.2">
      <c r="A65">
        <f>ROW(Source!A157)</f>
        <v>157</v>
      </c>
      <c r="B65">
        <v>75703208</v>
      </c>
      <c r="C65">
        <v>75703687</v>
      </c>
      <c r="D65">
        <v>75390706</v>
      </c>
      <c r="E65">
        <v>1</v>
      </c>
      <c r="F65">
        <v>1</v>
      </c>
      <c r="G65">
        <v>39</v>
      </c>
      <c r="H65">
        <v>3</v>
      </c>
      <c r="I65" t="s">
        <v>358</v>
      </c>
      <c r="J65" t="s">
        <v>359</v>
      </c>
      <c r="K65" t="s">
        <v>360</v>
      </c>
      <c r="L65">
        <v>1301</v>
      </c>
      <c r="N65">
        <v>1003</v>
      </c>
      <c r="O65" t="s">
        <v>36</v>
      </c>
      <c r="P65" t="s">
        <v>36</v>
      </c>
      <c r="Q65">
        <v>1</v>
      </c>
      <c r="W65">
        <v>0</v>
      </c>
      <c r="X65">
        <v>1792308677</v>
      </c>
      <c r="Y65">
        <f t="shared" si="22"/>
        <v>13</v>
      </c>
      <c r="AA65">
        <v>2.2400000000000002</v>
      </c>
      <c r="AB65">
        <v>0</v>
      </c>
      <c r="AC65">
        <v>0</v>
      </c>
      <c r="AD65">
        <v>0</v>
      </c>
      <c r="AE65">
        <v>2.2400000000000002</v>
      </c>
      <c r="AF65">
        <v>0</v>
      </c>
      <c r="AG65">
        <v>0</v>
      </c>
      <c r="AH65">
        <v>0</v>
      </c>
      <c r="AI65">
        <v>1</v>
      </c>
      <c r="AJ65">
        <v>1</v>
      </c>
      <c r="AK65">
        <v>1</v>
      </c>
      <c r="AL65">
        <v>1</v>
      </c>
      <c r="AM65">
        <v>-2</v>
      </c>
      <c r="AN65">
        <v>0</v>
      </c>
      <c r="AO65">
        <v>1</v>
      </c>
      <c r="AP65">
        <v>0</v>
      </c>
      <c r="AQ65">
        <v>0</v>
      </c>
      <c r="AR65">
        <v>0</v>
      </c>
      <c r="AS65" t="s">
        <v>3</v>
      </c>
      <c r="AT65">
        <v>13</v>
      </c>
      <c r="AU65" t="s">
        <v>3</v>
      </c>
      <c r="AV65">
        <v>0</v>
      </c>
      <c r="AW65">
        <v>2</v>
      </c>
      <c r="AX65">
        <v>75704102</v>
      </c>
      <c r="AY65">
        <v>1</v>
      </c>
      <c r="AZ65">
        <v>0</v>
      </c>
      <c r="BA65">
        <v>62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V65">
        <v>0</v>
      </c>
      <c r="CW65">
        <v>0</v>
      </c>
      <c r="CX65">
        <f>ROUND(Y65*Source!I157,9)</f>
        <v>1.599</v>
      </c>
      <c r="CY65">
        <f>AA65</f>
        <v>2.2400000000000002</v>
      </c>
      <c r="CZ65">
        <f>AE65</f>
        <v>2.2400000000000002</v>
      </c>
      <c r="DA65">
        <f>AI65</f>
        <v>1</v>
      </c>
      <c r="DB65">
        <f t="shared" si="23"/>
        <v>29.12</v>
      </c>
      <c r="DC65">
        <f t="shared" si="24"/>
        <v>0</v>
      </c>
      <c r="DD65" t="s">
        <v>3</v>
      </c>
      <c r="DE65" t="s">
        <v>3</v>
      </c>
      <c r="DF65">
        <f t="shared" ref="DF65:DF96" si="25">ROUND(ROUND(AE65,2)*CX65,2)</f>
        <v>3.58</v>
      </c>
      <c r="DG65">
        <f t="shared" ref="DG65:DG96" si="26">ROUND(ROUND(AF65,2)*CX65,2)</f>
        <v>0</v>
      </c>
      <c r="DH65">
        <f t="shared" ref="DH65:DH96" si="27">ROUND(ROUND(AG65,2)*CX65,2)</f>
        <v>0</v>
      </c>
      <c r="DI65">
        <f t="shared" ref="DI65:DI96" si="28">ROUND(ROUND(AH65,2)*CX65,2)</f>
        <v>0</v>
      </c>
      <c r="DJ65">
        <f>DF65</f>
        <v>3.58</v>
      </c>
      <c r="DK65">
        <v>0</v>
      </c>
      <c r="DL65" t="s">
        <v>3</v>
      </c>
      <c r="DM65">
        <v>0</v>
      </c>
      <c r="DN65" t="s">
        <v>3</v>
      </c>
      <c r="DO65">
        <v>0</v>
      </c>
    </row>
    <row r="66" spans="1:119" x14ac:dyDescent="0.2">
      <c r="A66">
        <f>ROW(Source!A157)</f>
        <v>157</v>
      </c>
      <c r="B66">
        <v>75703208</v>
      </c>
      <c r="C66">
        <v>75703687</v>
      </c>
      <c r="D66">
        <v>75390645</v>
      </c>
      <c r="E66">
        <v>1</v>
      </c>
      <c r="F66">
        <v>1</v>
      </c>
      <c r="G66">
        <v>39</v>
      </c>
      <c r="H66">
        <v>3</v>
      </c>
      <c r="I66" t="s">
        <v>361</v>
      </c>
      <c r="J66" t="s">
        <v>362</v>
      </c>
      <c r="K66" t="s">
        <v>363</v>
      </c>
      <c r="L66">
        <v>1296</v>
      </c>
      <c r="N66">
        <v>1002</v>
      </c>
      <c r="O66" t="s">
        <v>364</v>
      </c>
      <c r="P66" t="s">
        <v>364</v>
      </c>
      <c r="Q66">
        <v>1</v>
      </c>
      <c r="W66">
        <v>0</v>
      </c>
      <c r="X66">
        <v>2116147259</v>
      </c>
      <c r="Y66">
        <f t="shared" si="22"/>
        <v>0.56999999999999995</v>
      </c>
      <c r="AA66">
        <v>594.64</v>
      </c>
      <c r="AB66">
        <v>0</v>
      </c>
      <c r="AC66">
        <v>0</v>
      </c>
      <c r="AD66">
        <v>0</v>
      </c>
      <c r="AE66">
        <v>594.64</v>
      </c>
      <c r="AF66">
        <v>0</v>
      </c>
      <c r="AG66">
        <v>0</v>
      </c>
      <c r="AH66">
        <v>0</v>
      </c>
      <c r="AI66">
        <v>1</v>
      </c>
      <c r="AJ66">
        <v>1</v>
      </c>
      <c r="AK66">
        <v>1</v>
      </c>
      <c r="AL66">
        <v>1</v>
      </c>
      <c r="AM66">
        <v>-2</v>
      </c>
      <c r="AN66">
        <v>0</v>
      </c>
      <c r="AO66">
        <v>1</v>
      </c>
      <c r="AP66">
        <v>0</v>
      </c>
      <c r="AQ66">
        <v>0</v>
      </c>
      <c r="AR66">
        <v>0</v>
      </c>
      <c r="AS66" t="s">
        <v>3</v>
      </c>
      <c r="AT66">
        <v>0.56999999999999995</v>
      </c>
      <c r="AU66" t="s">
        <v>3</v>
      </c>
      <c r="AV66">
        <v>0</v>
      </c>
      <c r="AW66">
        <v>2</v>
      </c>
      <c r="AX66">
        <v>75704103</v>
      </c>
      <c r="AY66">
        <v>1</v>
      </c>
      <c r="AZ66">
        <v>0</v>
      </c>
      <c r="BA66">
        <v>63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V66">
        <v>0</v>
      </c>
      <c r="CW66">
        <v>0</v>
      </c>
      <c r="CX66">
        <f>ROUND(Y66*Source!I157,9)</f>
        <v>7.0110000000000006E-2</v>
      </c>
      <c r="CY66">
        <f>AA66</f>
        <v>594.64</v>
      </c>
      <c r="CZ66">
        <f>AE66</f>
        <v>594.64</v>
      </c>
      <c r="DA66">
        <f>AI66</f>
        <v>1</v>
      </c>
      <c r="DB66">
        <f t="shared" si="23"/>
        <v>338.94</v>
      </c>
      <c r="DC66">
        <f t="shared" si="24"/>
        <v>0</v>
      </c>
      <c r="DD66" t="s">
        <v>3</v>
      </c>
      <c r="DE66" t="s">
        <v>3</v>
      </c>
      <c r="DF66">
        <f t="shared" si="25"/>
        <v>41.69</v>
      </c>
      <c r="DG66">
        <f t="shared" si="26"/>
        <v>0</v>
      </c>
      <c r="DH66">
        <f t="shared" si="27"/>
        <v>0</v>
      </c>
      <c r="DI66">
        <f t="shared" si="28"/>
        <v>0</v>
      </c>
      <c r="DJ66">
        <f>DF66</f>
        <v>41.69</v>
      </c>
      <c r="DK66">
        <v>0</v>
      </c>
      <c r="DL66" t="s">
        <v>3</v>
      </c>
      <c r="DM66">
        <v>0</v>
      </c>
      <c r="DN66" t="s">
        <v>3</v>
      </c>
      <c r="DO66">
        <v>0</v>
      </c>
    </row>
    <row r="67" spans="1:119" x14ac:dyDescent="0.2">
      <c r="A67">
        <f>ROW(Source!A159)</f>
        <v>159</v>
      </c>
      <c r="B67">
        <v>75703208</v>
      </c>
      <c r="C67">
        <v>75703697</v>
      </c>
      <c r="D67">
        <v>75386788</v>
      </c>
      <c r="E67">
        <v>39</v>
      </c>
      <c r="F67">
        <v>1</v>
      </c>
      <c r="G67">
        <v>39</v>
      </c>
      <c r="H67">
        <v>1</v>
      </c>
      <c r="I67" t="s">
        <v>276</v>
      </c>
      <c r="J67" t="s">
        <v>3</v>
      </c>
      <c r="K67" t="s">
        <v>277</v>
      </c>
      <c r="L67">
        <v>1191</v>
      </c>
      <c r="N67">
        <v>1013</v>
      </c>
      <c r="O67" t="s">
        <v>278</v>
      </c>
      <c r="P67" t="s">
        <v>278</v>
      </c>
      <c r="Q67">
        <v>1</v>
      </c>
      <c r="W67">
        <v>0</v>
      </c>
      <c r="X67">
        <v>476480486</v>
      </c>
      <c r="Y67">
        <f t="shared" si="22"/>
        <v>8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1</v>
      </c>
      <c r="AJ67">
        <v>1</v>
      </c>
      <c r="AK67">
        <v>1</v>
      </c>
      <c r="AL67">
        <v>1</v>
      </c>
      <c r="AM67">
        <v>-2</v>
      </c>
      <c r="AN67">
        <v>0</v>
      </c>
      <c r="AO67">
        <v>1</v>
      </c>
      <c r="AP67">
        <v>0</v>
      </c>
      <c r="AQ67">
        <v>0</v>
      </c>
      <c r="AR67">
        <v>0</v>
      </c>
      <c r="AS67" t="s">
        <v>3</v>
      </c>
      <c r="AT67">
        <v>8</v>
      </c>
      <c r="AU67" t="s">
        <v>3</v>
      </c>
      <c r="AV67">
        <v>1</v>
      </c>
      <c r="AW67">
        <v>2</v>
      </c>
      <c r="AX67">
        <v>75704105</v>
      </c>
      <c r="AY67">
        <v>1</v>
      </c>
      <c r="AZ67">
        <v>0</v>
      </c>
      <c r="BA67">
        <v>65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U67">
        <f>ROUND(AT67*Source!I159*AH67*AL67,2)</f>
        <v>0</v>
      </c>
      <c r="CV67">
        <f>ROUND(Y67*Source!I159,9)</f>
        <v>0.57599999999999996</v>
      </c>
      <c r="CW67">
        <v>0</v>
      </c>
      <c r="CX67">
        <f>ROUND(Y67*Source!I159,9)</f>
        <v>0.57599999999999996</v>
      </c>
      <c r="CY67">
        <f>AD67</f>
        <v>0</v>
      </c>
      <c r="CZ67">
        <f>AH67</f>
        <v>0</v>
      </c>
      <c r="DA67">
        <f>AL67</f>
        <v>1</v>
      </c>
      <c r="DB67">
        <f t="shared" si="23"/>
        <v>0</v>
      </c>
      <c r="DC67">
        <f t="shared" si="24"/>
        <v>0</v>
      </c>
      <c r="DD67" t="s">
        <v>3</v>
      </c>
      <c r="DE67" t="s">
        <v>3</v>
      </c>
      <c r="DF67">
        <f t="shared" si="25"/>
        <v>0</v>
      </c>
      <c r="DG67">
        <f t="shared" si="26"/>
        <v>0</v>
      </c>
      <c r="DH67">
        <f t="shared" si="27"/>
        <v>0</v>
      </c>
      <c r="DI67">
        <f t="shared" si="28"/>
        <v>0</v>
      </c>
      <c r="DJ67">
        <f>DI67</f>
        <v>0</v>
      </c>
      <c r="DK67">
        <v>0</v>
      </c>
      <c r="DL67" t="s">
        <v>3</v>
      </c>
      <c r="DM67">
        <v>0</v>
      </c>
      <c r="DN67" t="s">
        <v>3</v>
      </c>
      <c r="DO67">
        <v>0</v>
      </c>
    </row>
    <row r="68" spans="1:119" x14ac:dyDescent="0.2">
      <c r="A68">
        <f>ROW(Source!A159)</f>
        <v>159</v>
      </c>
      <c r="B68">
        <v>75703208</v>
      </c>
      <c r="C68">
        <v>75703697</v>
      </c>
      <c r="D68">
        <v>75391395</v>
      </c>
      <c r="E68">
        <v>1</v>
      </c>
      <c r="F68">
        <v>1</v>
      </c>
      <c r="G68">
        <v>39</v>
      </c>
      <c r="H68">
        <v>3</v>
      </c>
      <c r="I68" t="s">
        <v>169</v>
      </c>
      <c r="J68" t="s">
        <v>171</v>
      </c>
      <c r="K68" t="s">
        <v>170</v>
      </c>
      <c r="L68">
        <v>1301</v>
      </c>
      <c r="N68">
        <v>1003</v>
      </c>
      <c r="O68" t="s">
        <v>36</v>
      </c>
      <c r="P68" t="s">
        <v>36</v>
      </c>
      <c r="Q68">
        <v>1</v>
      </c>
      <c r="W68">
        <v>0</v>
      </c>
      <c r="X68">
        <v>170470939</v>
      </c>
      <c r="Y68">
        <f t="shared" si="22"/>
        <v>101</v>
      </c>
      <c r="AA68">
        <v>28.54</v>
      </c>
      <c r="AB68">
        <v>0</v>
      </c>
      <c r="AC68">
        <v>0</v>
      </c>
      <c r="AD68">
        <v>0</v>
      </c>
      <c r="AE68">
        <v>28.54</v>
      </c>
      <c r="AF68">
        <v>0</v>
      </c>
      <c r="AG68">
        <v>0</v>
      </c>
      <c r="AH68">
        <v>0</v>
      </c>
      <c r="AI68">
        <v>1</v>
      </c>
      <c r="AJ68">
        <v>1</v>
      </c>
      <c r="AK68">
        <v>1</v>
      </c>
      <c r="AL68">
        <v>1</v>
      </c>
      <c r="AM68">
        <v>0</v>
      </c>
      <c r="AN68">
        <v>0</v>
      </c>
      <c r="AO68">
        <v>0</v>
      </c>
      <c r="AP68">
        <v>1</v>
      </c>
      <c r="AQ68">
        <v>0</v>
      </c>
      <c r="AR68">
        <v>0</v>
      </c>
      <c r="AS68" t="s">
        <v>3</v>
      </c>
      <c r="AT68">
        <v>101</v>
      </c>
      <c r="AU68" t="s">
        <v>3</v>
      </c>
      <c r="AV68">
        <v>0</v>
      </c>
      <c r="AW68">
        <v>1</v>
      </c>
      <c r="AX68">
        <v>-1</v>
      </c>
      <c r="AY68">
        <v>0</v>
      </c>
      <c r="AZ68">
        <v>0</v>
      </c>
      <c r="BA68" t="s">
        <v>3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V68">
        <v>0</v>
      </c>
      <c r="CW68">
        <v>0</v>
      </c>
      <c r="CX68">
        <f>ROUND(Y68*Source!I159,9)</f>
        <v>7.2720000000000002</v>
      </c>
      <c r="CY68">
        <f>AA68</f>
        <v>28.54</v>
      </c>
      <c r="CZ68">
        <f>AE68</f>
        <v>28.54</v>
      </c>
      <c r="DA68">
        <f>AI68</f>
        <v>1</v>
      </c>
      <c r="DB68">
        <f t="shared" si="23"/>
        <v>2882.54</v>
      </c>
      <c r="DC68">
        <f t="shared" si="24"/>
        <v>0</v>
      </c>
      <c r="DD68" t="s">
        <v>3</v>
      </c>
      <c r="DE68" t="s">
        <v>3</v>
      </c>
      <c r="DF68">
        <f t="shared" si="25"/>
        <v>207.54</v>
      </c>
      <c r="DG68">
        <f t="shared" si="26"/>
        <v>0</v>
      </c>
      <c r="DH68">
        <f t="shared" si="27"/>
        <v>0</v>
      </c>
      <c r="DI68">
        <f t="shared" si="28"/>
        <v>0</v>
      </c>
      <c r="DJ68">
        <f>DF68</f>
        <v>207.54</v>
      </c>
      <c r="DK68">
        <v>0</v>
      </c>
      <c r="DL68" t="s">
        <v>3</v>
      </c>
      <c r="DM68">
        <v>0</v>
      </c>
      <c r="DN68" t="s">
        <v>3</v>
      </c>
      <c r="DO68">
        <v>0</v>
      </c>
    </row>
    <row r="69" spans="1:119" x14ac:dyDescent="0.2">
      <c r="A69">
        <f>ROW(Source!A159)</f>
        <v>159</v>
      </c>
      <c r="B69">
        <v>75703208</v>
      </c>
      <c r="C69">
        <v>75703697</v>
      </c>
      <c r="D69">
        <v>75390706</v>
      </c>
      <c r="E69">
        <v>1</v>
      </c>
      <c r="F69">
        <v>1</v>
      </c>
      <c r="G69">
        <v>39</v>
      </c>
      <c r="H69">
        <v>3</v>
      </c>
      <c r="I69" t="s">
        <v>358</v>
      </c>
      <c r="J69" t="s">
        <v>359</v>
      </c>
      <c r="K69" t="s">
        <v>360</v>
      </c>
      <c r="L69">
        <v>1301</v>
      </c>
      <c r="N69">
        <v>1003</v>
      </c>
      <c r="O69" t="s">
        <v>36</v>
      </c>
      <c r="P69" t="s">
        <v>36</v>
      </c>
      <c r="Q69">
        <v>1</v>
      </c>
      <c r="W69">
        <v>0</v>
      </c>
      <c r="X69">
        <v>1792308677</v>
      </c>
      <c r="Y69">
        <f t="shared" si="22"/>
        <v>13</v>
      </c>
      <c r="AA69">
        <v>2.2400000000000002</v>
      </c>
      <c r="AB69">
        <v>0</v>
      </c>
      <c r="AC69">
        <v>0</v>
      </c>
      <c r="AD69">
        <v>0</v>
      </c>
      <c r="AE69">
        <v>2.2400000000000002</v>
      </c>
      <c r="AF69">
        <v>0</v>
      </c>
      <c r="AG69">
        <v>0</v>
      </c>
      <c r="AH69">
        <v>0</v>
      </c>
      <c r="AI69">
        <v>1</v>
      </c>
      <c r="AJ69">
        <v>1</v>
      </c>
      <c r="AK69">
        <v>1</v>
      </c>
      <c r="AL69">
        <v>1</v>
      </c>
      <c r="AM69">
        <v>-2</v>
      </c>
      <c r="AN69">
        <v>0</v>
      </c>
      <c r="AO69">
        <v>1</v>
      </c>
      <c r="AP69">
        <v>0</v>
      </c>
      <c r="AQ69">
        <v>0</v>
      </c>
      <c r="AR69">
        <v>0</v>
      </c>
      <c r="AS69" t="s">
        <v>3</v>
      </c>
      <c r="AT69">
        <v>13</v>
      </c>
      <c r="AU69" t="s">
        <v>3</v>
      </c>
      <c r="AV69">
        <v>0</v>
      </c>
      <c r="AW69">
        <v>2</v>
      </c>
      <c r="AX69">
        <v>75704106</v>
      </c>
      <c r="AY69">
        <v>1</v>
      </c>
      <c r="AZ69">
        <v>0</v>
      </c>
      <c r="BA69">
        <v>66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V69">
        <v>0</v>
      </c>
      <c r="CW69">
        <v>0</v>
      </c>
      <c r="CX69">
        <f>ROUND(Y69*Source!I159,9)</f>
        <v>0.93600000000000005</v>
      </c>
      <c r="CY69">
        <f>AA69</f>
        <v>2.2400000000000002</v>
      </c>
      <c r="CZ69">
        <f>AE69</f>
        <v>2.2400000000000002</v>
      </c>
      <c r="DA69">
        <f>AI69</f>
        <v>1</v>
      </c>
      <c r="DB69">
        <f t="shared" si="23"/>
        <v>29.12</v>
      </c>
      <c r="DC69">
        <f t="shared" si="24"/>
        <v>0</v>
      </c>
      <c r="DD69" t="s">
        <v>3</v>
      </c>
      <c r="DE69" t="s">
        <v>3</v>
      </c>
      <c r="DF69">
        <f t="shared" si="25"/>
        <v>2.1</v>
      </c>
      <c r="DG69">
        <f t="shared" si="26"/>
        <v>0</v>
      </c>
      <c r="DH69">
        <f t="shared" si="27"/>
        <v>0</v>
      </c>
      <c r="DI69">
        <f t="shared" si="28"/>
        <v>0</v>
      </c>
      <c r="DJ69">
        <f>DF69</f>
        <v>2.1</v>
      </c>
      <c r="DK69">
        <v>0</v>
      </c>
      <c r="DL69" t="s">
        <v>3</v>
      </c>
      <c r="DM69">
        <v>0</v>
      </c>
      <c r="DN69" t="s">
        <v>3</v>
      </c>
      <c r="DO69">
        <v>0</v>
      </c>
    </row>
    <row r="70" spans="1:119" x14ac:dyDescent="0.2">
      <c r="A70">
        <f>ROW(Source!A159)</f>
        <v>159</v>
      </c>
      <c r="B70">
        <v>75703208</v>
      </c>
      <c r="C70">
        <v>75703697</v>
      </c>
      <c r="D70">
        <v>75390645</v>
      </c>
      <c r="E70">
        <v>1</v>
      </c>
      <c r="F70">
        <v>1</v>
      </c>
      <c r="G70">
        <v>39</v>
      </c>
      <c r="H70">
        <v>3</v>
      </c>
      <c r="I70" t="s">
        <v>361</v>
      </c>
      <c r="J70" t="s">
        <v>362</v>
      </c>
      <c r="K70" t="s">
        <v>363</v>
      </c>
      <c r="L70">
        <v>1296</v>
      </c>
      <c r="N70">
        <v>1002</v>
      </c>
      <c r="O70" t="s">
        <v>364</v>
      </c>
      <c r="P70" t="s">
        <v>364</v>
      </c>
      <c r="Q70">
        <v>1</v>
      </c>
      <c r="W70">
        <v>0</v>
      </c>
      <c r="X70">
        <v>2116147259</v>
      </c>
      <c r="Y70">
        <f t="shared" si="22"/>
        <v>0.56999999999999995</v>
      </c>
      <c r="AA70">
        <v>594.64</v>
      </c>
      <c r="AB70">
        <v>0</v>
      </c>
      <c r="AC70">
        <v>0</v>
      </c>
      <c r="AD70">
        <v>0</v>
      </c>
      <c r="AE70">
        <v>594.64</v>
      </c>
      <c r="AF70">
        <v>0</v>
      </c>
      <c r="AG70">
        <v>0</v>
      </c>
      <c r="AH70">
        <v>0</v>
      </c>
      <c r="AI70">
        <v>1</v>
      </c>
      <c r="AJ70">
        <v>1</v>
      </c>
      <c r="AK70">
        <v>1</v>
      </c>
      <c r="AL70">
        <v>1</v>
      </c>
      <c r="AM70">
        <v>-2</v>
      </c>
      <c r="AN70">
        <v>0</v>
      </c>
      <c r="AO70">
        <v>1</v>
      </c>
      <c r="AP70">
        <v>0</v>
      </c>
      <c r="AQ70">
        <v>0</v>
      </c>
      <c r="AR70">
        <v>0</v>
      </c>
      <c r="AS70" t="s">
        <v>3</v>
      </c>
      <c r="AT70">
        <v>0.56999999999999995</v>
      </c>
      <c r="AU70" t="s">
        <v>3</v>
      </c>
      <c r="AV70">
        <v>0</v>
      </c>
      <c r="AW70">
        <v>2</v>
      </c>
      <c r="AX70">
        <v>75704107</v>
      </c>
      <c r="AY70">
        <v>1</v>
      </c>
      <c r="AZ70">
        <v>0</v>
      </c>
      <c r="BA70">
        <v>67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V70">
        <v>0</v>
      </c>
      <c r="CW70">
        <v>0</v>
      </c>
      <c r="CX70">
        <f>ROUND(Y70*Source!I159,9)</f>
        <v>4.104E-2</v>
      </c>
      <c r="CY70">
        <f>AA70</f>
        <v>594.64</v>
      </c>
      <c r="CZ70">
        <f>AE70</f>
        <v>594.64</v>
      </c>
      <c r="DA70">
        <f>AI70</f>
        <v>1</v>
      </c>
      <c r="DB70">
        <f t="shared" si="23"/>
        <v>338.94</v>
      </c>
      <c r="DC70">
        <f t="shared" si="24"/>
        <v>0</v>
      </c>
      <c r="DD70" t="s">
        <v>3</v>
      </c>
      <c r="DE70" t="s">
        <v>3</v>
      </c>
      <c r="DF70">
        <f t="shared" si="25"/>
        <v>24.4</v>
      </c>
      <c r="DG70">
        <f t="shared" si="26"/>
        <v>0</v>
      </c>
      <c r="DH70">
        <f t="shared" si="27"/>
        <v>0</v>
      </c>
      <c r="DI70">
        <f t="shared" si="28"/>
        <v>0</v>
      </c>
      <c r="DJ70">
        <f>DF70</f>
        <v>24.4</v>
      </c>
      <c r="DK70">
        <v>0</v>
      </c>
      <c r="DL70" t="s">
        <v>3</v>
      </c>
      <c r="DM70">
        <v>0</v>
      </c>
      <c r="DN70" t="s">
        <v>3</v>
      </c>
      <c r="DO70">
        <v>0</v>
      </c>
    </row>
    <row r="71" spans="1:119" x14ac:dyDescent="0.2">
      <c r="A71">
        <f>ROW(Source!A196)</f>
        <v>196</v>
      </c>
      <c r="B71">
        <v>75703208</v>
      </c>
      <c r="C71">
        <v>75703763</v>
      </c>
      <c r="D71">
        <v>75386788</v>
      </c>
      <c r="E71">
        <v>39</v>
      </c>
      <c r="F71">
        <v>1</v>
      </c>
      <c r="G71">
        <v>39</v>
      </c>
      <c r="H71">
        <v>1</v>
      </c>
      <c r="I71" t="s">
        <v>276</v>
      </c>
      <c r="J71" t="s">
        <v>3</v>
      </c>
      <c r="K71" t="s">
        <v>277</v>
      </c>
      <c r="L71">
        <v>1191</v>
      </c>
      <c r="N71">
        <v>1013</v>
      </c>
      <c r="O71" t="s">
        <v>278</v>
      </c>
      <c r="P71" t="s">
        <v>278</v>
      </c>
      <c r="Q71">
        <v>1</v>
      </c>
      <c r="W71">
        <v>0</v>
      </c>
      <c r="X71">
        <v>476480486</v>
      </c>
      <c r="Y71">
        <f t="shared" si="22"/>
        <v>60.8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1</v>
      </c>
      <c r="AJ71">
        <v>1</v>
      </c>
      <c r="AK71">
        <v>1</v>
      </c>
      <c r="AL71">
        <v>1</v>
      </c>
      <c r="AM71">
        <v>-2</v>
      </c>
      <c r="AN71">
        <v>0</v>
      </c>
      <c r="AO71">
        <v>1</v>
      </c>
      <c r="AP71">
        <v>0</v>
      </c>
      <c r="AQ71">
        <v>0</v>
      </c>
      <c r="AR71">
        <v>0</v>
      </c>
      <c r="AS71" t="s">
        <v>3</v>
      </c>
      <c r="AT71">
        <v>60.8</v>
      </c>
      <c r="AU71" t="s">
        <v>3</v>
      </c>
      <c r="AV71">
        <v>1</v>
      </c>
      <c r="AW71">
        <v>2</v>
      </c>
      <c r="AX71">
        <v>75704109</v>
      </c>
      <c r="AY71">
        <v>1</v>
      </c>
      <c r="AZ71">
        <v>0</v>
      </c>
      <c r="BA71">
        <v>69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U71">
        <f>ROUND(AT71*Source!I196*AH71*AL71,2)</f>
        <v>0</v>
      </c>
      <c r="CV71">
        <f>ROUND(Y71*Source!I196,9)</f>
        <v>0.60799999999999998</v>
      </c>
      <c r="CW71">
        <v>0</v>
      </c>
      <c r="CX71">
        <f>ROUND(Y71*Source!I196,9)</f>
        <v>0.60799999999999998</v>
      </c>
      <c r="CY71">
        <f>AD71</f>
        <v>0</v>
      </c>
      <c r="CZ71">
        <f>AH71</f>
        <v>0</v>
      </c>
      <c r="DA71">
        <f>AL71</f>
        <v>1</v>
      </c>
      <c r="DB71">
        <f t="shared" si="23"/>
        <v>0</v>
      </c>
      <c r="DC71">
        <f t="shared" si="24"/>
        <v>0</v>
      </c>
      <c r="DD71" t="s">
        <v>3</v>
      </c>
      <c r="DE71" t="s">
        <v>3</v>
      </c>
      <c r="DF71">
        <f t="shared" si="25"/>
        <v>0</v>
      </c>
      <c r="DG71">
        <f t="shared" si="26"/>
        <v>0</v>
      </c>
      <c r="DH71">
        <f t="shared" si="27"/>
        <v>0</v>
      </c>
      <c r="DI71">
        <f t="shared" si="28"/>
        <v>0</v>
      </c>
      <c r="DJ71">
        <f>DI71</f>
        <v>0</v>
      </c>
      <c r="DK71">
        <v>0</v>
      </c>
      <c r="DL71" t="s">
        <v>3</v>
      </c>
      <c r="DM71">
        <v>0</v>
      </c>
      <c r="DN71" t="s">
        <v>3</v>
      </c>
      <c r="DO71">
        <v>0</v>
      </c>
    </row>
    <row r="72" spans="1:119" x14ac:dyDescent="0.2">
      <c r="A72">
        <f>ROW(Source!A196)</f>
        <v>196</v>
      </c>
      <c r="B72">
        <v>75703208</v>
      </c>
      <c r="C72">
        <v>75703763</v>
      </c>
      <c r="D72">
        <v>75386789</v>
      </c>
      <c r="E72">
        <v>39</v>
      </c>
      <c r="F72">
        <v>1</v>
      </c>
      <c r="G72">
        <v>39</v>
      </c>
      <c r="H72">
        <v>3</v>
      </c>
      <c r="I72" t="s">
        <v>283</v>
      </c>
      <c r="J72" t="s">
        <v>3</v>
      </c>
      <c r="K72" t="s">
        <v>284</v>
      </c>
      <c r="L72">
        <v>1348</v>
      </c>
      <c r="N72">
        <v>1009</v>
      </c>
      <c r="O72" t="s">
        <v>56</v>
      </c>
      <c r="P72" t="s">
        <v>56</v>
      </c>
      <c r="Q72">
        <v>1000</v>
      </c>
      <c r="W72">
        <v>0</v>
      </c>
      <c r="X72">
        <v>1489638031</v>
      </c>
      <c r="Y72">
        <f t="shared" si="22"/>
        <v>1.66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1</v>
      </c>
      <c r="AJ72">
        <v>1</v>
      </c>
      <c r="AK72">
        <v>1</v>
      </c>
      <c r="AL72">
        <v>1</v>
      </c>
      <c r="AM72">
        <v>-2</v>
      </c>
      <c r="AN72">
        <v>0</v>
      </c>
      <c r="AO72">
        <v>1</v>
      </c>
      <c r="AP72">
        <v>0</v>
      </c>
      <c r="AQ72">
        <v>0</v>
      </c>
      <c r="AR72">
        <v>0</v>
      </c>
      <c r="AS72" t="s">
        <v>3</v>
      </c>
      <c r="AT72">
        <v>1.66</v>
      </c>
      <c r="AU72" t="s">
        <v>3</v>
      </c>
      <c r="AV72">
        <v>0</v>
      </c>
      <c r="AW72">
        <v>2</v>
      </c>
      <c r="AX72">
        <v>75704110</v>
      </c>
      <c r="AY72">
        <v>1</v>
      </c>
      <c r="AZ72">
        <v>0</v>
      </c>
      <c r="BA72">
        <v>70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V72">
        <v>0</v>
      </c>
      <c r="CW72">
        <v>0</v>
      </c>
      <c r="CX72">
        <f>ROUND(Y72*Source!I196,9)</f>
        <v>1.66E-2</v>
      </c>
      <c r="CY72">
        <f>AA72</f>
        <v>0</v>
      </c>
      <c r="CZ72">
        <f>AE72</f>
        <v>0</v>
      </c>
      <c r="DA72">
        <f>AI72</f>
        <v>1</v>
      </c>
      <c r="DB72">
        <f t="shared" si="23"/>
        <v>0</v>
      </c>
      <c r="DC72">
        <f t="shared" si="24"/>
        <v>0</v>
      </c>
      <c r="DD72" t="s">
        <v>3</v>
      </c>
      <c r="DE72" t="s">
        <v>3</v>
      </c>
      <c r="DF72">
        <f t="shared" si="25"/>
        <v>0</v>
      </c>
      <c r="DG72">
        <f t="shared" si="26"/>
        <v>0</v>
      </c>
      <c r="DH72">
        <f t="shared" si="27"/>
        <v>0</v>
      </c>
      <c r="DI72">
        <f t="shared" si="28"/>
        <v>0</v>
      </c>
      <c r="DJ72">
        <f>DF72</f>
        <v>0</v>
      </c>
      <c r="DK72">
        <v>0</v>
      </c>
      <c r="DL72" t="s">
        <v>3</v>
      </c>
      <c r="DM72">
        <v>0</v>
      </c>
      <c r="DN72" t="s">
        <v>3</v>
      </c>
      <c r="DO72">
        <v>0</v>
      </c>
    </row>
    <row r="73" spans="1:119" x14ac:dyDescent="0.2">
      <c r="A73">
        <f>ROW(Source!A197)</f>
        <v>197</v>
      </c>
      <c r="B73">
        <v>75703208</v>
      </c>
      <c r="C73">
        <v>75703768</v>
      </c>
      <c r="D73">
        <v>75386788</v>
      </c>
      <c r="E73">
        <v>39</v>
      </c>
      <c r="F73">
        <v>1</v>
      </c>
      <c r="G73">
        <v>39</v>
      </c>
      <c r="H73">
        <v>1</v>
      </c>
      <c r="I73" t="s">
        <v>276</v>
      </c>
      <c r="J73" t="s">
        <v>3</v>
      </c>
      <c r="K73" t="s">
        <v>277</v>
      </c>
      <c r="L73">
        <v>1191</v>
      </c>
      <c r="N73">
        <v>1013</v>
      </c>
      <c r="O73" t="s">
        <v>278</v>
      </c>
      <c r="P73" t="s">
        <v>278</v>
      </c>
      <c r="Q73">
        <v>1</v>
      </c>
      <c r="W73">
        <v>0</v>
      </c>
      <c r="X73">
        <v>476480486</v>
      </c>
      <c r="Y73">
        <f t="shared" si="22"/>
        <v>77.86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1</v>
      </c>
      <c r="AJ73">
        <v>1</v>
      </c>
      <c r="AK73">
        <v>1</v>
      </c>
      <c r="AL73">
        <v>1</v>
      </c>
      <c r="AM73">
        <v>-2</v>
      </c>
      <c r="AN73">
        <v>0</v>
      </c>
      <c r="AO73">
        <v>1</v>
      </c>
      <c r="AP73">
        <v>0</v>
      </c>
      <c r="AQ73">
        <v>0</v>
      </c>
      <c r="AR73">
        <v>0</v>
      </c>
      <c r="AS73" t="s">
        <v>3</v>
      </c>
      <c r="AT73">
        <v>77.86</v>
      </c>
      <c r="AU73" t="s">
        <v>3</v>
      </c>
      <c r="AV73">
        <v>1</v>
      </c>
      <c r="AW73">
        <v>2</v>
      </c>
      <c r="AX73">
        <v>75704111</v>
      </c>
      <c r="AY73">
        <v>1</v>
      </c>
      <c r="AZ73">
        <v>2048</v>
      </c>
      <c r="BA73">
        <v>71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U73">
        <f>ROUND(AT73*Source!I197*AH73*AL73,2)</f>
        <v>0</v>
      </c>
      <c r="CV73">
        <f>ROUND(Y73*Source!I197,9)</f>
        <v>0.77859999999999996</v>
      </c>
      <c r="CW73">
        <v>0</v>
      </c>
      <c r="CX73">
        <f>ROUND(Y73*Source!I197,9)</f>
        <v>0.77859999999999996</v>
      </c>
      <c r="CY73">
        <f>AD73</f>
        <v>0</v>
      </c>
      <c r="CZ73">
        <f>AH73</f>
        <v>0</v>
      </c>
      <c r="DA73">
        <f>AL73</f>
        <v>1</v>
      </c>
      <c r="DB73">
        <f t="shared" si="23"/>
        <v>0</v>
      </c>
      <c r="DC73">
        <f t="shared" si="24"/>
        <v>0</v>
      </c>
      <c r="DD73" t="s">
        <v>3</v>
      </c>
      <c r="DE73" t="s">
        <v>3</v>
      </c>
      <c r="DF73">
        <f t="shared" si="25"/>
        <v>0</v>
      </c>
      <c r="DG73">
        <f t="shared" si="26"/>
        <v>0</v>
      </c>
      <c r="DH73">
        <f t="shared" si="27"/>
        <v>0</v>
      </c>
      <c r="DI73">
        <f t="shared" si="28"/>
        <v>0</v>
      </c>
      <c r="DJ73">
        <f>DI73</f>
        <v>0</v>
      </c>
      <c r="DK73">
        <v>0</v>
      </c>
      <c r="DL73" t="s">
        <v>3</v>
      </c>
      <c r="DM73">
        <v>0</v>
      </c>
      <c r="DN73" t="s">
        <v>3</v>
      </c>
      <c r="DO73">
        <v>0</v>
      </c>
    </row>
    <row r="74" spans="1:119" x14ac:dyDescent="0.2">
      <c r="A74">
        <f>ROW(Source!A197)</f>
        <v>197</v>
      </c>
      <c r="B74">
        <v>75703208</v>
      </c>
      <c r="C74">
        <v>75703768</v>
      </c>
      <c r="D74">
        <v>75389672</v>
      </c>
      <c r="E74">
        <v>1</v>
      </c>
      <c r="F74">
        <v>1</v>
      </c>
      <c r="G74">
        <v>39</v>
      </c>
      <c r="H74">
        <v>3</v>
      </c>
      <c r="I74" t="s">
        <v>285</v>
      </c>
      <c r="J74" t="s">
        <v>286</v>
      </c>
      <c r="K74" t="s">
        <v>287</v>
      </c>
      <c r="L74">
        <v>1348</v>
      </c>
      <c r="N74">
        <v>1009</v>
      </c>
      <c r="O74" t="s">
        <v>56</v>
      </c>
      <c r="P74" t="s">
        <v>56</v>
      </c>
      <c r="Q74">
        <v>1000</v>
      </c>
      <c r="W74">
        <v>0</v>
      </c>
      <c r="X74">
        <v>-799169102</v>
      </c>
      <c r="Y74">
        <f t="shared" si="22"/>
        <v>1.2E-2</v>
      </c>
      <c r="AA74">
        <v>95976.83</v>
      </c>
      <c r="AB74">
        <v>0</v>
      </c>
      <c r="AC74">
        <v>0</v>
      </c>
      <c r="AD74">
        <v>0</v>
      </c>
      <c r="AE74">
        <v>95976.83</v>
      </c>
      <c r="AF74">
        <v>0</v>
      </c>
      <c r="AG74">
        <v>0</v>
      </c>
      <c r="AH74">
        <v>0</v>
      </c>
      <c r="AI74">
        <v>1</v>
      </c>
      <c r="AJ74">
        <v>1</v>
      </c>
      <c r="AK74">
        <v>1</v>
      </c>
      <c r="AL74">
        <v>1</v>
      </c>
      <c r="AM74">
        <v>-2</v>
      </c>
      <c r="AN74">
        <v>0</v>
      </c>
      <c r="AO74">
        <v>1</v>
      </c>
      <c r="AP74">
        <v>0</v>
      </c>
      <c r="AQ74">
        <v>0</v>
      </c>
      <c r="AR74">
        <v>0</v>
      </c>
      <c r="AS74" t="s">
        <v>3</v>
      </c>
      <c r="AT74">
        <v>1.2E-2</v>
      </c>
      <c r="AU74" t="s">
        <v>3</v>
      </c>
      <c r="AV74">
        <v>0</v>
      </c>
      <c r="AW74">
        <v>2</v>
      </c>
      <c r="AX74">
        <v>75704112</v>
      </c>
      <c r="AY74">
        <v>1</v>
      </c>
      <c r="AZ74">
        <v>2048</v>
      </c>
      <c r="BA74">
        <v>72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V74">
        <v>0</v>
      </c>
      <c r="CW74">
        <v>0</v>
      </c>
      <c r="CX74">
        <f>ROUND(Y74*Source!I197,9)</f>
        <v>1.2E-4</v>
      </c>
      <c r="CY74">
        <f>AA74</f>
        <v>95976.83</v>
      </c>
      <c r="CZ74">
        <f>AE74</f>
        <v>95976.83</v>
      </c>
      <c r="DA74">
        <f>AI74</f>
        <v>1</v>
      </c>
      <c r="DB74">
        <f t="shared" si="23"/>
        <v>1151.72</v>
      </c>
      <c r="DC74">
        <f t="shared" si="24"/>
        <v>0</v>
      </c>
      <c r="DD74" t="s">
        <v>3</v>
      </c>
      <c r="DE74" t="s">
        <v>3</v>
      </c>
      <c r="DF74">
        <f t="shared" si="25"/>
        <v>11.52</v>
      </c>
      <c r="DG74">
        <f t="shared" si="26"/>
        <v>0</v>
      </c>
      <c r="DH74">
        <f t="shared" si="27"/>
        <v>0</v>
      </c>
      <c r="DI74">
        <f t="shared" si="28"/>
        <v>0</v>
      </c>
      <c r="DJ74">
        <f>DF74</f>
        <v>11.52</v>
      </c>
      <c r="DK74">
        <v>0</v>
      </c>
      <c r="DL74" t="s">
        <v>3</v>
      </c>
      <c r="DM74">
        <v>0</v>
      </c>
      <c r="DN74" t="s">
        <v>3</v>
      </c>
      <c r="DO74">
        <v>0</v>
      </c>
    </row>
    <row r="75" spans="1:119" x14ac:dyDescent="0.2">
      <c r="A75">
        <f>ROW(Source!A197)</f>
        <v>197</v>
      </c>
      <c r="B75">
        <v>75703208</v>
      </c>
      <c r="C75">
        <v>75703768</v>
      </c>
      <c r="D75">
        <v>75389710</v>
      </c>
      <c r="E75">
        <v>1</v>
      </c>
      <c r="F75">
        <v>1</v>
      </c>
      <c r="G75">
        <v>39</v>
      </c>
      <c r="H75">
        <v>3</v>
      </c>
      <c r="I75" t="s">
        <v>365</v>
      </c>
      <c r="J75" t="s">
        <v>366</v>
      </c>
      <c r="K75" t="s">
        <v>367</v>
      </c>
      <c r="L75">
        <v>1348</v>
      </c>
      <c r="N75">
        <v>1009</v>
      </c>
      <c r="O75" t="s">
        <v>56</v>
      </c>
      <c r="P75" t="s">
        <v>56</v>
      </c>
      <c r="Q75">
        <v>1000</v>
      </c>
      <c r="W75">
        <v>0</v>
      </c>
      <c r="X75">
        <v>-1980536396</v>
      </c>
      <c r="Y75">
        <f t="shared" si="22"/>
        <v>3.5000000000000003E-2</v>
      </c>
      <c r="AA75">
        <v>87313.75</v>
      </c>
      <c r="AB75">
        <v>0</v>
      </c>
      <c r="AC75">
        <v>0</v>
      </c>
      <c r="AD75">
        <v>0</v>
      </c>
      <c r="AE75">
        <v>87313.75</v>
      </c>
      <c r="AF75">
        <v>0</v>
      </c>
      <c r="AG75">
        <v>0</v>
      </c>
      <c r="AH75">
        <v>0</v>
      </c>
      <c r="AI75">
        <v>1</v>
      </c>
      <c r="AJ75">
        <v>1</v>
      </c>
      <c r="AK75">
        <v>1</v>
      </c>
      <c r="AL75">
        <v>1</v>
      </c>
      <c r="AM75">
        <v>-2</v>
      </c>
      <c r="AN75">
        <v>0</v>
      </c>
      <c r="AO75">
        <v>1</v>
      </c>
      <c r="AP75">
        <v>0</v>
      </c>
      <c r="AQ75">
        <v>0</v>
      </c>
      <c r="AR75">
        <v>0</v>
      </c>
      <c r="AS75" t="s">
        <v>3</v>
      </c>
      <c r="AT75">
        <v>3.5000000000000003E-2</v>
      </c>
      <c r="AU75" t="s">
        <v>3</v>
      </c>
      <c r="AV75">
        <v>0</v>
      </c>
      <c r="AW75">
        <v>2</v>
      </c>
      <c r="AX75">
        <v>75704113</v>
      </c>
      <c r="AY75">
        <v>1</v>
      </c>
      <c r="AZ75">
        <v>2048</v>
      </c>
      <c r="BA75">
        <v>73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V75">
        <v>0</v>
      </c>
      <c r="CW75">
        <v>0</v>
      </c>
      <c r="CX75">
        <f>ROUND(Y75*Source!I197,9)</f>
        <v>3.5E-4</v>
      </c>
      <c r="CY75">
        <f>AA75</f>
        <v>87313.75</v>
      </c>
      <c r="CZ75">
        <f>AE75</f>
        <v>87313.75</v>
      </c>
      <c r="DA75">
        <f>AI75</f>
        <v>1</v>
      </c>
      <c r="DB75">
        <f t="shared" si="23"/>
        <v>3055.98</v>
      </c>
      <c r="DC75">
        <f t="shared" si="24"/>
        <v>0</v>
      </c>
      <c r="DD75" t="s">
        <v>3</v>
      </c>
      <c r="DE75" t="s">
        <v>3</v>
      </c>
      <c r="DF75">
        <f t="shared" si="25"/>
        <v>30.56</v>
      </c>
      <c r="DG75">
        <f t="shared" si="26"/>
        <v>0</v>
      </c>
      <c r="DH75">
        <f t="shared" si="27"/>
        <v>0</v>
      </c>
      <c r="DI75">
        <f t="shared" si="28"/>
        <v>0</v>
      </c>
      <c r="DJ75">
        <f>DF75</f>
        <v>30.56</v>
      </c>
      <c r="DK75">
        <v>0</v>
      </c>
      <c r="DL75" t="s">
        <v>3</v>
      </c>
      <c r="DM75">
        <v>0</v>
      </c>
      <c r="DN75" t="s">
        <v>3</v>
      </c>
      <c r="DO75">
        <v>0</v>
      </c>
    </row>
    <row r="76" spans="1:119" x14ac:dyDescent="0.2">
      <c r="A76">
        <f>ROW(Source!A197)</f>
        <v>197</v>
      </c>
      <c r="B76">
        <v>75703208</v>
      </c>
      <c r="C76">
        <v>75703768</v>
      </c>
      <c r="D76">
        <v>75393920</v>
      </c>
      <c r="E76">
        <v>1</v>
      </c>
      <c r="F76">
        <v>1</v>
      </c>
      <c r="G76">
        <v>39</v>
      </c>
      <c r="H76">
        <v>3</v>
      </c>
      <c r="I76" t="s">
        <v>368</v>
      </c>
      <c r="J76" t="s">
        <v>369</v>
      </c>
      <c r="K76" t="s">
        <v>370</v>
      </c>
      <c r="L76">
        <v>1301</v>
      </c>
      <c r="N76">
        <v>1003</v>
      </c>
      <c r="O76" t="s">
        <v>36</v>
      </c>
      <c r="P76" t="s">
        <v>36</v>
      </c>
      <c r="Q76">
        <v>1</v>
      </c>
      <c r="W76">
        <v>0</v>
      </c>
      <c r="X76">
        <v>-1908336614</v>
      </c>
      <c r="Y76">
        <f t="shared" si="22"/>
        <v>400</v>
      </c>
      <c r="AA76">
        <v>27.14</v>
      </c>
      <c r="AB76">
        <v>0</v>
      </c>
      <c r="AC76">
        <v>0</v>
      </c>
      <c r="AD76">
        <v>0</v>
      </c>
      <c r="AE76">
        <v>27.14</v>
      </c>
      <c r="AF76">
        <v>0</v>
      </c>
      <c r="AG76">
        <v>0</v>
      </c>
      <c r="AH76">
        <v>0</v>
      </c>
      <c r="AI76">
        <v>1</v>
      </c>
      <c r="AJ76">
        <v>1</v>
      </c>
      <c r="AK76">
        <v>1</v>
      </c>
      <c r="AL76">
        <v>1</v>
      </c>
      <c r="AM76">
        <v>-2</v>
      </c>
      <c r="AN76">
        <v>0</v>
      </c>
      <c r="AO76">
        <v>1</v>
      </c>
      <c r="AP76">
        <v>0</v>
      </c>
      <c r="AQ76">
        <v>0</v>
      </c>
      <c r="AR76">
        <v>0</v>
      </c>
      <c r="AS76" t="s">
        <v>3</v>
      </c>
      <c r="AT76">
        <v>400</v>
      </c>
      <c r="AU76" t="s">
        <v>3</v>
      </c>
      <c r="AV76">
        <v>0</v>
      </c>
      <c r="AW76">
        <v>2</v>
      </c>
      <c r="AX76">
        <v>75704114</v>
      </c>
      <c r="AY76">
        <v>1</v>
      </c>
      <c r="AZ76">
        <v>2048</v>
      </c>
      <c r="BA76">
        <v>74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V76">
        <v>0</v>
      </c>
      <c r="CW76">
        <v>0</v>
      </c>
      <c r="CX76">
        <f>ROUND(Y76*Source!I197,9)</f>
        <v>4</v>
      </c>
      <c r="CY76">
        <f>AA76</f>
        <v>27.14</v>
      </c>
      <c r="CZ76">
        <f>AE76</f>
        <v>27.14</v>
      </c>
      <c r="DA76">
        <f>AI76</f>
        <v>1</v>
      </c>
      <c r="DB76">
        <f t="shared" si="23"/>
        <v>10856</v>
      </c>
      <c r="DC76">
        <f t="shared" si="24"/>
        <v>0</v>
      </c>
      <c r="DD76" t="s">
        <v>3</v>
      </c>
      <c r="DE76" t="s">
        <v>3</v>
      </c>
      <c r="DF76">
        <f t="shared" si="25"/>
        <v>108.56</v>
      </c>
      <c r="DG76">
        <f t="shared" si="26"/>
        <v>0</v>
      </c>
      <c r="DH76">
        <f t="shared" si="27"/>
        <v>0</v>
      </c>
      <c r="DI76">
        <f t="shared" si="28"/>
        <v>0</v>
      </c>
      <c r="DJ76">
        <f>DF76</f>
        <v>108.56</v>
      </c>
      <c r="DK76">
        <v>0</v>
      </c>
      <c r="DL76" t="s">
        <v>3</v>
      </c>
      <c r="DM76">
        <v>0</v>
      </c>
      <c r="DN76" t="s">
        <v>3</v>
      </c>
      <c r="DO76">
        <v>0</v>
      </c>
    </row>
    <row r="77" spans="1:119" x14ac:dyDescent="0.2">
      <c r="A77">
        <f>ROW(Source!A198)</f>
        <v>198</v>
      </c>
      <c r="B77">
        <v>75703208</v>
      </c>
      <c r="C77">
        <v>75703777</v>
      </c>
      <c r="D77">
        <v>75386788</v>
      </c>
      <c r="E77">
        <v>39</v>
      </c>
      <c r="F77">
        <v>1</v>
      </c>
      <c r="G77">
        <v>39</v>
      </c>
      <c r="H77">
        <v>1</v>
      </c>
      <c r="I77" t="s">
        <v>276</v>
      </c>
      <c r="J77" t="s">
        <v>3</v>
      </c>
      <c r="K77" t="s">
        <v>277</v>
      </c>
      <c r="L77">
        <v>1191</v>
      </c>
      <c r="N77">
        <v>1013</v>
      </c>
      <c r="O77" t="s">
        <v>278</v>
      </c>
      <c r="P77" t="s">
        <v>278</v>
      </c>
      <c r="Q77">
        <v>1</v>
      </c>
      <c r="W77">
        <v>0</v>
      </c>
      <c r="X77">
        <v>476480486</v>
      </c>
      <c r="Y77">
        <f t="shared" si="22"/>
        <v>2.2400000000000002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1</v>
      </c>
      <c r="AJ77">
        <v>1</v>
      </c>
      <c r="AK77">
        <v>1</v>
      </c>
      <c r="AL77">
        <v>1</v>
      </c>
      <c r="AM77">
        <v>-2</v>
      </c>
      <c r="AN77">
        <v>0</v>
      </c>
      <c r="AO77">
        <v>1</v>
      </c>
      <c r="AP77">
        <v>0</v>
      </c>
      <c r="AQ77">
        <v>0</v>
      </c>
      <c r="AR77">
        <v>0</v>
      </c>
      <c r="AS77" t="s">
        <v>3</v>
      </c>
      <c r="AT77">
        <v>2.2400000000000002</v>
      </c>
      <c r="AU77" t="s">
        <v>3</v>
      </c>
      <c r="AV77">
        <v>1</v>
      </c>
      <c r="AW77">
        <v>2</v>
      </c>
      <c r="AX77">
        <v>75704115</v>
      </c>
      <c r="AY77">
        <v>1</v>
      </c>
      <c r="AZ77">
        <v>0</v>
      </c>
      <c r="BA77">
        <v>75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U77">
        <f>ROUND(AT77*Source!I198*AH77*AL77,2)</f>
        <v>0</v>
      </c>
      <c r="CV77">
        <f>ROUND(Y77*Source!I198,9)</f>
        <v>2.2400000000000002</v>
      </c>
      <c r="CW77">
        <v>0</v>
      </c>
      <c r="CX77">
        <f>ROUND(Y77*Source!I198,9)</f>
        <v>2.2400000000000002</v>
      </c>
      <c r="CY77">
        <f>AD77</f>
        <v>0</v>
      </c>
      <c r="CZ77">
        <f>AH77</f>
        <v>0</v>
      </c>
      <c r="DA77">
        <f>AL77</f>
        <v>1</v>
      </c>
      <c r="DB77">
        <f t="shared" si="23"/>
        <v>0</v>
      </c>
      <c r="DC77">
        <f t="shared" si="24"/>
        <v>0</v>
      </c>
      <c r="DD77" t="s">
        <v>3</v>
      </c>
      <c r="DE77" t="s">
        <v>3</v>
      </c>
      <c r="DF77">
        <f t="shared" si="25"/>
        <v>0</v>
      </c>
      <c r="DG77">
        <f t="shared" si="26"/>
        <v>0</v>
      </c>
      <c r="DH77">
        <f t="shared" si="27"/>
        <v>0</v>
      </c>
      <c r="DI77">
        <f t="shared" si="28"/>
        <v>0</v>
      </c>
      <c r="DJ77">
        <f>DI77</f>
        <v>0</v>
      </c>
      <c r="DK77">
        <v>0</v>
      </c>
      <c r="DL77" t="s">
        <v>3</v>
      </c>
      <c r="DM77">
        <v>0</v>
      </c>
      <c r="DN77" t="s">
        <v>3</v>
      </c>
      <c r="DO77">
        <v>0</v>
      </c>
    </row>
    <row r="78" spans="1:119" x14ac:dyDescent="0.2">
      <c r="A78">
        <f>ROW(Source!A198)</f>
        <v>198</v>
      </c>
      <c r="B78">
        <v>75703208</v>
      </c>
      <c r="C78">
        <v>75703777</v>
      </c>
      <c r="D78">
        <v>75388585</v>
      </c>
      <c r="E78">
        <v>1</v>
      </c>
      <c r="F78">
        <v>1</v>
      </c>
      <c r="G78">
        <v>39</v>
      </c>
      <c r="H78">
        <v>2</v>
      </c>
      <c r="I78" t="s">
        <v>288</v>
      </c>
      <c r="J78" t="s">
        <v>289</v>
      </c>
      <c r="K78" t="s">
        <v>290</v>
      </c>
      <c r="L78">
        <v>1368</v>
      </c>
      <c r="N78">
        <v>1011</v>
      </c>
      <c r="O78" t="s">
        <v>282</v>
      </c>
      <c r="P78" t="s">
        <v>282</v>
      </c>
      <c r="Q78">
        <v>1</v>
      </c>
      <c r="W78">
        <v>0</v>
      </c>
      <c r="X78">
        <v>1989376342</v>
      </c>
      <c r="Y78">
        <f t="shared" si="22"/>
        <v>0.02</v>
      </c>
      <c r="AA78">
        <v>0</v>
      </c>
      <c r="AB78">
        <v>6.13</v>
      </c>
      <c r="AC78">
        <v>1.91</v>
      </c>
      <c r="AD78">
        <v>0</v>
      </c>
      <c r="AE78">
        <v>0</v>
      </c>
      <c r="AF78">
        <v>6.13</v>
      </c>
      <c r="AG78">
        <v>1.91</v>
      </c>
      <c r="AH78">
        <v>0</v>
      </c>
      <c r="AI78">
        <v>1</v>
      </c>
      <c r="AJ78">
        <v>1</v>
      </c>
      <c r="AK78">
        <v>1</v>
      </c>
      <c r="AL78">
        <v>1</v>
      </c>
      <c r="AM78">
        <v>-2</v>
      </c>
      <c r="AN78">
        <v>0</v>
      </c>
      <c r="AO78">
        <v>1</v>
      </c>
      <c r="AP78">
        <v>0</v>
      </c>
      <c r="AQ78">
        <v>0</v>
      </c>
      <c r="AR78">
        <v>0</v>
      </c>
      <c r="AS78" t="s">
        <v>3</v>
      </c>
      <c r="AT78">
        <v>0.02</v>
      </c>
      <c r="AU78" t="s">
        <v>3</v>
      </c>
      <c r="AV78">
        <v>0</v>
      </c>
      <c r="AW78">
        <v>2</v>
      </c>
      <c r="AX78">
        <v>75704116</v>
      </c>
      <c r="AY78">
        <v>1</v>
      </c>
      <c r="AZ78">
        <v>0</v>
      </c>
      <c r="BA78">
        <v>76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V78">
        <v>0</v>
      </c>
      <c r="CW78">
        <f>ROUND(Y78*Source!I198*DO78,9)</f>
        <v>0</v>
      </c>
      <c r="CX78">
        <f>ROUND(Y78*Source!I198,9)</f>
        <v>0.02</v>
      </c>
      <c r="CY78">
        <f>AB78</f>
        <v>6.13</v>
      </c>
      <c r="CZ78">
        <f>AF78</f>
        <v>6.13</v>
      </c>
      <c r="DA78">
        <f>AJ78</f>
        <v>1</v>
      </c>
      <c r="DB78">
        <f t="shared" si="23"/>
        <v>0.12</v>
      </c>
      <c r="DC78">
        <f t="shared" si="24"/>
        <v>0.04</v>
      </c>
      <c r="DD78" t="s">
        <v>3</v>
      </c>
      <c r="DE78" t="s">
        <v>3</v>
      </c>
      <c r="DF78">
        <f t="shared" si="25"/>
        <v>0</v>
      </c>
      <c r="DG78">
        <f t="shared" si="26"/>
        <v>0.12</v>
      </c>
      <c r="DH78">
        <f t="shared" si="27"/>
        <v>0.04</v>
      </c>
      <c r="DI78">
        <f t="shared" si="28"/>
        <v>0</v>
      </c>
      <c r="DJ78">
        <f>DG78</f>
        <v>0.12</v>
      </c>
      <c r="DK78">
        <v>0</v>
      </c>
      <c r="DL78" t="s">
        <v>3</v>
      </c>
      <c r="DM78">
        <v>0</v>
      </c>
      <c r="DN78" t="s">
        <v>3</v>
      </c>
      <c r="DO78">
        <v>0</v>
      </c>
    </row>
    <row r="79" spans="1:119" x14ac:dyDescent="0.2">
      <c r="A79">
        <f>ROW(Source!A198)</f>
        <v>198</v>
      </c>
      <c r="B79">
        <v>75703208</v>
      </c>
      <c r="C79">
        <v>75703777</v>
      </c>
      <c r="D79">
        <v>75389751</v>
      </c>
      <c r="E79">
        <v>1</v>
      </c>
      <c r="F79">
        <v>1</v>
      </c>
      <c r="G79">
        <v>39</v>
      </c>
      <c r="H79">
        <v>3</v>
      </c>
      <c r="I79" t="s">
        <v>371</v>
      </c>
      <c r="J79" t="s">
        <v>372</v>
      </c>
      <c r="K79" t="s">
        <v>373</v>
      </c>
      <c r="L79">
        <v>1348</v>
      </c>
      <c r="N79">
        <v>1009</v>
      </c>
      <c r="O79" t="s">
        <v>56</v>
      </c>
      <c r="P79" t="s">
        <v>56</v>
      </c>
      <c r="Q79">
        <v>1000</v>
      </c>
      <c r="W79">
        <v>0</v>
      </c>
      <c r="X79">
        <v>-1788654527</v>
      </c>
      <c r="Y79">
        <f t="shared" si="22"/>
        <v>6.9999999999999994E-5</v>
      </c>
      <c r="AA79">
        <v>239140.75</v>
      </c>
      <c r="AB79">
        <v>0</v>
      </c>
      <c r="AC79">
        <v>0</v>
      </c>
      <c r="AD79">
        <v>0</v>
      </c>
      <c r="AE79">
        <v>239140.75</v>
      </c>
      <c r="AF79">
        <v>0</v>
      </c>
      <c r="AG79">
        <v>0</v>
      </c>
      <c r="AH79">
        <v>0</v>
      </c>
      <c r="AI79">
        <v>1</v>
      </c>
      <c r="AJ79">
        <v>1</v>
      </c>
      <c r="AK79">
        <v>1</v>
      </c>
      <c r="AL79">
        <v>1</v>
      </c>
      <c r="AM79">
        <v>-2</v>
      </c>
      <c r="AN79">
        <v>0</v>
      </c>
      <c r="AO79">
        <v>1</v>
      </c>
      <c r="AP79">
        <v>0</v>
      </c>
      <c r="AQ79">
        <v>0</v>
      </c>
      <c r="AR79">
        <v>0</v>
      </c>
      <c r="AS79" t="s">
        <v>3</v>
      </c>
      <c r="AT79">
        <v>6.9999999999999994E-5</v>
      </c>
      <c r="AU79" t="s">
        <v>3</v>
      </c>
      <c r="AV79">
        <v>0</v>
      </c>
      <c r="AW79">
        <v>2</v>
      </c>
      <c r="AX79">
        <v>75704117</v>
      </c>
      <c r="AY79">
        <v>1</v>
      </c>
      <c r="AZ79">
        <v>0</v>
      </c>
      <c r="BA79">
        <v>77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V79">
        <v>0</v>
      </c>
      <c r="CW79">
        <v>0</v>
      </c>
      <c r="CX79">
        <f>ROUND(Y79*Source!I198,9)</f>
        <v>6.9999999999999994E-5</v>
      </c>
      <c r="CY79">
        <f t="shared" ref="CY79:CY91" si="29">AA79</f>
        <v>239140.75</v>
      </c>
      <c r="CZ79">
        <f t="shared" ref="CZ79:CZ91" si="30">AE79</f>
        <v>239140.75</v>
      </c>
      <c r="DA79">
        <f t="shared" ref="DA79:DA91" si="31">AI79</f>
        <v>1</v>
      </c>
      <c r="DB79">
        <f t="shared" si="23"/>
        <v>16.739999999999998</v>
      </c>
      <c r="DC79">
        <f t="shared" si="24"/>
        <v>0</v>
      </c>
      <c r="DD79" t="s">
        <v>3</v>
      </c>
      <c r="DE79" t="s">
        <v>3</v>
      </c>
      <c r="DF79">
        <f t="shared" si="25"/>
        <v>16.739999999999998</v>
      </c>
      <c r="DG79">
        <f t="shared" si="26"/>
        <v>0</v>
      </c>
      <c r="DH79">
        <f t="shared" si="27"/>
        <v>0</v>
      </c>
      <c r="DI79">
        <f t="shared" si="28"/>
        <v>0</v>
      </c>
      <c r="DJ79">
        <f t="shared" ref="DJ79:DJ91" si="32">DF79</f>
        <v>16.739999999999998</v>
      </c>
      <c r="DK79">
        <v>0</v>
      </c>
      <c r="DL79" t="s">
        <v>3</v>
      </c>
      <c r="DM79">
        <v>0</v>
      </c>
      <c r="DN79" t="s">
        <v>3</v>
      </c>
      <c r="DO79">
        <v>0</v>
      </c>
    </row>
    <row r="80" spans="1:119" x14ac:dyDescent="0.2">
      <c r="A80">
        <f>ROW(Source!A198)</f>
        <v>198</v>
      </c>
      <c r="B80">
        <v>75703208</v>
      </c>
      <c r="C80">
        <v>75703777</v>
      </c>
      <c r="D80">
        <v>75389824</v>
      </c>
      <c r="E80">
        <v>1</v>
      </c>
      <c r="F80">
        <v>1</v>
      </c>
      <c r="G80">
        <v>39</v>
      </c>
      <c r="H80">
        <v>3</v>
      </c>
      <c r="I80" t="s">
        <v>374</v>
      </c>
      <c r="J80" t="s">
        <v>375</v>
      </c>
      <c r="K80" t="s">
        <v>376</v>
      </c>
      <c r="L80">
        <v>1354</v>
      </c>
      <c r="N80">
        <v>1010</v>
      </c>
      <c r="O80" t="s">
        <v>196</v>
      </c>
      <c r="P80" t="s">
        <v>196</v>
      </c>
      <c r="Q80">
        <v>1</v>
      </c>
      <c r="W80">
        <v>0</v>
      </c>
      <c r="X80">
        <v>1799219779</v>
      </c>
      <c r="Y80">
        <f t="shared" si="22"/>
        <v>0.04</v>
      </c>
      <c r="AA80">
        <v>2.31</v>
      </c>
      <c r="AB80">
        <v>0</v>
      </c>
      <c r="AC80">
        <v>0</v>
      </c>
      <c r="AD80">
        <v>0</v>
      </c>
      <c r="AE80">
        <v>2.31</v>
      </c>
      <c r="AF80">
        <v>0</v>
      </c>
      <c r="AG80">
        <v>0</v>
      </c>
      <c r="AH80">
        <v>0</v>
      </c>
      <c r="AI80">
        <v>1</v>
      </c>
      <c r="AJ80">
        <v>1</v>
      </c>
      <c r="AK80">
        <v>1</v>
      </c>
      <c r="AL80">
        <v>1</v>
      </c>
      <c r="AM80">
        <v>-2</v>
      </c>
      <c r="AN80">
        <v>0</v>
      </c>
      <c r="AO80">
        <v>1</v>
      </c>
      <c r="AP80">
        <v>0</v>
      </c>
      <c r="AQ80">
        <v>0</v>
      </c>
      <c r="AR80">
        <v>0</v>
      </c>
      <c r="AS80" t="s">
        <v>3</v>
      </c>
      <c r="AT80">
        <v>0.04</v>
      </c>
      <c r="AU80" t="s">
        <v>3</v>
      </c>
      <c r="AV80">
        <v>0</v>
      </c>
      <c r="AW80">
        <v>2</v>
      </c>
      <c r="AX80">
        <v>75704118</v>
      </c>
      <c r="AY80">
        <v>1</v>
      </c>
      <c r="AZ80">
        <v>0</v>
      </c>
      <c r="BA80">
        <v>78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V80">
        <v>0</v>
      </c>
      <c r="CW80">
        <v>0</v>
      </c>
      <c r="CX80">
        <f>ROUND(Y80*Source!I198,9)</f>
        <v>0.04</v>
      </c>
      <c r="CY80">
        <f t="shared" si="29"/>
        <v>2.31</v>
      </c>
      <c r="CZ80">
        <f t="shared" si="30"/>
        <v>2.31</v>
      </c>
      <c r="DA80">
        <f t="shared" si="31"/>
        <v>1</v>
      </c>
      <c r="DB80">
        <f t="shared" si="23"/>
        <v>0.09</v>
      </c>
      <c r="DC80">
        <f t="shared" si="24"/>
        <v>0</v>
      </c>
      <c r="DD80" t="s">
        <v>3</v>
      </c>
      <c r="DE80" t="s">
        <v>3</v>
      </c>
      <c r="DF80">
        <f t="shared" si="25"/>
        <v>0.09</v>
      </c>
      <c r="DG80">
        <f t="shared" si="26"/>
        <v>0</v>
      </c>
      <c r="DH80">
        <f t="shared" si="27"/>
        <v>0</v>
      </c>
      <c r="DI80">
        <f t="shared" si="28"/>
        <v>0</v>
      </c>
      <c r="DJ80">
        <f t="shared" si="32"/>
        <v>0.09</v>
      </c>
      <c r="DK80">
        <v>0</v>
      </c>
      <c r="DL80" t="s">
        <v>3</v>
      </c>
      <c r="DM80">
        <v>0</v>
      </c>
      <c r="DN80" t="s">
        <v>3</v>
      </c>
      <c r="DO80">
        <v>0</v>
      </c>
    </row>
    <row r="81" spans="1:119" x14ac:dyDescent="0.2">
      <c r="A81">
        <f>ROW(Source!A198)</f>
        <v>198</v>
      </c>
      <c r="B81">
        <v>75703208</v>
      </c>
      <c r="C81">
        <v>75703777</v>
      </c>
      <c r="D81">
        <v>75389710</v>
      </c>
      <c r="E81">
        <v>1</v>
      </c>
      <c r="F81">
        <v>1</v>
      </c>
      <c r="G81">
        <v>39</v>
      </c>
      <c r="H81">
        <v>3</v>
      </c>
      <c r="I81" t="s">
        <v>365</v>
      </c>
      <c r="J81" t="s">
        <v>366</v>
      </c>
      <c r="K81" t="s">
        <v>367</v>
      </c>
      <c r="L81">
        <v>1348</v>
      </c>
      <c r="N81">
        <v>1009</v>
      </c>
      <c r="O81" t="s">
        <v>56</v>
      </c>
      <c r="P81" t="s">
        <v>56</v>
      </c>
      <c r="Q81">
        <v>1000</v>
      </c>
      <c r="W81">
        <v>0</v>
      </c>
      <c r="X81">
        <v>-1980536396</v>
      </c>
      <c r="Y81">
        <f t="shared" si="22"/>
        <v>3.6000000000000002E-4</v>
      </c>
      <c r="AA81">
        <v>87313.75</v>
      </c>
      <c r="AB81">
        <v>0</v>
      </c>
      <c r="AC81">
        <v>0</v>
      </c>
      <c r="AD81">
        <v>0</v>
      </c>
      <c r="AE81">
        <v>87313.75</v>
      </c>
      <c r="AF81">
        <v>0</v>
      </c>
      <c r="AG81">
        <v>0</v>
      </c>
      <c r="AH81">
        <v>0</v>
      </c>
      <c r="AI81">
        <v>1</v>
      </c>
      <c r="AJ81">
        <v>1</v>
      </c>
      <c r="AK81">
        <v>1</v>
      </c>
      <c r="AL81">
        <v>1</v>
      </c>
      <c r="AM81">
        <v>-2</v>
      </c>
      <c r="AN81">
        <v>0</v>
      </c>
      <c r="AO81">
        <v>1</v>
      </c>
      <c r="AP81">
        <v>0</v>
      </c>
      <c r="AQ81">
        <v>0</v>
      </c>
      <c r="AR81">
        <v>0</v>
      </c>
      <c r="AS81" t="s">
        <v>3</v>
      </c>
      <c r="AT81">
        <v>3.6000000000000002E-4</v>
      </c>
      <c r="AU81" t="s">
        <v>3</v>
      </c>
      <c r="AV81">
        <v>0</v>
      </c>
      <c r="AW81">
        <v>2</v>
      </c>
      <c r="AX81">
        <v>75704119</v>
      </c>
      <c r="AY81">
        <v>1</v>
      </c>
      <c r="AZ81">
        <v>0</v>
      </c>
      <c r="BA81">
        <v>79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V81">
        <v>0</v>
      </c>
      <c r="CW81">
        <v>0</v>
      </c>
      <c r="CX81">
        <f>ROUND(Y81*Source!I198,9)</f>
        <v>3.6000000000000002E-4</v>
      </c>
      <c r="CY81">
        <f t="shared" si="29"/>
        <v>87313.75</v>
      </c>
      <c r="CZ81">
        <f t="shared" si="30"/>
        <v>87313.75</v>
      </c>
      <c r="DA81">
        <f t="shared" si="31"/>
        <v>1</v>
      </c>
      <c r="DB81">
        <f t="shared" si="23"/>
        <v>31.43</v>
      </c>
      <c r="DC81">
        <f t="shared" si="24"/>
        <v>0</v>
      </c>
      <c r="DD81" t="s">
        <v>3</v>
      </c>
      <c r="DE81" t="s">
        <v>3</v>
      </c>
      <c r="DF81">
        <f t="shared" si="25"/>
        <v>31.43</v>
      </c>
      <c r="DG81">
        <f t="shared" si="26"/>
        <v>0</v>
      </c>
      <c r="DH81">
        <f t="shared" si="27"/>
        <v>0</v>
      </c>
      <c r="DI81">
        <f t="shared" si="28"/>
        <v>0</v>
      </c>
      <c r="DJ81">
        <f t="shared" si="32"/>
        <v>31.43</v>
      </c>
      <c r="DK81">
        <v>0</v>
      </c>
      <c r="DL81" t="s">
        <v>3</v>
      </c>
      <c r="DM81">
        <v>0</v>
      </c>
      <c r="DN81" t="s">
        <v>3</v>
      </c>
      <c r="DO81">
        <v>0</v>
      </c>
    </row>
    <row r="82" spans="1:119" x14ac:dyDescent="0.2">
      <c r="A82">
        <f>ROW(Source!A198)</f>
        <v>198</v>
      </c>
      <c r="B82">
        <v>75703208</v>
      </c>
      <c r="C82">
        <v>75703777</v>
      </c>
      <c r="D82">
        <v>75390591</v>
      </c>
      <c r="E82">
        <v>1</v>
      </c>
      <c r="F82">
        <v>1</v>
      </c>
      <c r="G82">
        <v>39</v>
      </c>
      <c r="H82">
        <v>3</v>
      </c>
      <c r="I82" t="s">
        <v>377</v>
      </c>
      <c r="J82" t="s">
        <v>378</v>
      </c>
      <c r="K82" t="s">
        <v>379</v>
      </c>
      <c r="L82">
        <v>1346</v>
      </c>
      <c r="N82">
        <v>1009</v>
      </c>
      <c r="O82" t="s">
        <v>51</v>
      </c>
      <c r="P82" t="s">
        <v>51</v>
      </c>
      <c r="Q82">
        <v>1</v>
      </c>
      <c r="W82">
        <v>0</v>
      </c>
      <c r="X82">
        <v>-901272518</v>
      </c>
      <c r="Y82">
        <f t="shared" si="22"/>
        <v>0.03</v>
      </c>
      <c r="AA82">
        <v>656.56</v>
      </c>
      <c r="AB82">
        <v>0</v>
      </c>
      <c r="AC82">
        <v>0</v>
      </c>
      <c r="AD82">
        <v>0</v>
      </c>
      <c r="AE82">
        <v>656.56</v>
      </c>
      <c r="AF82">
        <v>0</v>
      </c>
      <c r="AG82">
        <v>0</v>
      </c>
      <c r="AH82">
        <v>0</v>
      </c>
      <c r="AI82">
        <v>1</v>
      </c>
      <c r="AJ82">
        <v>1</v>
      </c>
      <c r="AK82">
        <v>1</v>
      </c>
      <c r="AL82">
        <v>1</v>
      </c>
      <c r="AM82">
        <v>-2</v>
      </c>
      <c r="AN82">
        <v>0</v>
      </c>
      <c r="AO82">
        <v>1</v>
      </c>
      <c r="AP82">
        <v>0</v>
      </c>
      <c r="AQ82">
        <v>0</v>
      </c>
      <c r="AR82">
        <v>0</v>
      </c>
      <c r="AS82" t="s">
        <v>3</v>
      </c>
      <c r="AT82">
        <v>0.03</v>
      </c>
      <c r="AU82" t="s">
        <v>3</v>
      </c>
      <c r="AV82">
        <v>0</v>
      </c>
      <c r="AW82">
        <v>2</v>
      </c>
      <c r="AX82">
        <v>75704120</v>
      </c>
      <c r="AY82">
        <v>1</v>
      </c>
      <c r="AZ82">
        <v>0</v>
      </c>
      <c r="BA82">
        <v>80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CV82">
        <v>0</v>
      </c>
      <c r="CW82">
        <v>0</v>
      </c>
      <c r="CX82">
        <f>ROUND(Y82*Source!I198,9)</f>
        <v>0.03</v>
      </c>
      <c r="CY82">
        <f t="shared" si="29"/>
        <v>656.56</v>
      </c>
      <c r="CZ82">
        <f t="shared" si="30"/>
        <v>656.56</v>
      </c>
      <c r="DA82">
        <f t="shared" si="31"/>
        <v>1</v>
      </c>
      <c r="DB82">
        <f t="shared" si="23"/>
        <v>19.7</v>
      </c>
      <c r="DC82">
        <f t="shared" si="24"/>
        <v>0</v>
      </c>
      <c r="DD82" t="s">
        <v>3</v>
      </c>
      <c r="DE82" t="s">
        <v>3</v>
      </c>
      <c r="DF82">
        <f t="shared" si="25"/>
        <v>19.7</v>
      </c>
      <c r="DG82">
        <f t="shared" si="26"/>
        <v>0</v>
      </c>
      <c r="DH82">
        <f t="shared" si="27"/>
        <v>0</v>
      </c>
      <c r="DI82">
        <f t="shared" si="28"/>
        <v>0</v>
      </c>
      <c r="DJ82">
        <f t="shared" si="32"/>
        <v>19.7</v>
      </c>
      <c r="DK82">
        <v>0</v>
      </c>
      <c r="DL82" t="s">
        <v>3</v>
      </c>
      <c r="DM82">
        <v>0</v>
      </c>
      <c r="DN82" t="s">
        <v>3</v>
      </c>
      <c r="DO82">
        <v>0</v>
      </c>
    </row>
    <row r="83" spans="1:119" x14ac:dyDescent="0.2">
      <c r="A83">
        <f>ROW(Source!A198)</f>
        <v>198</v>
      </c>
      <c r="B83">
        <v>75703208</v>
      </c>
      <c r="C83">
        <v>75703777</v>
      </c>
      <c r="D83">
        <v>75390621</v>
      </c>
      <c r="E83">
        <v>1</v>
      </c>
      <c r="F83">
        <v>1</v>
      </c>
      <c r="G83">
        <v>39</v>
      </c>
      <c r="H83">
        <v>3</v>
      </c>
      <c r="I83" t="s">
        <v>380</v>
      </c>
      <c r="J83" t="s">
        <v>381</v>
      </c>
      <c r="K83" t="s">
        <v>382</v>
      </c>
      <c r="L83">
        <v>1348</v>
      </c>
      <c r="N83">
        <v>1009</v>
      </c>
      <c r="O83" t="s">
        <v>56</v>
      </c>
      <c r="P83" t="s">
        <v>56</v>
      </c>
      <c r="Q83">
        <v>1000</v>
      </c>
      <c r="W83">
        <v>0</v>
      </c>
      <c r="X83">
        <v>-1019129760</v>
      </c>
      <c r="Y83">
        <f t="shared" si="22"/>
        <v>2.0000000000000001E-4</v>
      </c>
      <c r="AA83">
        <v>58866.75</v>
      </c>
      <c r="AB83">
        <v>0</v>
      </c>
      <c r="AC83">
        <v>0</v>
      </c>
      <c r="AD83">
        <v>0</v>
      </c>
      <c r="AE83">
        <v>58866.75</v>
      </c>
      <c r="AF83">
        <v>0</v>
      </c>
      <c r="AG83">
        <v>0</v>
      </c>
      <c r="AH83">
        <v>0</v>
      </c>
      <c r="AI83">
        <v>1</v>
      </c>
      <c r="AJ83">
        <v>1</v>
      </c>
      <c r="AK83">
        <v>1</v>
      </c>
      <c r="AL83">
        <v>1</v>
      </c>
      <c r="AM83">
        <v>-2</v>
      </c>
      <c r="AN83">
        <v>0</v>
      </c>
      <c r="AO83">
        <v>1</v>
      </c>
      <c r="AP83">
        <v>0</v>
      </c>
      <c r="AQ83">
        <v>0</v>
      </c>
      <c r="AR83">
        <v>0</v>
      </c>
      <c r="AS83" t="s">
        <v>3</v>
      </c>
      <c r="AT83">
        <v>2.0000000000000001E-4</v>
      </c>
      <c r="AU83" t="s">
        <v>3</v>
      </c>
      <c r="AV83">
        <v>0</v>
      </c>
      <c r="AW83">
        <v>2</v>
      </c>
      <c r="AX83">
        <v>75704121</v>
      </c>
      <c r="AY83">
        <v>1</v>
      </c>
      <c r="AZ83">
        <v>0</v>
      </c>
      <c r="BA83">
        <v>81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V83">
        <v>0</v>
      </c>
      <c r="CW83">
        <v>0</v>
      </c>
      <c r="CX83">
        <f>ROUND(Y83*Source!I198,9)</f>
        <v>2.0000000000000001E-4</v>
      </c>
      <c r="CY83">
        <f t="shared" si="29"/>
        <v>58866.75</v>
      </c>
      <c r="CZ83">
        <f t="shared" si="30"/>
        <v>58866.75</v>
      </c>
      <c r="DA83">
        <f t="shared" si="31"/>
        <v>1</v>
      </c>
      <c r="DB83">
        <f t="shared" si="23"/>
        <v>11.77</v>
      </c>
      <c r="DC83">
        <f t="shared" si="24"/>
        <v>0</v>
      </c>
      <c r="DD83" t="s">
        <v>3</v>
      </c>
      <c r="DE83" t="s">
        <v>3</v>
      </c>
      <c r="DF83">
        <f t="shared" si="25"/>
        <v>11.77</v>
      </c>
      <c r="DG83">
        <f t="shared" si="26"/>
        <v>0</v>
      </c>
      <c r="DH83">
        <f t="shared" si="27"/>
        <v>0</v>
      </c>
      <c r="DI83">
        <f t="shared" si="28"/>
        <v>0</v>
      </c>
      <c r="DJ83">
        <f t="shared" si="32"/>
        <v>11.77</v>
      </c>
      <c r="DK83">
        <v>0</v>
      </c>
      <c r="DL83" t="s">
        <v>3</v>
      </c>
      <c r="DM83">
        <v>0</v>
      </c>
      <c r="DN83" t="s">
        <v>3</v>
      </c>
      <c r="DO83">
        <v>0</v>
      </c>
    </row>
    <row r="84" spans="1:119" x14ac:dyDescent="0.2">
      <c r="A84">
        <f>ROW(Source!A198)</f>
        <v>198</v>
      </c>
      <c r="B84">
        <v>75703208</v>
      </c>
      <c r="C84">
        <v>75703777</v>
      </c>
      <c r="D84">
        <v>75389029</v>
      </c>
      <c r="E84">
        <v>1</v>
      </c>
      <c r="F84">
        <v>1</v>
      </c>
      <c r="G84">
        <v>39</v>
      </c>
      <c r="H84">
        <v>3</v>
      </c>
      <c r="I84" t="s">
        <v>383</v>
      </c>
      <c r="J84" t="s">
        <v>384</v>
      </c>
      <c r="K84" t="s">
        <v>385</v>
      </c>
      <c r="L84">
        <v>1348</v>
      </c>
      <c r="N84">
        <v>1009</v>
      </c>
      <c r="O84" t="s">
        <v>56</v>
      </c>
      <c r="P84" t="s">
        <v>56</v>
      </c>
      <c r="Q84">
        <v>1000</v>
      </c>
      <c r="W84">
        <v>0</v>
      </c>
      <c r="X84">
        <v>169962723</v>
      </c>
      <c r="Y84">
        <f t="shared" si="22"/>
        <v>3.8000000000000002E-4</v>
      </c>
      <c r="AA84">
        <v>91558.65</v>
      </c>
      <c r="AB84">
        <v>0</v>
      </c>
      <c r="AC84">
        <v>0</v>
      </c>
      <c r="AD84">
        <v>0</v>
      </c>
      <c r="AE84">
        <v>91558.65</v>
      </c>
      <c r="AF84">
        <v>0</v>
      </c>
      <c r="AG84">
        <v>0</v>
      </c>
      <c r="AH84">
        <v>0</v>
      </c>
      <c r="AI84">
        <v>1</v>
      </c>
      <c r="AJ84">
        <v>1</v>
      </c>
      <c r="AK84">
        <v>1</v>
      </c>
      <c r="AL84">
        <v>1</v>
      </c>
      <c r="AM84">
        <v>-2</v>
      </c>
      <c r="AN84">
        <v>0</v>
      </c>
      <c r="AO84">
        <v>1</v>
      </c>
      <c r="AP84">
        <v>0</v>
      </c>
      <c r="AQ84">
        <v>0</v>
      </c>
      <c r="AR84">
        <v>0</v>
      </c>
      <c r="AS84" t="s">
        <v>3</v>
      </c>
      <c r="AT84">
        <v>3.8000000000000002E-4</v>
      </c>
      <c r="AU84" t="s">
        <v>3</v>
      </c>
      <c r="AV84">
        <v>0</v>
      </c>
      <c r="AW84">
        <v>2</v>
      </c>
      <c r="AX84">
        <v>75704122</v>
      </c>
      <c r="AY84">
        <v>1</v>
      </c>
      <c r="AZ84">
        <v>0</v>
      </c>
      <c r="BA84">
        <v>82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CV84">
        <v>0</v>
      </c>
      <c r="CW84">
        <v>0</v>
      </c>
      <c r="CX84">
        <f>ROUND(Y84*Source!I198,9)</f>
        <v>3.8000000000000002E-4</v>
      </c>
      <c r="CY84">
        <f t="shared" si="29"/>
        <v>91558.65</v>
      </c>
      <c r="CZ84">
        <f t="shared" si="30"/>
        <v>91558.65</v>
      </c>
      <c r="DA84">
        <f t="shared" si="31"/>
        <v>1</v>
      </c>
      <c r="DB84">
        <f t="shared" si="23"/>
        <v>34.79</v>
      </c>
      <c r="DC84">
        <f t="shared" si="24"/>
        <v>0</v>
      </c>
      <c r="DD84" t="s">
        <v>3</v>
      </c>
      <c r="DE84" t="s">
        <v>3</v>
      </c>
      <c r="DF84">
        <f t="shared" si="25"/>
        <v>34.79</v>
      </c>
      <c r="DG84">
        <f t="shared" si="26"/>
        <v>0</v>
      </c>
      <c r="DH84">
        <f t="shared" si="27"/>
        <v>0</v>
      </c>
      <c r="DI84">
        <f t="shared" si="28"/>
        <v>0</v>
      </c>
      <c r="DJ84">
        <f t="shared" si="32"/>
        <v>34.79</v>
      </c>
      <c r="DK84">
        <v>0</v>
      </c>
      <c r="DL84" t="s">
        <v>3</v>
      </c>
      <c r="DM84">
        <v>0</v>
      </c>
      <c r="DN84" t="s">
        <v>3</v>
      </c>
      <c r="DO84">
        <v>0</v>
      </c>
    </row>
    <row r="85" spans="1:119" x14ac:dyDescent="0.2">
      <c r="A85">
        <f>ROW(Source!A198)</f>
        <v>198</v>
      </c>
      <c r="B85">
        <v>75703208</v>
      </c>
      <c r="C85">
        <v>75703777</v>
      </c>
      <c r="D85">
        <v>75389070</v>
      </c>
      <c r="E85">
        <v>1</v>
      </c>
      <c r="F85">
        <v>1</v>
      </c>
      <c r="G85">
        <v>39</v>
      </c>
      <c r="H85">
        <v>3</v>
      </c>
      <c r="I85" t="s">
        <v>386</v>
      </c>
      <c r="J85" t="s">
        <v>387</v>
      </c>
      <c r="K85" t="s">
        <v>388</v>
      </c>
      <c r="L85">
        <v>1346</v>
      </c>
      <c r="N85">
        <v>1009</v>
      </c>
      <c r="O85" t="s">
        <v>51</v>
      </c>
      <c r="P85" t="s">
        <v>51</v>
      </c>
      <c r="Q85">
        <v>1</v>
      </c>
      <c r="W85">
        <v>0</v>
      </c>
      <c r="X85">
        <v>720467407</v>
      </c>
      <c r="Y85">
        <f t="shared" si="22"/>
        <v>0.04</v>
      </c>
      <c r="AA85">
        <v>99.65</v>
      </c>
      <c r="AB85">
        <v>0</v>
      </c>
      <c r="AC85">
        <v>0</v>
      </c>
      <c r="AD85">
        <v>0</v>
      </c>
      <c r="AE85">
        <v>99.65</v>
      </c>
      <c r="AF85">
        <v>0</v>
      </c>
      <c r="AG85">
        <v>0</v>
      </c>
      <c r="AH85">
        <v>0</v>
      </c>
      <c r="AI85">
        <v>1</v>
      </c>
      <c r="AJ85">
        <v>1</v>
      </c>
      <c r="AK85">
        <v>1</v>
      </c>
      <c r="AL85">
        <v>1</v>
      </c>
      <c r="AM85">
        <v>-2</v>
      </c>
      <c r="AN85">
        <v>0</v>
      </c>
      <c r="AO85">
        <v>1</v>
      </c>
      <c r="AP85">
        <v>0</v>
      </c>
      <c r="AQ85">
        <v>0</v>
      </c>
      <c r="AR85">
        <v>0</v>
      </c>
      <c r="AS85" t="s">
        <v>3</v>
      </c>
      <c r="AT85">
        <v>0.04</v>
      </c>
      <c r="AU85" t="s">
        <v>3</v>
      </c>
      <c r="AV85">
        <v>0</v>
      </c>
      <c r="AW85">
        <v>2</v>
      </c>
      <c r="AX85">
        <v>75704123</v>
      </c>
      <c r="AY85">
        <v>1</v>
      </c>
      <c r="AZ85">
        <v>0</v>
      </c>
      <c r="BA85">
        <v>83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CV85">
        <v>0</v>
      </c>
      <c r="CW85">
        <v>0</v>
      </c>
      <c r="CX85">
        <f>ROUND(Y85*Source!I198,9)</f>
        <v>0.04</v>
      </c>
      <c r="CY85">
        <f t="shared" si="29"/>
        <v>99.65</v>
      </c>
      <c r="CZ85">
        <f t="shared" si="30"/>
        <v>99.65</v>
      </c>
      <c r="DA85">
        <f t="shared" si="31"/>
        <v>1</v>
      </c>
      <c r="DB85">
        <f t="shared" si="23"/>
        <v>3.99</v>
      </c>
      <c r="DC85">
        <f t="shared" si="24"/>
        <v>0</v>
      </c>
      <c r="DD85" t="s">
        <v>3</v>
      </c>
      <c r="DE85" t="s">
        <v>3</v>
      </c>
      <c r="DF85">
        <f t="shared" si="25"/>
        <v>3.99</v>
      </c>
      <c r="DG85">
        <f t="shared" si="26"/>
        <v>0</v>
      </c>
      <c r="DH85">
        <f t="shared" si="27"/>
        <v>0</v>
      </c>
      <c r="DI85">
        <f t="shared" si="28"/>
        <v>0</v>
      </c>
      <c r="DJ85">
        <f t="shared" si="32"/>
        <v>3.99</v>
      </c>
      <c r="DK85">
        <v>0</v>
      </c>
      <c r="DL85" t="s">
        <v>3</v>
      </c>
      <c r="DM85">
        <v>0</v>
      </c>
      <c r="DN85" t="s">
        <v>3</v>
      </c>
      <c r="DO85">
        <v>0</v>
      </c>
    </row>
    <row r="86" spans="1:119" x14ac:dyDescent="0.2">
      <c r="A86">
        <f>ROW(Source!A198)</f>
        <v>198</v>
      </c>
      <c r="B86">
        <v>75703208</v>
      </c>
      <c r="C86">
        <v>75703777</v>
      </c>
      <c r="D86">
        <v>75396250</v>
      </c>
      <c r="E86">
        <v>1</v>
      </c>
      <c r="F86">
        <v>1</v>
      </c>
      <c r="G86">
        <v>39</v>
      </c>
      <c r="H86">
        <v>3</v>
      </c>
      <c r="I86" t="s">
        <v>204</v>
      </c>
      <c r="J86" t="s">
        <v>206</v>
      </c>
      <c r="K86" t="s">
        <v>205</v>
      </c>
      <c r="L86">
        <v>1354</v>
      </c>
      <c r="N86">
        <v>1010</v>
      </c>
      <c r="O86" t="s">
        <v>196</v>
      </c>
      <c r="P86" t="s">
        <v>196</v>
      </c>
      <c r="Q86">
        <v>1</v>
      </c>
      <c r="W86">
        <v>1</v>
      </c>
      <c r="X86">
        <v>-2016625611</v>
      </c>
      <c r="Y86">
        <f t="shared" si="22"/>
        <v>-1</v>
      </c>
      <c r="AA86">
        <v>1624.55</v>
      </c>
      <c r="AB86">
        <v>0</v>
      </c>
      <c r="AC86">
        <v>0</v>
      </c>
      <c r="AD86">
        <v>0</v>
      </c>
      <c r="AE86">
        <v>1624.55</v>
      </c>
      <c r="AF86">
        <v>0</v>
      </c>
      <c r="AG86">
        <v>0</v>
      </c>
      <c r="AH86">
        <v>0</v>
      </c>
      <c r="AI86">
        <v>1</v>
      </c>
      <c r="AJ86">
        <v>1</v>
      </c>
      <c r="AK86">
        <v>1</v>
      </c>
      <c r="AL86">
        <v>1</v>
      </c>
      <c r="AM86">
        <v>0</v>
      </c>
      <c r="AN86">
        <v>0</v>
      </c>
      <c r="AO86">
        <v>1</v>
      </c>
      <c r="AP86">
        <v>0</v>
      </c>
      <c r="AQ86">
        <v>0</v>
      </c>
      <c r="AR86">
        <v>0</v>
      </c>
      <c r="AS86" t="s">
        <v>3</v>
      </c>
      <c r="AT86">
        <v>-1</v>
      </c>
      <c r="AU86" t="s">
        <v>3</v>
      </c>
      <c r="AV86">
        <v>0</v>
      </c>
      <c r="AW86">
        <v>2</v>
      </c>
      <c r="AX86">
        <v>75704124</v>
      </c>
      <c r="AY86">
        <v>1</v>
      </c>
      <c r="AZ86">
        <v>6144</v>
      </c>
      <c r="BA86">
        <v>84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CV86">
        <v>0</v>
      </c>
      <c r="CW86">
        <v>0</v>
      </c>
      <c r="CX86">
        <f>ROUND(Y86*Source!I198,9)</f>
        <v>-1</v>
      </c>
      <c r="CY86">
        <f t="shared" si="29"/>
        <v>1624.55</v>
      </c>
      <c r="CZ86">
        <f t="shared" si="30"/>
        <v>1624.55</v>
      </c>
      <c r="DA86">
        <f t="shared" si="31"/>
        <v>1</v>
      </c>
      <c r="DB86">
        <f t="shared" si="23"/>
        <v>-1624.55</v>
      </c>
      <c r="DC86">
        <f t="shared" si="24"/>
        <v>0</v>
      </c>
      <c r="DD86" t="s">
        <v>3</v>
      </c>
      <c r="DE86" t="s">
        <v>3</v>
      </c>
      <c r="DF86">
        <f t="shared" si="25"/>
        <v>-1624.55</v>
      </c>
      <c r="DG86">
        <f t="shared" si="26"/>
        <v>0</v>
      </c>
      <c r="DH86">
        <f t="shared" si="27"/>
        <v>0</v>
      </c>
      <c r="DI86">
        <f t="shared" si="28"/>
        <v>0</v>
      </c>
      <c r="DJ86">
        <f t="shared" si="32"/>
        <v>-1624.55</v>
      </c>
      <c r="DK86">
        <v>0</v>
      </c>
      <c r="DL86" t="s">
        <v>3</v>
      </c>
      <c r="DM86">
        <v>0</v>
      </c>
      <c r="DN86" t="s">
        <v>3</v>
      </c>
      <c r="DO86">
        <v>0</v>
      </c>
    </row>
    <row r="87" spans="1:119" x14ac:dyDescent="0.2">
      <c r="A87">
        <f>ROW(Source!A198)</f>
        <v>198</v>
      </c>
      <c r="B87">
        <v>75703208</v>
      </c>
      <c r="C87">
        <v>75703777</v>
      </c>
      <c r="D87">
        <v>75396306</v>
      </c>
      <c r="E87">
        <v>1</v>
      </c>
      <c r="F87">
        <v>1</v>
      </c>
      <c r="G87">
        <v>39</v>
      </c>
      <c r="H87">
        <v>3</v>
      </c>
      <c r="I87" t="s">
        <v>389</v>
      </c>
      <c r="J87" t="s">
        <v>390</v>
      </c>
      <c r="K87" t="s">
        <v>391</v>
      </c>
      <c r="L87">
        <v>1354</v>
      </c>
      <c r="N87">
        <v>1010</v>
      </c>
      <c r="O87" t="s">
        <v>196</v>
      </c>
      <c r="P87" t="s">
        <v>196</v>
      </c>
      <c r="Q87">
        <v>1</v>
      </c>
      <c r="W87">
        <v>0</v>
      </c>
      <c r="X87">
        <v>911396742</v>
      </c>
      <c r="Y87">
        <f t="shared" si="22"/>
        <v>2</v>
      </c>
      <c r="AA87">
        <v>271.39999999999998</v>
      </c>
      <c r="AB87">
        <v>0</v>
      </c>
      <c r="AC87">
        <v>0</v>
      </c>
      <c r="AD87">
        <v>0</v>
      </c>
      <c r="AE87">
        <v>271.39999999999998</v>
      </c>
      <c r="AF87">
        <v>0</v>
      </c>
      <c r="AG87">
        <v>0</v>
      </c>
      <c r="AH87">
        <v>0</v>
      </c>
      <c r="AI87">
        <v>1</v>
      </c>
      <c r="AJ87">
        <v>1</v>
      </c>
      <c r="AK87">
        <v>1</v>
      </c>
      <c r="AL87">
        <v>1</v>
      </c>
      <c r="AM87">
        <v>-2</v>
      </c>
      <c r="AN87">
        <v>0</v>
      </c>
      <c r="AO87">
        <v>1</v>
      </c>
      <c r="AP87">
        <v>0</v>
      </c>
      <c r="AQ87">
        <v>0</v>
      </c>
      <c r="AR87">
        <v>0</v>
      </c>
      <c r="AS87" t="s">
        <v>3</v>
      </c>
      <c r="AT87">
        <v>2</v>
      </c>
      <c r="AU87" t="s">
        <v>3</v>
      </c>
      <c r="AV87">
        <v>0</v>
      </c>
      <c r="AW87">
        <v>2</v>
      </c>
      <c r="AX87">
        <v>75704125</v>
      </c>
      <c r="AY87">
        <v>1</v>
      </c>
      <c r="AZ87">
        <v>0</v>
      </c>
      <c r="BA87">
        <v>85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V87">
        <v>0</v>
      </c>
      <c r="CW87">
        <v>0</v>
      </c>
      <c r="CX87">
        <f>ROUND(Y87*Source!I198,9)</f>
        <v>2</v>
      </c>
      <c r="CY87">
        <f t="shared" si="29"/>
        <v>271.39999999999998</v>
      </c>
      <c r="CZ87">
        <f t="shared" si="30"/>
        <v>271.39999999999998</v>
      </c>
      <c r="DA87">
        <f t="shared" si="31"/>
        <v>1</v>
      </c>
      <c r="DB87">
        <f t="shared" si="23"/>
        <v>542.79999999999995</v>
      </c>
      <c r="DC87">
        <f t="shared" si="24"/>
        <v>0</v>
      </c>
      <c r="DD87" t="s">
        <v>3</v>
      </c>
      <c r="DE87" t="s">
        <v>3</v>
      </c>
      <c r="DF87">
        <f t="shared" si="25"/>
        <v>542.79999999999995</v>
      </c>
      <c r="DG87">
        <f t="shared" si="26"/>
        <v>0</v>
      </c>
      <c r="DH87">
        <f t="shared" si="27"/>
        <v>0</v>
      </c>
      <c r="DI87">
        <f t="shared" si="28"/>
        <v>0</v>
      </c>
      <c r="DJ87">
        <f t="shared" si="32"/>
        <v>542.79999999999995</v>
      </c>
      <c r="DK87">
        <v>0</v>
      </c>
      <c r="DL87" t="s">
        <v>3</v>
      </c>
      <c r="DM87">
        <v>0</v>
      </c>
      <c r="DN87" t="s">
        <v>3</v>
      </c>
      <c r="DO87">
        <v>0</v>
      </c>
    </row>
    <row r="88" spans="1:119" x14ac:dyDescent="0.2">
      <c r="A88">
        <f>ROW(Source!A198)</f>
        <v>198</v>
      </c>
      <c r="B88">
        <v>75703208</v>
      </c>
      <c r="C88">
        <v>75703777</v>
      </c>
      <c r="D88">
        <v>75396309</v>
      </c>
      <c r="E88">
        <v>1</v>
      </c>
      <c r="F88">
        <v>1</v>
      </c>
      <c r="G88">
        <v>39</v>
      </c>
      <c r="H88">
        <v>3</v>
      </c>
      <c r="I88" t="s">
        <v>392</v>
      </c>
      <c r="J88" t="s">
        <v>393</v>
      </c>
      <c r="K88" t="s">
        <v>394</v>
      </c>
      <c r="L88">
        <v>1354</v>
      </c>
      <c r="N88">
        <v>1010</v>
      </c>
      <c r="O88" t="s">
        <v>196</v>
      </c>
      <c r="P88" t="s">
        <v>196</v>
      </c>
      <c r="Q88">
        <v>1</v>
      </c>
      <c r="W88">
        <v>0</v>
      </c>
      <c r="X88">
        <v>530957503</v>
      </c>
      <c r="Y88">
        <f t="shared" si="22"/>
        <v>1</v>
      </c>
      <c r="AA88">
        <v>603.87</v>
      </c>
      <c r="AB88">
        <v>0</v>
      </c>
      <c r="AC88">
        <v>0</v>
      </c>
      <c r="AD88">
        <v>0</v>
      </c>
      <c r="AE88">
        <v>603.87</v>
      </c>
      <c r="AF88">
        <v>0</v>
      </c>
      <c r="AG88">
        <v>0</v>
      </c>
      <c r="AH88">
        <v>0</v>
      </c>
      <c r="AI88">
        <v>1</v>
      </c>
      <c r="AJ88">
        <v>1</v>
      </c>
      <c r="AK88">
        <v>1</v>
      </c>
      <c r="AL88">
        <v>1</v>
      </c>
      <c r="AM88">
        <v>-2</v>
      </c>
      <c r="AN88">
        <v>0</v>
      </c>
      <c r="AO88">
        <v>1</v>
      </c>
      <c r="AP88">
        <v>0</v>
      </c>
      <c r="AQ88">
        <v>0</v>
      </c>
      <c r="AR88">
        <v>0</v>
      </c>
      <c r="AS88" t="s">
        <v>3</v>
      </c>
      <c r="AT88">
        <v>1</v>
      </c>
      <c r="AU88" t="s">
        <v>3</v>
      </c>
      <c r="AV88">
        <v>0</v>
      </c>
      <c r="AW88">
        <v>2</v>
      </c>
      <c r="AX88">
        <v>75704126</v>
      </c>
      <c r="AY88">
        <v>1</v>
      </c>
      <c r="AZ88">
        <v>0</v>
      </c>
      <c r="BA88">
        <v>86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V88">
        <v>0</v>
      </c>
      <c r="CW88">
        <v>0</v>
      </c>
      <c r="CX88">
        <f>ROUND(Y88*Source!I198,9)</f>
        <v>1</v>
      </c>
      <c r="CY88">
        <f t="shared" si="29"/>
        <v>603.87</v>
      </c>
      <c r="CZ88">
        <f t="shared" si="30"/>
        <v>603.87</v>
      </c>
      <c r="DA88">
        <f t="shared" si="31"/>
        <v>1</v>
      </c>
      <c r="DB88">
        <f t="shared" si="23"/>
        <v>603.87</v>
      </c>
      <c r="DC88">
        <f t="shared" si="24"/>
        <v>0</v>
      </c>
      <c r="DD88" t="s">
        <v>3</v>
      </c>
      <c r="DE88" t="s">
        <v>3</v>
      </c>
      <c r="DF88">
        <f t="shared" si="25"/>
        <v>603.87</v>
      </c>
      <c r="DG88">
        <f t="shared" si="26"/>
        <v>0</v>
      </c>
      <c r="DH88">
        <f t="shared" si="27"/>
        <v>0</v>
      </c>
      <c r="DI88">
        <f t="shared" si="28"/>
        <v>0</v>
      </c>
      <c r="DJ88">
        <f t="shared" si="32"/>
        <v>603.87</v>
      </c>
      <c r="DK88">
        <v>0</v>
      </c>
      <c r="DL88" t="s">
        <v>3</v>
      </c>
      <c r="DM88">
        <v>0</v>
      </c>
      <c r="DN88" t="s">
        <v>3</v>
      </c>
      <c r="DO88">
        <v>0</v>
      </c>
    </row>
    <row r="89" spans="1:119" x14ac:dyDescent="0.2">
      <c r="A89">
        <f>ROW(Source!A198)</f>
        <v>198</v>
      </c>
      <c r="B89">
        <v>75703208</v>
      </c>
      <c r="C89">
        <v>75703777</v>
      </c>
      <c r="D89">
        <v>75396313</v>
      </c>
      <c r="E89">
        <v>1</v>
      </c>
      <c r="F89">
        <v>1</v>
      </c>
      <c r="G89">
        <v>39</v>
      </c>
      <c r="H89">
        <v>3</v>
      </c>
      <c r="I89" t="s">
        <v>194</v>
      </c>
      <c r="J89" t="s">
        <v>197</v>
      </c>
      <c r="K89" t="s">
        <v>195</v>
      </c>
      <c r="L89">
        <v>1354</v>
      </c>
      <c r="N89">
        <v>1010</v>
      </c>
      <c r="O89" t="s">
        <v>196</v>
      </c>
      <c r="P89" t="s">
        <v>196</v>
      </c>
      <c r="Q89">
        <v>1</v>
      </c>
      <c r="W89">
        <v>0</v>
      </c>
      <c r="X89">
        <v>-125063506</v>
      </c>
      <c r="Y89">
        <f t="shared" si="22"/>
        <v>1</v>
      </c>
      <c r="AA89">
        <v>5025.26</v>
      </c>
      <c r="AB89">
        <v>0</v>
      </c>
      <c r="AC89">
        <v>0</v>
      </c>
      <c r="AD89">
        <v>0</v>
      </c>
      <c r="AE89">
        <v>5025.26</v>
      </c>
      <c r="AF89">
        <v>0</v>
      </c>
      <c r="AG89">
        <v>0</v>
      </c>
      <c r="AH89">
        <v>0</v>
      </c>
      <c r="AI89">
        <v>1</v>
      </c>
      <c r="AJ89">
        <v>1</v>
      </c>
      <c r="AK89">
        <v>1</v>
      </c>
      <c r="AL89">
        <v>1</v>
      </c>
      <c r="AM89">
        <v>0</v>
      </c>
      <c r="AN89">
        <v>0</v>
      </c>
      <c r="AO89">
        <v>0</v>
      </c>
      <c r="AP89">
        <v>1</v>
      </c>
      <c r="AQ89">
        <v>0</v>
      </c>
      <c r="AR89">
        <v>0</v>
      </c>
      <c r="AS89" t="s">
        <v>3</v>
      </c>
      <c r="AT89">
        <v>1</v>
      </c>
      <c r="AU89" t="s">
        <v>3</v>
      </c>
      <c r="AV89">
        <v>0</v>
      </c>
      <c r="AW89">
        <v>2</v>
      </c>
      <c r="AX89">
        <v>75704127</v>
      </c>
      <c r="AY89">
        <v>1</v>
      </c>
      <c r="AZ89">
        <v>0</v>
      </c>
      <c r="BA89">
        <v>87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CV89">
        <v>0</v>
      </c>
      <c r="CW89">
        <v>0</v>
      </c>
      <c r="CX89">
        <f>ROUND(Y89*Source!I198,9)</f>
        <v>1</v>
      </c>
      <c r="CY89">
        <f t="shared" si="29"/>
        <v>5025.26</v>
      </c>
      <c r="CZ89">
        <f t="shared" si="30"/>
        <v>5025.26</v>
      </c>
      <c r="DA89">
        <f t="shared" si="31"/>
        <v>1</v>
      </c>
      <c r="DB89">
        <f t="shared" si="23"/>
        <v>5025.26</v>
      </c>
      <c r="DC89">
        <f t="shared" si="24"/>
        <v>0</v>
      </c>
      <c r="DD89" t="s">
        <v>3</v>
      </c>
      <c r="DE89" t="s">
        <v>3</v>
      </c>
      <c r="DF89">
        <f t="shared" si="25"/>
        <v>5025.26</v>
      </c>
      <c r="DG89">
        <f t="shared" si="26"/>
        <v>0</v>
      </c>
      <c r="DH89">
        <f t="shared" si="27"/>
        <v>0</v>
      </c>
      <c r="DI89">
        <f t="shared" si="28"/>
        <v>0</v>
      </c>
      <c r="DJ89">
        <f t="shared" si="32"/>
        <v>5025.26</v>
      </c>
      <c r="DK89">
        <v>0</v>
      </c>
      <c r="DL89" t="s">
        <v>3</v>
      </c>
      <c r="DM89">
        <v>0</v>
      </c>
      <c r="DN89" t="s">
        <v>3</v>
      </c>
      <c r="DO89">
        <v>0</v>
      </c>
    </row>
    <row r="90" spans="1:119" x14ac:dyDescent="0.2">
      <c r="A90">
        <f>ROW(Source!A198)</f>
        <v>198</v>
      </c>
      <c r="B90">
        <v>75703208</v>
      </c>
      <c r="C90">
        <v>75703777</v>
      </c>
      <c r="D90">
        <v>75396313</v>
      </c>
      <c r="E90">
        <v>1</v>
      </c>
      <c r="F90">
        <v>1</v>
      </c>
      <c r="G90">
        <v>39</v>
      </c>
      <c r="H90">
        <v>3</v>
      </c>
      <c r="I90" t="s">
        <v>194</v>
      </c>
      <c r="J90" t="s">
        <v>197</v>
      </c>
      <c r="K90" t="s">
        <v>195</v>
      </c>
      <c r="L90">
        <v>1354</v>
      </c>
      <c r="N90">
        <v>1010</v>
      </c>
      <c r="O90" t="s">
        <v>196</v>
      </c>
      <c r="P90" t="s">
        <v>196</v>
      </c>
      <c r="Q90">
        <v>1</v>
      </c>
      <c r="W90">
        <v>1</v>
      </c>
      <c r="X90">
        <v>-125063506</v>
      </c>
      <c r="Y90">
        <f t="shared" si="22"/>
        <v>-1</v>
      </c>
      <c r="AA90">
        <v>5025.26</v>
      </c>
      <c r="AB90">
        <v>0</v>
      </c>
      <c r="AC90">
        <v>0</v>
      </c>
      <c r="AD90">
        <v>0</v>
      </c>
      <c r="AE90">
        <v>5025.26</v>
      </c>
      <c r="AF90">
        <v>0</v>
      </c>
      <c r="AG90">
        <v>0</v>
      </c>
      <c r="AH90">
        <v>0</v>
      </c>
      <c r="AI90">
        <v>1</v>
      </c>
      <c r="AJ90">
        <v>1</v>
      </c>
      <c r="AK90">
        <v>1</v>
      </c>
      <c r="AL90">
        <v>1</v>
      </c>
      <c r="AM90">
        <v>0</v>
      </c>
      <c r="AN90">
        <v>0</v>
      </c>
      <c r="AO90">
        <v>1</v>
      </c>
      <c r="AP90">
        <v>0</v>
      </c>
      <c r="AQ90">
        <v>0</v>
      </c>
      <c r="AR90">
        <v>0</v>
      </c>
      <c r="AS90" t="s">
        <v>3</v>
      </c>
      <c r="AT90">
        <v>-1</v>
      </c>
      <c r="AU90" t="s">
        <v>3</v>
      </c>
      <c r="AV90">
        <v>0</v>
      </c>
      <c r="AW90">
        <v>1</v>
      </c>
      <c r="AX90">
        <v>-1</v>
      </c>
      <c r="AY90">
        <v>0</v>
      </c>
      <c r="AZ90">
        <v>0</v>
      </c>
      <c r="BA90" t="s">
        <v>3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V90">
        <v>0</v>
      </c>
      <c r="CW90">
        <v>0</v>
      </c>
      <c r="CX90">
        <f>ROUND(Y90*Source!I198,9)</f>
        <v>-1</v>
      </c>
      <c r="CY90">
        <f t="shared" si="29"/>
        <v>5025.26</v>
      </c>
      <c r="CZ90">
        <f t="shared" si="30"/>
        <v>5025.26</v>
      </c>
      <c r="DA90">
        <f t="shared" si="31"/>
        <v>1</v>
      </c>
      <c r="DB90">
        <f t="shared" si="23"/>
        <v>-5025.26</v>
      </c>
      <c r="DC90">
        <f t="shared" si="24"/>
        <v>0</v>
      </c>
      <c r="DD90" t="s">
        <v>3</v>
      </c>
      <c r="DE90" t="s">
        <v>3</v>
      </c>
      <c r="DF90">
        <f t="shared" si="25"/>
        <v>-5025.26</v>
      </c>
      <c r="DG90">
        <f t="shared" si="26"/>
        <v>0</v>
      </c>
      <c r="DH90">
        <f t="shared" si="27"/>
        <v>0</v>
      </c>
      <c r="DI90">
        <f t="shared" si="28"/>
        <v>0</v>
      </c>
      <c r="DJ90">
        <f t="shared" si="32"/>
        <v>-5025.26</v>
      </c>
      <c r="DK90">
        <v>0</v>
      </c>
      <c r="DL90" t="s">
        <v>3</v>
      </c>
      <c r="DM90">
        <v>0</v>
      </c>
      <c r="DN90" t="s">
        <v>3</v>
      </c>
      <c r="DO90">
        <v>0</v>
      </c>
    </row>
    <row r="91" spans="1:119" x14ac:dyDescent="0.2">
      <c r="A91">
        <f>ROW(Source!A198)</f>
        <v>198</v>
      </c>
      <c r="B91">
        <v>75703208</v>
      </c>
      <c r="C91">
        <v>75703777</v>
      </c>
      <c r="D91">
        <v>0</v>
      </c>
      <c r="E91">
        <v>39</v>
      </c>
      <c r="F91">
        <v>1</v>
      </c>
      <c r="G91">
        <v>39</v>
      </c>
      <c r="H91">
        <v>3</v>
      </c>
      <c r="I91" t="s">
        <v>199</v>
      </c>
      <c r="J91" t="s">
        <v>3</v>
      </c>
      <c r="K91" t="s">
        <v>200</v>
      </c>
      <c r="L91">
        <v>1354</v>
      </c>
      <c r="N91">
        <v>1010</v>
      </c>
      <c r="O91" t="s">
        <v>196</v>
      </c>
      <c r="P91" t="s">
        <v>196</v>
      </c>
      <c r="Q91">
        <v>1</v>
      </c>
      <c r="W91">
        <v>0</v>
      </c>
      <c r="X91">
        <v>1407851726</v>
      </c>
      <c r="Y91">
        <f t="shared" si="22"/>
        <v>1</v>
      </c>
      <c r="AA91">
        <v>37.5</v>
      </c>
      <c r="AB91">
        <v>0</v>
      </c>
      <c r="AC91">
        <v>0</v>
      </c>
      <c r="AD91">
        <v>0</v>
      </c>
      <c r="AE91">
        <v>37.5</v>
      </c>
      <c r="AF91">
        <v>0</v>
      </c>
      <c r="AG91">
        <v>0</v>
      </c>
      <c r="AH91">
        <v>0</v>
      </c>
      <c r="AI91">
        <v>1</v>
      </c>
      <c r="AJ91">
        <v>1</v>
      </c>
      <c r="AK91">
        <v>1</v>
      </c>
      <c r="AL91">
        <v>1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 t="s">
        <v>3</v>
      </c>
      <c r="AT91">
        <v>1</v>
      </c>
      <c r="AU91" t="s">
        <v>3</v>
      </c>
      <c r="AV91">
        <v>0</v>
      </c>
      <c r="AW91">
        <v>1</v>
      </c>
      <c r="AX91">
        <v>-1</v>
      </c>
      <c r="AY91">
        <v>0</v>
      </c>
      <c r="AZ91">
        <v>0</v>
      </c>
      <c r="BA91" t="s">
        <v>3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CV91">
        <v>0</v>
      </c>
      <c r="CW91">
        <v>0</v>
      </c>
      <c r="CX91">
        <f>ROUND(Y91*Source!I198,9)</f>
        <v>1</v>
      </c>
      <c r="CY91">
        <f t="shared" si="29"/>
        <v>37.5</v>
      </c>
      <c r="CZ91">
        <f t="shared" si="30"/>
        <v>37.5</v>
      </c>
      <c r="DA91">
        <f t="shared" si="31"/>
        <v>1</v>
      </c>
      <c r="DB91">
        <f t="shared" si="23"/>
        <v>37.5</v>
      </c>
      <c r="DC91">
        <f t="shared" si="24"/>
        <v>0</v>
      </c>
      <c r="DD91" t="s">
        <v>3</v>
      </c>
      <c r="DE91" t="s">
        <v>3</v>
      </c>
      <c r="DF91">
        <f t="shared" si="25"/>
        <v>37.5</v>
      </c>
      <c r="DG91">
        <f t="shared" si="26"/>
        <v>0</v>
      </c>
      <c r="DH91">
        <f t="shared" si="27"/>
        <v>0</v>
      </c>
      <c r="DI91">
        <f t="shared" si="28"/>
        <v>0</v>
      </c>
      <c r="DJ91">
        <f t="shared" si="32"/>
        <v>37.5</v>
      </c>
      <c r="DK91">
        <v>0</v>
      </c>
      <c r="DL91" t="s">
        <v>3</v>
      </c>
      <c r="DM91">
        <v>0</v>
      </c>
      <c r="DN91" t="s">
        <v>3</v>
      </c>
      <c r="DO91">
        <v>0</v>
      </c>
    </row>
    <row r="92" spans="1:119" x14ac:dyDescent="0.2">
      <c r="A92">
        <f>ROW(Source!A203)</f>
        <v>203</v>
      </c>
      <c r="B92">
        <v>75703208</v>
      </c>
      <c r="C92">
        <v>75703810</v>
      </c>
      <c r="D92">
        <v>75386788</v>
      </c>
      <c r="E92">
        <v>39</v>
      </c>
      <c r="F92">
        <v>1</v>
      </c>
      <c r="G92">
        <v>39</v>
      </c>
      <c r="H92">
        <v>1</v>
      </c>
      <c r="I92" t="s">
        <v>276</v>
      </c>
      <c r="J92" t="s">
        <v>3</v>
      </c>
      <c r="K92" t="s">
        <v>277</v>
      </c>
      <c r="L92">
        <v>1191</v>
      </c>
      <c r="N92">
        <v>1013</v>
      </c>
      <c r="O92" t="s">
        <v>278</v>
      </c>
      <c r="P92" t="s">
        <v>278</v>
      </c>
      <c r="Q92">
        <v>1</v>
      </c>
      <c r="W92">
        <v>0</v>
      </c>
      <c r="X92">
        <v>476480486</v>
      </c>
      <c r="Y92">
        <f t="shared" si="22"/>
        <v>77.86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1</v>
      </c>
      <c r="AJ92">
        <v>1</v>
      </c>
      <c r="AK92">
        <v>1</v>
      </c>
      <c r="AL92">
        <v>1</v>
      </c>
      <c r="AM92">
        <v>-2</v>
      </c>
      <c r="AN92">
        <v>0</v>
      </c>
      <c r="AO92">
        <v>1</v>
      </c>
      <c r="AP92">
        <v>0</v>
      </c>
      <c r="AQ92">
        <v>0</v>
      </c>
      <c r="AR92">
        <v>0</v>
      </c>
      <c r="AS92" t="s">
        <v>3</v>
      </c>
      <c r="AT92">
        <v>77.86</v>
      </c>
      <c r="AU92" t="s">
        <v>3</v>
      </c>
      <c r="AV92">
        <v>1</v>
      </c>
      <c r="AW92">
        <v>2</v>
      </c>
      <c r="AX92">
        <v>75704128</v>
      </c>
      <c r="AY92">
        <v>1</v>
      </c>
      <c r="AZ92">
        <v>0</v>
      </c>
      <c r="BA92">
        <v>88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CU92">
        <f>ROUND(AT92*Source!I203*AH92*AL92,2)</f>
        <v>0</v>
      </c>
      <c r="CV92">
        <f>ROUND(Y92*Source!I203,9)</f>
        <v>0.77859999999999996</v>
      </c>
      <c r="CW92">
        <v>0</v>
      </c>
      <c r="CX92">
        <f>ROUND(Y92*Source!I203,9)</f>
        <v>0.77859999999999996</v>
      </c>
      <c r="CY92">
        <f>AD92</f>
        <v>0</v>
      </c>
      <c r="CZ92">
        <f>AH92</f>
        <v>0</v>
      </c>
      <c r="DA92">
        <f>AL92</f>
        <v>1</v>
      </c>
      <c r="DB92">
        <f t="shared" si="23"/>
        <v>0</v>
      </c>
      <c r="DC92">
        <f t="shared" si="24"/>
        <v>0</v>
      </c>
      <c r="DD92" t="s">
        <v>3</v>
      </c>
      <c r="DE92" t="s">
        <v>3</v>
      </c>
      <c r="DF92">
        <f t="shared" si="25"/>
        <v>0</v>
      </c>
      <c r="DG92">
        <f t="shared" si="26"/>
        <v>0</v>
      </c>
      <c r="DH92">
        <f t="shared" si="27"/>
        <v>0</v>
      </c>
      <c r="DI92">
        <f t="shared" si="28"/>
        <v>0</v>
      </c>
      <c r="DJ92">
        <f>DI92</f>
        <v>0</v>
      </c>
      <c r="DK92">
        <v>0</v>
      </c>
      <c r="DL92" t="s">
        <v>3</v>
      </c>
      <c r="DM92">
        <v>0</v>
      </c>
      <c r="DN92" t="s">
        <v>3</v>
      </c>
      <c r="DO92">
        <v>0</v>
      </c>
    </row>
    <row r="93" spans="1:119" x14ac:dyDescent="0.2">
      <c r="A93">
        <f>ROW(Source!A203)</f>
        <v>203</v>
      </c>
      <c r="B93">
        <v>75703208</v>
      </c>
      <c r="C93">
        <v>75703810</v>
      </c>
      <c r="D93">
        <v>75389672</v>
      </c>
      <c r="E93">
        <v>1</v>
      </c>
      <c r="F93">
        <v>1</v>
      </c>
      <c r="G93">
        <v>39</v>
      </c>
      <c r="H93">
        <v>3</v>
      </c>
      <c r="I93" t="s">
        <v>285</v>
      </c>
      <c r="J93" t="s">
        <v>286</v>
      </c>
      <c r="K93" t="s">
        <v>287</v>
      </c>
      <c r="L93">
        <v>1348</v>
      </c>
      <c r="N93">
        <v>1009</v>
      </c>
      <c r="O93" t="s">
        <v>56</v>
      </c>
      <c r="P93" t="s">
        <v>56</v>
      </c>
      <c r="Q93">
        <v>1000</v>
      </c>
      <c r="W93">
        <v>0</v>
      </c>
      <c r="X93">
        <v>-799169102</v>
      </c>
      <c r="Y93">
        <f t="shared" si="22"/>
        <v>1.2E-2</v>
      </c>
      <c r="AA93">
        <v>95976.83</v>
      </c>
      <c r="AB93">
        <v>0</v>
      </c>
      <c r="AC93">
        <v>0</v>
      </c>
      <c r="AD93">
        <v>0</v>
      </c>
      <c r="AE93">
        <v>95976.83</v>
      </c>
      <c r="AF93">
        <v>0</v>
      </c>
      <c r="AG93">
        <v>0</v>
      </c>
      <c r="AH93">
        <v>0</v>
      </c>
      <c r="AI93">
        <v>1</v>
      </c>
      <c r="AJ93">
        <v>1</v>
      </c>
      <c r="AK93">
        <v>1</v>
      </c>
      <c r="AL93">
        <v>1</v>
      </c>
      <c r="AM93">
        <v>-2</v>
      </c>
      <c r="AN93">
        <v>0</v>
      </c>
      <c r="AO93">
        <v>1</v>
      </c>
      <c r="AP93">
        <v>0</v>
      </c>
      <c r="AQ93">
        <v>0</v>
      </c>
      <c r="AR93">
        <v>0</v>
      </c>
      <c r="AS93" t="s">
        <v>3</v>
      </c>
      <c r="AT93">
        <v>1.2E-2</v>
      </c>
      <c r="AU93" t="s">
        <v>3</v>
      </c>
      <c r="AV93">
        <v>0</v>
      </c>
      <c r="AW93">
        <v>2</v>
      </c>
      <c r="AX93">
        <v>75704129</v>
      </c>
      <c r="AY93">
        <v>1</v>
      </c>
      <c r="AZ93">
        <v>0</v>
      </c>
      <c r="BA93">
        <v>89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CV93">
        <v>0</v>
      </c>
      <c r="CW93">
        <v>0</v>
      </c>
      <c r="CX93">
        <f>ROUND(Y93*Source!I203,9)</f>
        <v>1.2E-4</v>
      </c>
      <c r="CY93">
        <f>AA93</f>
        <v>95976.83</v>
      </c>
      <c r="CZ93">
        <f>AE93</f>
        <v>95976.83</v>
      </c>
      <c r="DA93">
        <f>AI93</f>
        <v>1</v>
      </c>
      <c r="DB93">
        <f t="shared" si="23"/>
        <v>1151.72</v>
      </c>
      <c r="DC93">
        <f t="shared" si="24"/>
        <v>0</v>
      </c>
      <c r="DD93" t="s">
        <v>3</v>
      </c>
      <c r="DE93" t="s">
        <v>3</v>
      </c>
      <c r="DF93">
        <f t="shared" si="25"/>
        <v>11.52</v>
      </c>
      <c r="DG93">
        <f t="shared" si="26"/>
        <v>0</v>
      </c>
      <c r="DH93">
        <f t="shared" si="27"/>
        <v>0</v>
      </c>
      <c r="DI93">
        <f t="shared" si="28"/>
        <v>0</v>
      </c>
      <c r="DJ93">
        <f>DF93</f>
        <v>11.52</v>
      </c>
      <c r="DK93">
        <v>0</v>
      </c>
      <c r="DL93" t="s">
        <v>3</v>
      </c>
      <c r="DM93">
        <v>0</v>
      </c>
      <c r="DN93" t="s">
        <v>3</v>
      </c>
      <c r="DO93">
        <v>0</v>
      </c>
    </row>
    <row r="94" spans="1:119" x14ac:dyDescent="0.2">
      <c r="A94">
        <f>ROW(Source!A203)</f>
        <v>203</v>
      </c>
      <c r="B94">
        <v>75703208</v>
      </c>
      <c r="C94">
        <v>75703810</v>
      </c>
      <c r="D94">
        <v>75389710</v>
      </c>
      <c r="E94">
        <v>1</v>
      </c>
      <c r="F94">
        <v>1</v>
      </c>
      <c r="G94">
        <v>39</v>
      </c>
      <c r="H94">
        <v>3</v>
      </c>
      <c r="I94" t="s">
        <v>365</v>
      </c>
      <c r="J94" t="s">
        <v>366</v>
      </c>
      <c r="K94" t="s">
        <v>367</v>
      </c>
      <c r="L94">
        <v>1348</v>
      </c>
      <c r="N94">
        <v>1009</v>
      </c>
      <c r="O94" t="s">
        <v>56</v>
      </c>
      <c r="P94" t="s">
        <v>56</v>
      </c>
      <c r="Q94">
        <v>1000</v>
      </c>
      <c r="W94">
        <v>0</v>
      </c>
      <c r="X94">
        <v>-1980536396</v>
      </c>
      <c r="Y94">
        <f t="shared" si="22"/>
        <v>3.5000000000000003E-2</v>
      </c>
      <c r="AA94">
        <v>87313.75</v>
      </c>
      <c r="AB94">
        <v>0</v>
      </c>
      <c r="AC94">
        <v>0</v>
      </c>
      <c r="AD94">
        <v>0</v>
      </c>
      <c r="AE94">
        <v>87313.75</v>
      </c>
      <c r="AF94">
        <v>0</v>
      </c>
      <c r="AG94">
        <v>0</v>
      </c>
      <c r="AH94">
        <v>0</v>
      </c>
      <c r="AI94">
        <v>1</v>
      </c>
      <c r="AJ94">
        <v>1</v>
      </c>
      <c r="AK94">
        <v>1</v>
      </c>
      <c r="AL94">
        <v>1</v>
      </c>
      <c r="AM94">
        <v>-2</v>
      </c>
      <c r="AN94">
        <v>0</v>
      </c>
      <c r="AO94">
        <v>1</v>
      </c>
      <c r="AP94">
        <v>0</v>
      </c>
      <c r="AQ94">
        <v>0</v>
      </c>
      <c r="AR94">
        <v>0</v>
      </c>
      <c r="AS94" t="s">
        <v>3</v>
      </c>
      <c r="AT94">
        <v>3.5000000000000003E-2</v>
      </c>
      <c r="AU94" t="s">
        <v>3</v>
      </c>
      <c r="AV94">
        <v>0</v>
      </c>
      <c r="AW94">
        <v>2</v>
      </c>
      <c r="AX94">
        <v>75704130</v>
      </c>
      <c r="AY94">
        <v>1</v>
      </c>
      <c r="AZ94">
        <v>0</v>
      </c>
      <c r="BA94">
        <v>90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CV94">
        <v>0</v>
      </c>
      <c r="CW94">
        <v>0</v>
      </c>
      <c r="CX94">
        <f>ROUND(Y94*Source!I203,9)</f>
        <v>3.5E-4</v>
      </c>
      <c r="CY94">
        <f>AA94</f>
        <v>87313.75</v>
      </c>
      <c r="CZ94">
        <f>AE94</f>
        <v>87313.75</v>
      </c>
      <c r="DA94">
        <f>AI94</f>
        <v>1</v>
      </c>
      <c r="DB94">
        <f t="shared" si="23"/>
        <v>3055.98</v>
      </c>
      <c r="DC94">
        <f t="shared" si="24"/>
        <v>0</v>
      </c>
      <c r="DD94" t="s">
        <v>3</v>
      </c>
      <c r="DE94" t="s">
        <v>3</v>
      </c>
      <c r="DF94">
        <f t="shared" si="25"/>
        <v>30.56</v>
      </c>
      <c r="DG94">
        <f t="shared" si="26"/>
        <v>0</v>
      </c>
      <c r="DH94">
        <f t="shared" si="27"/>
        <v>0</v>
      </c>
      <c r="DI94">
        <f t="shared" si="28"/>
        <v>0</v>
      </c>
      <c r="DJ94">
        <f>DF94</f>
        <v>30.56</v>
      </c>
      <c r="DK94">
        <v>0</v>
      </c>
      <c r="DL94" t="s">
        <v>3</v>
      </c>
      <c r="DM94">
        <v>0</v>
      </c>
      <c r="DN94" t="s">
        <v>3</v>
      </c>
      <c r="DO94">
        <v>0</v>
      </c>
    </row>
    <row r="95" spans="1:119" x14ac:dyDescent="0.2">
      <c r="A95">
        <f>ROW(Source!A203)</f>
        <v>203</v>
      </c>
      <c r="B95">
        <v>75703208</v>
      </c>
      <c r="C95">
        <v>75703810</v>
      </c>
      <c r="D95">
        <v>75393920</v>
      </c>
      <c r="E95">
        <v>1</v>
      </c>
      <c r="F95">
        <v>1</v>
      </c>
      <c r="G95">
        <v>39</v>
      </c>
      <c r="H95">
        <v>3</v>
      </c>
      <c r="I95" t="s">
        <v>368</v>
      </c>
      <c r="J95" t="s">
        <v>369</v>
      </c>
      <c r="K95" t="s">
        <v>370</v>
      </c>
      <c r="L95">
        <v>1301</v>
      </c>
      <c r="N95">
        <v>1003</v>
      </c>
      <c r="O95" t="s">
        <v>36</v>
      </c>
      <c r="P95" t="s">
        <v>36</v>
      </c>
      <c r="Q95">
        <v>1</v>
      </c>
      <c r="W95">
        <v>0</v>
      </c>
      <c r="X95">
        <v>-1908336614</v>
      </c>
      <c r="Y95">
        <f t="shared" ref="Y95:Y114" si="33">AT95</f>
        <v>400</v>
      </c>
      <c r="AA95">
        <v>27.14</v>
      </c>
      <c r="AB95">
        <v>0</v>
      </c>
      <c r="AC95">
        <v>0</v>
      </c>
      <c r="AD95">
        <v>0</v>
      </c>
      <c r="AE95">
        <v>27.14</v>
      </c>
      <c r="AF95">
        <v>0</v>
      </c>
      <c r="AG95">
        <v>0</v>
      </c>
      <c r="AH95">
        <v>0</v>
      </c>
      <c r="AI95">
        <v>1</v>
      </c>
      <c r="AJ95">
        <v>1</v>
      </c>
      <c r="AK95">
        <v>1</v>
      </c>
      <c r="AL95">
        <v>1</v>
      </c>
      <c r="AM95">
        <v>-2</v>
      </c>
      <c r="AN95">
        <v>0</v>
      </c>
      <c r="AO95">
        <v>1</v>
      </c>
      <c r="AP95">
        <v>0</v>
      </c>
      <c r="AQ95">
        <v>0</v>
      </c>
      <c r="AR95">
        <v>0</v>
      </c>
      <c r="AS95" t="s">
        <v>3</v>
      </c>
      <c r="AT95">
        <v>400</v>
      </c>
      <c r="AU95" t="s">
        <v>3</v>
      </c>
      <c r="AV95">
        <v>0</v>
      </c>
      <c r="AW95">
        <v>2</v>
      </c>
      <c r="AX95">
        <v>75704131</v>
      </c>
      <c r="AY95">
        <v>1</v>
      </c>
      <c r="AZ95">
        <v>0</v>
      </c>
      <c r="BA95">
        <v>91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CV95">
        <v>0</v>
      </c>
      <c r="CW95">
        <v>0</v>
      </c>
      <c r="CX95">
        <f>ROUND(Y95*Source!I203,9)</f>
        <v>4</v>
      </c>
      <c r="CY95">
        <f>AA95</f>
        <v>27.14</v>
      </c>
      <c r="CZ95">
        <f>AE95</f>
        <v>27.14</v>
      </c>
      <c r="DA95">
        <f>AI95</f>
        <v>1</v>
      </c>
      <c r="DB95">
        <f t="shared" ref="DB95:DB114" si="34">ROUND(ROUND(AT95*CZ95,2),6)</f>
        <v>10856</v>
      </c>
      <c r="DC95">
        <f t="shared" ref="DC95:DC114" si="35">ROUND(ROUND(AT95*AG95,2),6)</f>
        <v>0</v>
      </c>
      <c r="DD95" t="s">
        <v>3</v>
      </c>
      <c r="DE95" t="s">
        <v>3</v>
      </c>
      <c r="DF95">
        <f t="shared" si="25"/>
        <v>108.56</v>
      </c>
      <c r="DG95">
        <f t="shared" si="26"/>
        <v>0</v>
      </c>
      <c r="DH95">
        <f t="shared" si="27"/>
        <v>0</v>
      </c>
      <c r="DI95">
        <f t="shared" si="28"/>
        <v>0</v>
      </c>
      <c r="DJ95">
        <f>DF95</f>
        <v>108.56</v>
      </c>
      <c r="DK95">
        <v>0</v>
      </c>
      <c r="DL95" t="s">
        <v>3</v>
      </c>
      <c r="DM95">
        <v>0</v>
      </c>
      <c r="DN95" t="s">
        <v>3</v>
      </c>
      <c r="DO95">
        <v>0</v>
      </c>
    </row>
    <row r="96" spans="1:119" x14ac:dyDescent="0.2">
      <c r="A96">
        <f>ROW(Source!A203)</f>
        <v>203</v>
      </c>
      <c r="B96">
        <v>75703208</v>
      </c>
      <c r="C96">
        <v>75703810</v>
      </c>
      <c r="D96">
        <v>0</v>
      </c>
      <c r="E96">
        <v>39</v>
      </c>
      <c r="F96">
        <v>1</v>
      </c>
      <c r="G96">
        <v>39</v>
      </c>
      <c r="H96">
        <v>3</v>
      </c>
      <c r="I96" t="s">
        <v>199</v>
      </c>
      <c r="J96" t="s">
        <v>3</v>
      </c>
      <c r="K96" t="s">
        <v>210</v>
      </c>
      <c r="L96">
        <v>1354</v>
      </c>
      <c r="N96">
        <v>1010</v>
      </c>
      <c r="O96" t="s">
        <v>196</v>
      </c>
      <c r="P96" t="s">
        <v>196</v>
      </c>
      <c r="Q96">
        <v>1</v>
      </c>
      <c r="W96">
        <v>0</v>
      </c>
      <c r="X96">
        <v>-541391768</v>
      </c>
      <c r="Y96">
        <f t="shared" si="33"/>
        <v>1</v>
      </c>
      <c r="AA96">
        <v>10050.83</v>
      </c>
      <c r="AB96">
        <v>0</v>
      </c>
      <c r="AC96">
        <v>0</v>
      </c>
      <c r="AD96">
        <v>0</v>
      </c>
      <c r="AE96">
        <v>10050.83</v>
      </c>
      <c r="AF96">
        <v>0</v>
      </c>
      <c r="AG96">
        <v>0</v>
      </c>
      <c r="AH96">
        <v>0</v>
      </c>
      <c r="AI96">
        <v>1</v>
      </c>
      <c r="AJ96">
        <v>1</v>
      </c>
      <c r="AK96">
        <v>1</v>
      </c>
      <c r="AL96">
        <v>1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 t="s">
        <v>3</v>
      </c>
      <c r="AT96">
        <v>1</v>
      </c>
      <c r="AU96" t="s">
        <v>3</v>
      </c>
      <c r="AV96">
        <v>0</v>
      </c>
      <c r="AW96">
        <v>1</v>
      </c>
      <c r="AX96">
        <v>-1</v>
      </c>
      <c r="AY96">
        <v>0</v>
      </c>
      <c r="AZ96">
        <v>0</v>
      </c>
      <c r="BA96" t="s">
        <v>3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CV96">
        <v>0</v>
      </c>
      <c r="CW96">
        <v>0</v>
      </c>
      <c r="CX96">
        <f>ROUND(Y96*Source!I203,9)</f>
        <v>0.01</v>
      </c>
      <c r="CY96">
        <f>AA96</f>
        <v>10050.83</v>
      </c>
      <c r="CZ96">
        <f>AE96</f>
        <v>10050.83</v>
      </c>
      <c r="DA96">
        <f>AI96</f>
        <v>1</v>
      </c>
      <c r="DB96">
        <f t="shared" si="34"/>
        <v>10050.83</v>
      </c>
      <c r="DC96">
        <f t="shared" si="35"/>
        <v>0</v>
      </c>
      <c r="DD96" t="s">
        <v>3</v>
      </c>
      <c r="DE96" t="s">
        <v>3</v>
      </c>
      <c r="DF96">
        <f t="shared" si="25"/>
        <v>100.51</v>
      </c>
      <c r="DG96">
        <f t="shared" si="26"/>
        <v>0</v>
      </c>
      <c r="DH96">
        <f t="shared" si="27"/>
        <v>0</v>
      </c>
      <c r="DI96">
        <f t="shared" si="28"/>
        <v>0</v>
      </c>
      <c r="DJ96">
        <f>DF96</f>
        <v>100.51</v>
      </c>
      <c r="DK96">
        <v>0</v>
      </c>
      <c r="DL96" t="s">
        <v>3</v>
      </c>
      <c r="DM96">
        <v>0</v>
      </c>
      <c r="DN96" t="s">
        <v>3</v>
      </c>
      <c r="DO96">
        <v>0</v>
      </c>
    </row>
    <row r="97" spans="1:119" x14ac:dyDescent="0.2">
      <c r="A97">
        <f>ROW(Source!A205)</f>
        <v>205</v>
      </c>
      <c r="B97">
        <v>75703208</v>
      </c>
      <c r="C97">
        <v>75703821</v>
      </c>
      <c r="D97">
        <v>75386788</v>
      </c>
      <c r="E97">
        <v>39</v>
      </c>
      <c r="F97">
        <v>1</v>
      </c>
      <c r="G97">
        <v>39</v>
      </c>
      <c r="H97">
        <v>1</v>
      </c>
      <c r="I97" t="s">
        <v>276</v>
      </c>
      <c r="J97" t="s">
        <v>3</v>
      </c>
      <c r="K97" t="s">
        <v>277</v>
      </c>
      <c r="L97">
        <v>1191</v>
      </c>
      <c r="N97">
        <v>1013</v>
      </c>
      <c r="O97" t="s">
        <v>278</v>
      </c>
      <c r="P97" t="s">
        <v>278</v>
      </c>
      <c r="Q97">
        <v>1</v>
      </c>
      <c r="W97">
        <v>0</v>
      </c>
      <c r="X97">
        <v>476480486</v>
      </c>
      <c r="Y97">
        <f t="shared" si="33"/>
        <v>38.76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1</v>
      </c>
      <c r="AJ97">
        <v>1</v>
      </c>
      <c r="AK97">
        <v>1</v>
      </c>
      <c r="AL97">
        <v>1</v>
      </c>
      <c r="AM97">
        <v>-2</v>
      </c>
      <c r="AN97">
        <v>0</v>
      </c>
      <c r="AO97">
        <v>1</v>
      </c>
      <c r="AP97">
        <v>0</v>
      </c>
      <c r="AQ97">
        <v>0</v>
      </c>
      <c r="AR97">
        <v>0</v>
      </c>
      <c r="AS97" t="s">
        <v>3</v>
      </c>
      <c r="AT97">
        <v>38.76</v>
      </c>
      <c r="AU97" t="s">
        <v>3</v>
      </c>
      <c r="AV97">
        <v>1</v>
      </c>
      <c r="AW97">
        <v>2</v>
      </c>
      <c r="AX97">
        <v>75704132</v>
      </c>
      <c r="AY97">
        <v>1</v>
      </c>
      <c r="AZ97">
        <v>0</v>
      </c>
      <c r="BA97">
        <v>92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CU97">
        <f>ROUND(AT97*Source!I205*AH97*AL97,2)</f>
        <v>0</v>
      </c>
      <c r="CV97">
        <f>ROUND(Y97*Source!I205,9)</f>
        <v>0.3876</v>
      </c>
      <c r="CW97">
        <v>0</v>
      </c>
      <c r="CX97">
        <f>ROUND(Y97*Source!I205,9)</f>
        <v>0.3876</v>
      </c>
      <c r="CY97">
        <f>AD97</f>
        <v>0</v>
      </c>
      <c r="CZ97">
        <f>AH97</f>
        <v>0</v>
      </c>
      <c r="DA97">
        <f>AL97</f>
        <v>1</v>
      </c>
      <c r="DB97">
        <f t="shared" si="34"/>
        <v>0</v>
      </c>
      <c r="DC97">
        <f t="shared" si="35"/>
        <v>0</v>
      </c>
      <c r="DD97" t="s">
        <v>3</v>
      </c>
      <c r="DE97" t="s">
        <v>3</v>
      </c>
      <c r="DF97">
        <f t="shared" ref="DF97:DF116" si="36">ROUND(ROUND(AE97,2)*CX97,2)</f>
        <v>0</v>
      </c>
      <c r="DG97">
        <f t="shared" ref="DG97:DG116" si="37">ROUND(ROUND(AF97,2)*CX97,2)</f>
        <v>0</v>
      </c>
      <c r="DH97">
        <f t="shared" ref="DH97:DH116" si="38">ROUND(ROUND(AG97,2)*CX97,2)</f>
        <v>0</v>
      </c>
      <c r="DI97">
        <f t="shared" ref="DI97:DI116" si="39">ROUND(ROUND(AH97,2)*CX97,2)</f>
        <v>0</v>
      </c>
      <c r="DJ97">
        <f>DI97</f>
        <v>0</v>
      </c>
      <c r="DK97">
        <v>0</v>
      </c>
      <c r="DL97" t="s">
        <v>3</v>
      </c>
      <c r="DM97">
        <v>0</v>
      </c>
      <c r="DN97" t="s">
        <v>3</v>
      </c>
      <c r="DO97">
        <v>0</v>
      </c>
    </row>
    <row r="98" spans="1:119" x14ac:dyDescent="0.2">
      <c r="A98">
        <f>ROW(Source!A205)</f>
        <v>205</v>
      </c>
      <c r="B98">
        <v>75703208</v>
      </c>
      <c r="C98">
        <v>75703821</v>
      </c>
      <c r="D98">
        <v>75394576</v>
      </c>
      <c r="E98">
        <v>1</v>
      </c>
      <c r="F98">
        <v>1</v>
      </c>
      <c r="G98">
        <v>39</v>
      </c>
      <c r="H98">
        <v>3</v>
      </c>
      <c r="I98" t="s">
        <v>395</v>
      </c>
      <c r="J98" t="s">
        <v>396</v>
      </c>
      <c r="K98" t="s">
        <v>397</v>
      </c>
      <c r="L98">
        <v>1035</v>
      </c>
      <c r="N98">
        <v>1013</v>
      </c>
      <c r="O98" t="s">
        <v>191</v>
      </c>
      <c r="P98" t="s">
        <v>191</v>
      </c>
      <c r="Q98">
        <v>1</v>
      </c>
      <c r="W98">
        <v>0</v>
      </c>
      <c r="X98">
        <v>1711651658</v>
      </c>
      <c r="Y98">
        <f t="shared" si="33"/>
        <v>200</v>
      </c>
      <c r="AA98">
        <v>132.30000000000001</v>
      </c>
      <c r="AB98">
        <v>0</v>
      </c>
      <c r="AC98">
        <v>0</v>
      </c>
      <c r="AD98">
        <v>0</v>
      </c>
      <c r="AE98">
        <v>132.30000000000001</v>
      </c>
      <c r="AF98">
        <v>0</v>
      </c>
      <c r="AG98">
        <v>0</v>
      </c>
      <c r="AH98">
        <v>0</v>
      </c>
      <c r="AI98">
        <v>1</v>
      </c>
      <c r="AJ98">
        <v>1</v>
      </c>
      <c r="AK98">
        <v>1</v>
      </c>
      <c r="AL98">
        <v>1</v>
      </c>
      <c r="AM98">
        <v>-2</v>
      </c>
      <c r="AN98">
        <v>0</v>
      </c>
      <c r="AO98">
        <v>1</v>
      </c>
      <c r="AP98">
        <v>0</v>
      </c>
      <c r="AQ98">
        <v>0</v>
      </c>
      <c r="AR98">
        <v>0</v>
      </c>
      <c r="AS98" t="s">
        <v>3</v>
      </c>
      <c r="AT98">
        <v>200</v>
      </c>
      <c r="AU98" t="s">
        <v>3</v>
      </c>
      <c r="AV98">
        <v>0</v>
      </c>
      <c r="AW98">
        <v>2</v>
      </c>
      <c r="AX98">
        <v>75704133</v>
      </c>
      <c r="AY98">
        <v>1</v>
      </c>
      <c r="AZ98">
        <v>0</v>
      </c>
      <c r="BA98">
        <v>93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CV98">
        <v>0</v>
      </c>
      <c r="CW98">
        <v>0</v>
      </c>
      <c r="CX98">
        <f>ROUND(Y98*Source!I205,9)</f>
        <v>2</v>
      </c>
      <c r="CY98">
        <f>AA98</f>
        <v>132.30000000000001</v>
      </c>
      <c r="CZ98">
        <f>AE98</f>
        <v>132.30000000000001</v>
      </c>
      <c r="DA98">
        <f>AI98</f>
        <v>1</v>
      </c>
      <c r="DB98">
        <f t="shared" si="34"/>
        <v>26460</v>
      </c>
      <c r="DC98">
        <f t="shared" si="35"/>
        <v>0</v>
      </c>
      <c r="DD98" t="s">
        <v>3</v>
      </c>
      <c r="DE98" t="s">
        <v>3</v>
      </c>
      <c r="DF98">
        <f t="shared" si="36"/>
        <v>264.60000000000002</v>
      </c>
      <c r="DG98">
        <f t="shared" si="37"/>
        <v>0</v>
      </c>
      <c r="DH98">
        <f t="shared" si="38"/>
        <v>0</v>
      </c>
      <c r="DI98">
        <f t="shared" si="39"/>
        <v>0</v>
      </c>
      <c r="DJ98">
        <f>DF98</f>
        <v>264.60000000000002</v>
      </c>
      <c r="DK98">
        <v>0</v>
      </c>
      <c r="DL98" t="s">
        <v>3</v>
      </c>
      <c r="DM98">
        <v>0</v>
      </c>
      <c r="DN98" t="s">
        <v>3</v>
      </c>
      <c r="DO98">
        <v>0</v>
      </c>
    </row>
    <row r="99" spans="1:119" x14ac:dyDescent="0.2">
      <c r="A99">
        <f>ROW(Source!A206)</f>
        <v>206</v>
      </c>
      <c r="B99">
        <v>75703208</v>
      </c>
      <c r="C99">
        <v>75703826</v>
      </c>
      <c r="D99">
        <v>75386788</v>
      </c>
      <c r="E99">
        <v>39</v>
      </c>
      <c r="F99">
        <v>1</v>
      </c>
      <c r="G99">
        <v>39</v>
      </c>
      <c r="H99">
        <v>1</v>
      </c>
      <c r="I99" t="s">
        <v>276</v>
      </c>
      <c r="J99" t="s">
        <v>3</v>
      </c>
      <c r="K99" t="s">
        <v>277</v>
      </c>
      <c r="L99">
        <v>1191</v>
      </c>
      <c r="N99">
        <v>1013</v>
      </c>
      <c r="O99" t="s">
        <v>278</v>
      </c>
      <c r="P99" t="s">
        <v>278</v>
      </c>
      <c r="Q99">
        <v>1</v>
      </c>
      <c r="W99">
        <v>0</v>
      </c>
      <c r="X99">
        <v>476480486</v>
      </c>
      <c r="Y99">
        <f t="shared" si="33"/>
        <v>1.21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1</v>
      </c>
      <c r="AJ99">
        <v>1</v>
      </c>
      <c r="AK99">
        <v>1</v>
      </c>
      <c r="AL99">
        <v>1</v>
      </c>
      <c r="AM99">
        <v>-2</v>
      </c>
      <c r="AN99">
        <v>0</v>
      </c>
      <c r="AO99">
        <v>1</v>
      </c>
      <c r="AP99">
        <v>0</v>
      </c>
      <c r="AQ99">
        <v>0</v>
      </c>
      <c r="AR99">
        <v>0</v>
      </c>
      <c r="AS99" t="s">
        <v>3</v>
      </c>
      <c r="AT99">
        <v>1.21</v>
      </c>
      <c r="AU99" t="s">
        <v>3</v>
      </c>
      <c r="AV99">
        <v>1</v>
      </c>
      <c r="AW99">
        <v>2</v>
      </c>
      <c r="AX99">
        <v>75704134</v>
      </c>
      <c r="AY99">
        <v>1</v>
      </c>
      <c r="AZ99">
        <v>0</v>
      </c>
      <c r="BA99">
        <v>94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CU99">
        <f>ROUND(AT99*Source!I206*AH99*AL99,2)</f>
        <v>0</v>
      </c>
      <c r="CV99">
        <f>ROUND(Y99*Source!I206,9)</f>
        <v>0.24199999999999999</v>
      </c>
      <c r="CW99">
        <v>0</v>
      </c>
      <c r="CX99">
        <f>ROUND(Y99*Source!I206,9)</f>
        <v>0.24199999999999999</v>
      </c>
      <c r="CY99">
        <f>AD99</f>
        <v>0</v>
      </c>
      <c r="CZ99">
        <f>AH99</f>
        <v>0</v>
      </c>
      <c r="DA99">
        <f>AL99</f>
        <v>1</v>
      </c>
      <c r="DB99">
        <f t="shared" si="34"/>
        <v>0</v>
      </c>
      <c r="DC99">
        <f t="shared" si="35"/>
        <v>0</v>
      </c>
      <c r="DD99" t="s">
        <v>3</v>
      </c>
      <c r="DE99" t="s">
        <v>3</v>
      </c>
      <c r="DF99">
        <f t="shared" si="36"/>
        <v>0</v>
      </c>
      <c r="DG99">
        <f t="shared" si="37"/>
        <v>0</v>
      </c>
      <c r="DH99">
        <f t="shared" si="38"/>
        <v>0</v>
      </c>
      <c r="DI99">
        <f t="shared" si="39"/>
        <v>0</v>
      </c>
      <c r="DJ99">
        <f>DI99</f>
        <v>0</v>
      </c>
      <c r="DK99">
        <v>0</v>
      </c>
      <c r="DL99" t="s">
        <v>3</v>
      </c>
      <c r="DM99">
        <v>0</v>
      </c>
      <c r="DN99" t="s">
        <v>3</v>
      </c>
      <c r="DO99">
        <v>0</v>
      </c>
    </row>
    <row r="100" spans="1:119" x14ac:dyDescent="0.2">
      <c r="A100">
        <f>ROW(Source!A207)</f>
        <v>207</v>
      </c>
      <c r="B100">
        <v>75703208</v>
      </c>
      <c r="C100">
        <v>75703829</v>
      </c>
      <c r="D100">
        <v>75386788</v>
      </c>
      <c r="E100">
        <v>39</v>
      </c>
      <c r="F100">
        <v>1</v>
      </c>
      <c r="G100">
        <v>39</v>
      </c>
      <c r="H100">
        <v>1</v>
      </c>
      <c r="I100" t="s">
        <v>276</v>
      </c>
      <c r="J100" t="s">
        <v>3</v>
      </c>
      <c r="K100" t="s">
        <v>277</v>
      </c>
      <c r="L100">
        <v>1191</v>
      </c>
      <c r="N100">
        <v>1013</v>
      </c>
      <c r="O100" t="s">
        <v>278</v>
      </c>
      <c r="P100" t="s">
        <v>278</v>
      </c>
      <c r="Q100">
        <v>1</v>
      </c>
      <c r="W100">
        <v>0</v>
      </c>
      <c r="X100">
        <v>476480486</v>
      </c>
      <c r="Y100">
        <f t="shared" si="33"/>
        <v>1.72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1</v>
      </c>
      <c r="AJ100">
        <v>1</v>
      </c>
      <c r="AK100">
        <v>1</v>
      </c>
      <c r="AL100">
        <v>1</v>
      </c>
      <c r="AM100">
        <v>-2</v>
      </c>
      <c r="AN100">
        <v>0</v>
      </c>
      <c r="AO100">
        <v>1</v>
      </c>
      <c r="AP100">
        <v>0</v>
      </c>
      <c r="AQ100">
        <v>0</v>
      </c>
      <c r="AR100">
        <v>0</v>
      </c>
      <c r="AS100" t="s">
        <v>3</v>
      </c>
      <c r="AT100">
        <v>1.72</v>
      </c>
      <c r="AU100" t="s">
        <v>3</v>
      </c>
      <c r="AV100">
        <v>1</v>
      </c>
      <c r="AW100">
        <v>2</v>
      </c>
      <c r="AX100">
        <v>75704135</v>
      </c>
      <c r="AY100">
        <v>1</v>
      </c>
      <c r="AZ100">
        <v>0</v>
      </c>
      <c r="BA100">
        <v>95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CU100">
        <f>ROUND(AT100*Source!I207*AH100*AL100,2)</f>
        <v>0</v>
      </c>
      <c r="CV100">
        <f>ROUND(Y100*Source!I207,9)</f>
        <v>0.34399999999999997</v>
      </c>
      <c r="CW100">
        <v>0</v>
      </c>
      <c r="CX100">
        <f>ROUND(Y100*Source!I207,9)</f>
        <v>0.34399999999999997</v>
      </c>
      <c r="CY100">
        <f>AD100</f>
        <v>0</v>
      </c>
      <c r="CZ100">
        <f>AH100</f>
        <v>0</v>
      </c>
      <c r="DA100">
        <f>AL100</f>
        <v>1</v>
      </c>
      <c r="DB100">
        <f t="shared" si="34"/>
        <v>0</v>
      </c>
      <c r="DC100">
        <f t="shared" si="35"/>
        <v>0</v>
      </c>
      <c r="DD100" t="s">
        <v>3</v>
      </c>
      <c r="DE100" t="s">
        <v>3</v>
      </c>
      <c r="DF100">
        <f t="shared" si="36"/>
        <v>0</v>
      </c>
      <c r="DG100">
        <f t="shared" si="37"/>
        <v>0</v>
      </c>
      <c r="DH100">
        <f t="shared" si="38"/>
        <v>0</v>
      </c>
      <c r="DI100">
        <f t="shared" si="39"/>
        <v>0</v>
      </c>
      <c r="DJ100">
        <f>DI100</f>
        <v>0</v>
      </c>
      <c r="DK100">
        <v>0</v>
      </c>
      <c r="DL100" t="s">
        <v>3</v>
      </c>
      <c r="DM100">
        <v>0</v>
      </c>
      <c r="DN100" t="s">
        <v>3</v>
      </c>
      <c r="DO100">
        <v>0</v>
      </c>
    </row>
    <row r="101" spans="1:119" x14ac:dyDescent="0.2">
      <c r="A101">
        <f>ROW(Source!A207)</f>
        <v>207</v>
      </c>
      <c r="B101">
        <v>75703208</v>
      </c>
      <c r="C101">
        <v>75703829</v>
      </c>
      <c r="D101">
        <v>75390591</v>
      </c>
      <c r="E101">
        <v>1</v>
      </c>
      <c r="F101">
        <v>1</v>
      </c>
      <c r="G101">
        <v>39</v>
      </c>
      <c r="H101">
        <v>3</v>
      </c>
      <c r="I101" t="s">
        <v>377</v>
      </c>
      <c r="J101" t="s">
        <v>378</v>
      </c>
      <c r="K101" t="s">
        <v>379</v>
      </c>
      <c r="L101">
        <v>1346</v>
      </c>
      <c r="N101">
        <v>1009</v>
      </c>
      <c r="O101" t="s">
        <v>51</v>
      </c>
      <c r="P101" t="s">
        <v>51</v>
      </c>
      <c r="Q101">
        <v>1</v>
      </c>
      <c r="W101">
        <v>0</v>
      </c>
      <c r="X101">
        <v>-901272518</v>
      </c>
      <c r="Y101">
        <f t="shared" si="33"/>
        <v>6.3E-2</v>
      </c>
      <c r="AA101">
        <v>656.56</v>
      </c>
      <c r="AB101">
        <v>0</v>
      </c>
      <c r="AC101">
        <v>0</v>
      </c>
      <c r="AD101">
        <v>0</v>
      </c>
      <c r="AE101">
        <v>656.56</v>
      </c>
      <c r="AF101">
        <v>0</v>
      </c>
      <c r="AG101">
        <v>0</v>
      </c>
      <c r="AH101">
        <v>0</v>
      </c>
      <c r="AI101">
        <v>1</v>
      </c>
      <c r="AJ101">
        <v>1</v>
      </c>
      <c r="AK101">
        <v>1</v>
      </c>
      <c r="AL101">
        <v>1</v>
      </c>
      <c r="AM101">
        <v>-2</v>
      </c>
      <c r="AN101">
        <v>0</v>
      </c>
      <c r="AO101">
        <v>1</v>
      </c>
      <c r="AP101">
        <v>0</v>
      </c>
      <c r="AQ101">
        <v>0</v>
      </c>
      <c r="AR101">
        <v>0</v>
      </c>
      <c r="AS101" t="s">
        <v>3</v>
      </c>
      <c r="AT101">
        <v>6.3E-2</v>
      </c>
      <c r="AU101" t="s">
        <v>3</v>
      </c>
      <c r="AV101">
        <v>0</v>
      </c>
      <c r="AW101">
        <v>2</v>
      </c>
      <c r="AX101">
        <v>75704136</v>
      </c>
      <c r="AY101">
        <v>1</v>
      </c>
      <c r="AZ101">
        <v>0</v>
      </c>
      <c r="BA101">
        <v>96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CV101">
        <v>0</v>
      </c>
      <c r="CW101">
        <v>0</v>
      </c>
      <c r="CX101">
        <f>ROUND(Y101*Source!I207,9)</f>
        <v>1.26E-2</v>
      </c>
      <c r="CY101">
        <f>AA101</f>
        <v>656.56</v>
      </c>
      <c r="CZ101">
        <f>AE101</f>
        <v>656.56</v>
      </c>
      <c r="DA101">
        <f>AI101</f>
        <v>1</v>
      </c>
      <c r="DB101">
        <f t="shared" si="34"/>
        <v>41.36</v>
      </c>
      <c r="DC101">
        <f t="shared" si="35"/>
        <v>0</v>
      </c>
      <c r="DD101" t="s">
        <v>3</v>
      </c>
      <c r="DE101" t="s">
        <v>3</v>
      </c>
      <c r="DF101">
        <f t="shared" si="36"/>
        <v>8.27</v>
      </c>
      <c r="DG101">
        <f t="shared" si="37"/>
        <v>0</v>
      </c>
      <c r="DH101">
        <f t="shared" si="38"/>
        <v>0</v>
      </c>
      <c r="DI101">
        <f t="shared" si="39"/>
        <v>0</v>
      </c>
      <c r="DJ101">
        <f>DF101</f>
        <v>8.27</v>
      </c>
      <c r="DK101">
        <v>0</v>
      </c>
      <c r="DL101" t="s">
        <v>3</v>
      </c>
      <c r="DM101">
        <v>0</v>
      </c>
      <c r="DN101" t="s">
        <v>3</v>
      </c>
      <c r="DO101">
        <v>0</v>
      </c>
    </row>
    <row r="102" spans="1:119" x14ac:dyDescent="0.2">
      <c r="A102">
        <f>ROW(Source!A207)</f>
        <v>207</v>
      </c>
      <c r="B102">
        <v>75703208</v>
      </c>
      <c r="C102">
        <v>75703829</v>
      </c>
      <c r="D102">
        <v>75395894</v>
      </c>
      <c r="E102">
        <v>1</v>
      </c>
      <c r="F102">
        <v>1</v>
      </c>
      <c r="G102">
        <v>39</v>
      </c>
      <c r="H102">
        <v>3</v>
      </c>
      <c r="I102" t="s">
        <v>226</v>
      </c>
      <c r="J102" t="s">
        <v>228</v>
      </c>
      <c r="K102" t="s">
        <v>227</v>
      </c>
      <c r="L102">
        <v>1354</v>
      </c>
      <c r="N102">
        <v>1010</v>
      </c>
      <c r="O102" t="s">
        <v>196</v>
      </c>
      <c r="P102" t="s">
        <v>196</v>
      </c>
      <c r="Q102">
        <v>1</v>
      </c>
      <c r="W102">
        <v>0</v>
      </c>
      <c r="X102">
        <v>331574299</v>
      </c>
      <c r="Y102">
        <f t="shared" si="33"/>
        <v>10</v>
      </c>
      <c r="AA102">
        <v>182.88</v>
      </c>
      <c r="AB102">
        <v>0</v>
      </c>
      <c r="AC102">
        <v>0</v>
      </c>
      <c r="AD102">
        <v>0</v>
      </c>
      <c r="AE102">
        <v>182.88</v>
      </c>
      <c r="AF102">
        <v>0</v>
      </c>
      <c r="AG102">
        <v>0</v>
      </c>
      <c r="AH102">
        <v>0</v>
      </c>
      <c r="AI102">
        <v>1</v>
      </c>
      <c r="AJ102">
        <v>1</v>
      </c>
      <c r="AK102">
        <v>1</v>
      </c>
      <c r="AL102">
        <v>1</v>
      </c>
      <c r="AM102">
        <v>0</v>
      </c>
      <c r="AN102">
        <v>0</v>
      </c>
      <c r="AO102">
        <v>0</v>
      </c>
      <c r="AP102">
        <v>1</v>
      </c>
      <c r="AQ102">
        <v>0</v>
      </c>
      <c r="AR102">
        <v>0</v>
      </c>
      <c r="AS102" t="s">
        <v>3</v>
      </c>
      <c r="AT102">
        <v>10</v>
      </c>
      <c r="AU102" t="s">
        <v>3</v>
      </c>
      <c r="AV102">
        <v>0</v>
      </c>
      <c r="AW102">
        <v>1</v>
      </c>
      <c r="AX102">
        <v>-1</v>
      </c>
      <c r="AY102">
        <v>0</v>
      </c>
      <c r="AZ102">
        <v>0</v>
      </c>
      <c r="BA102" t="s">
        <v>3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CV102">
        <v>0</v>
      </c>
      <c r="CW102">
        <v>0</v>
      </c>
      <c r="CX102">
        <f>ROUND(Y102*Source!I207,9)</f>
        <v>2</v>
      </c>
      <c r="CY102">
        <f>AA102</f>
        <v>182.88</v>
      </c>
      <c r="CZ102">
        <f>AE102</f>
        <v>182.88</v>
      </c>
      <c r="DA102">
        <f>AI102</f>
        <v>1</v>
      </c>
      <c r="DB102">
        <f t="shared" si="34"/>
        <v>1828.8</v>
      </c>
      <c r="DC102">
        <f t="shared" si="35"/>
        <v>0</v>
      </c>
      <c r="DD102" t="s">
        <v>3</v>
      </c>
      <c r="DE102" t="s">
        <v>3</v>
      </c>
      <c r="DF102">
        <f t="shared" si="36"/>
        <v>365.76</v>
      </c>
      <c r="DG102">
        <f t="shared" si="37"/>
        <v>0</v>
      </c>
      <c r="DH102">
        <f t="shared" si="38"/>
        <v>0</v>
      </c>
      <c r="DI102">
        <f t="shared" si="39"/>
        <v>0</v>
      </c>
      <c r="DJ102">
        <f>DF102</f>
        <v>365.76</v>
      </c>
      <c r="DK102">
        <v>0</v>
      </c>
      <c r="DL102" t="s">
        <v>3</v>
      </c>
      <c r="DM102">
        <v>0</v>
      </c>
      <c r="DN102" t="s">
        <v>3</v>
      </c>
      <c r="DO102">
        <v>0</v>
      </c>
    </row>
    <row r="103" spans="1:119" x14ac:dyDescent="0.2">
      <c r="A103">
        <f>ROW(Source!A207)</f>
        <v>207</v>
      </c>
      <c r="B103">
        <v>75703208</v>
      </c>
      <c r="C103">
        <v>75703829</v>
      </c>
      <c r="D103">
        <v>75389029</v>
      </c>
      <c r="E103">
        <v>1</v>
      </c>
      <c r="F103">
        <v>1</v>
      </c>
      <c r="G103">
        <v>39</v>
      </c>
      <c r="H103">
        <v>3</v>
      </c>
      <c r="I103" t="s">
        <v>383</v>
      </c>
      <c r="J103" t="s">
        <v>384</v>
      </c>
      <c r="K103" t="s">
        <v>385</v>
      </c>
      <c r="L103">
        <v>1348</v>
      </c>
      <c r="N103">
        <v>1009</v>
      </c>
      <c r="O103" t="s">
        <v>56</v>
      </c>
      <c r="P103" t="s">
        <v>56</v>
      </c>
      <c r="Q103">
        <v>1000</v>
      </c>
      <c r="W103">
        <v>0</v>
      </c>
      <c r="X103">
        <v>169962723</v>
      </c>
      <c r="Y103">
        <f t="shared" si="33"/>
        <v>1.2999999999999999E-4</v>
      </c>
      <c r="AA103">
        <v>91558.65</v>
      </c>
      <c r="AB103">
        <v>0</v>
      </c>
      <c r="AC103">
        <v>0</v>
      </c>
      <c r="AD103">
        <v>0</v>
      </c>
      <c r="AE103">
        <v>91558.65</v>
      </c>
      <c r="AF103">
        <v>0</v>
      </c>
      <c r="AG103">
        <v>0</v>
      </c>
      <c r="AH103">
        <v>0</v>
      </c>
      <c r="AI103">
        <v>1</v>
      </c>
      <c r="AJ103">
        <v>1</v>
      </c>
      <c r="AK103">
        <v>1</v>
      </c>
      <c r="AL103">
        <v>1</v>
      </c>
      <c r="AM103">
        <v>-2</v>
      </c>
      <c r="AN103">
        <v>0</v>
      </c>
      <c r="AO103">
        <v>1</v>
      </c>
      <c r="AP103">
        <v>0</v>
      </c>
      <c r="AQ103">
        <v>0</v>
      </c>
      <c r="AR103">
        <v>0</v>
      </c>
      <c r="AS103" t="s">
        <v>3</v>
      </c>
      <c r="AT103">
        <v>1.2999999999999999E-4</v>
      </c>
      <c r="AU103" t="s">
        <v>3</v>
      </c>
      <c r="AV103">
        <v>0</v>
      </c>
      <c r="AW103">
        <v>2</v>
      </c>
      <c r="AX103">
        <v>75704137</v>
      </c>
      <c r="AY103">
        <v>1</v>
      </c>
      <c r="AZ103">
        <v>0</v>
      </c>
      <c r="BA103">
        <v>97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CV103">
        <v>0</v>
      </c>
      <c r="CW103">
        <v>0</v>
      </c>
      <c r="CX103">
        <f>ROUND(Y103*Source!I207,9)</f>
        <v>2.5999999999999998E-5</v>
      </c>
      <c r="CY103">
        <f>AA103</f>
        <v>91558.65</v>
      </c>
      <c r="CZ103">
        <f>AE103</f>
        <v>91558.65</v>
      </c>
      <c r="DA103">
        <f>AI103</f>
        <v>1</v>
      </c>
      <c r="DB103">
        <f t="shared" si="34"/>
        <v>11.9</v>
      </c>
      <c r="DC103">
        <f t="shared" si="35"/>
        <v>0</v>
      </c>
      <c r="DD103" t="s">
        <v>3</v>
      </c>
      <c r="DE103" t="s">
        <v>3</v>
      </c>
      <c r="DF103">
        <f t="shared" si="36"/>
        <v>2.38</v>
      </c>
      <c r="DG103">
        <f t="shared" si="37"/>
        <v>0</v>
      </c>
      <c r="DH103">
        <f t="shared" si="38"/>
        <v>0</v>
      </c>
      <c r="DI103">
        <f t="shared" si="39"/>
        <v>0</v>
      </c>
      <c r="DJ103">
        <f>DF103</f>
        <v>2.38</v>
      </c>
      <c r="DK103">
        <v>0</v>
      </c>
      <c r="DL103" t="s">
        <v>3</v>
      </c>
      <c r="DM103">
        <v>0</v>
      </c>
      <c r="DN103" t="s">
        <v>3</v>
      </c>
      <c r="DO103">
        <v>0</v>
      </c>
    </row>
    <row r="104" spans="1:119" x14ac:dyDescent="0.2">
      <c r="A104">
        <f>ROW(Source!A207)</f>
        <v>207</v>
      </c>
      <c r="B104">
        <v>75703208</v>
      </c>
      <c r="C104">
        <v>75703829</v>
      </c>
      <c r="D104">
        <v>75389070</v>
      </c>
      <c r="E104">
        <v>1</v>
      </c>
      <c r="F104">
        <v>1</v>
      </c>
      <c r="G104">
        <v>39</v>
      </c>
      <c r="H104">
        <v>3</v>
      </c>
      <c r="I104" t="s">
        <v>386</v>
      </c>
      <c r="J104" t="s">
        <v>387</v>
      </c>
      <c r="K104" t="s">
        <v>388</v>
      </c>
      <c r="L104">
        <v>1346</v>
      </c>
      <c r="N104">
        <v>1009</v>
      </c>
      <c r="O104" t="s">
        <v>51</v>
      </c>
      <c r="P104" t="s">
        <v>51</v>
      </c>
      <c r="Q104">
        <v>1</v>
      </c>
      <c r="W104">
        <v>0</v>
      </c>
      <c r="X104">
        <v>720467407</v>
      </c>
      <c r="Y104">
        <f t="shared" si="33"/>
        <v>6.3E-2</v>
      </c>
      <c r="AA104">
        <v>99.65</v>
      </c>
      <c r="AB104">
        <v>0</v>
      </c>
      <c r="AC104">
        <v>0</v>
      </c>
      <c r="AD104">
        <v>0</v>
      </c>
      <c r="AE104">
        <v>99.65</v>
      </c>
      <c r="AF104">
        <v>0</v>
      </c>
      <c r="AG104">
        <v>0</v>
      </c>
      <c r="AH104">
        <v>0</v>
      </c>
      <c r="AI104">
        <v>1</v>
      </c>
      <c r="AJ104">
        <v>1</v>
      </c>
      <c r="AK104">
        <v>1</v>
      </c>
      <c r="AL104">
        <v>1</v>
      </c>
      <c r="AM104">
        <v>-2</v>
      </c>
      <c r="AN104">
        <v>0</v>
      </c>
      <c r="AO104">
        <v>1</v>
      </c>
      <c r="AP104">
        <v>0</v>
      </c>
      <c r="AQ104">
        <v>0</v>
      </c>
      <c r="AR104">
        <v>0</v>
      </c>
      <c r="AS104" t="s">
        <v>3</v>
      </c>
      <c r="AT104">
        <v>6.3E-2</v>
      </c>
      <c r="AU104" t="s">
        <v>3</v>
      </c>
      <c r="AV104">
        <v>0</v>
      </c>
      <c r="AW104">
        <v>2</v>
      </c>
      <c r="AX104">
        <v>75704138</v>
      </c>
      <c r="AY104">
        <v>1</v>
      </c>
      <c r="AZ104">
        <v>0</v>
      </c>
      <c r="BA104">
        <v>98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CV104">
        <v>0</v>
      </c>
      <c r="CW104">
        <v>0</v>
      </c>
      <c r="CX104">
        <f>ROUND(Y104*Source!I207,9)</f>
        <v>1.26E-2</v>
      </c>
      <c r="CY104">
        <f>AA104</f>
        <v>99.65</v>
      </c>
      <c r="CZ104">
        <f>AE104</f>
        <v>99.65</v>
      </c>
      <c r="DA104">
        <f>AI104</f>
        <v>1</v>
      </c>
      <c r="DB104">
        <f t="shared" si="34"/>
        <v>6.28</v>
      </c>
      <c r="DC104">
        <f t="shared" si="35"/>
        <v>0</v>
      </c>
      <c r="DD104" t="s">
        <v>3</v>
      </c>
      <c r="DE104" t="s">
        <v>3</v>
      </c>
      <c r="DF104">
        <f t="shared" si="36"/>
        <v>1.26</v>
      </c>
      <c r="DG104">
        <f t="shared" si="37"/>
        <v>0</v>
      </c>
      <c r="DH104">
        <f t="shared" si="38"/>
        <v>0</v>
      </c>
      <c r="DI104">
        <f t="shared" si="39"/>
        <v>0</v>
      </c>
      <c r="DJ104">
        <f>DF104</f>
        <v>1.26</v>
      </c>
      <c r="DK104">
        <v>0</v>
      </c>
      <c r="DL104" t="s">
        <v>3</v>
      </c>
      <c r="DM104">
        <v>0</v>
      </c>
      <c r="DN104" t="s">
        <v>3</v>
      </c>
      <c r="DO104">
        <v>0</v>
      </c>
    </row>
    <row r="105" spans="1:119" x14ac:dyDescent="0.2">
      <c r="A105">
        <f>ROW(Source!A244)</f>
        <v>244</v>
      </c>
      <c r="B105">
        <v>75703208</v>
      </c>
      <c r="C105">
        <v>75703896</v>
      </c>
      <c r="D105">
        <v>75386788</v>
      </c>
      <c r="E105">
        <v>39</v>
      </c>
      <c r="F105">
        <v>1</v>
      </c>
      <c r="G105">
        <v>39</v>
      </c>
      <c r="H105">
        <v>1</v>
      </c>
      <c r="I105" t="s">
        <v>276</v>
      </c>
      <c r="J105" t="s">
        <v>3</v>
      </c>
      <c r="K105" t="s">
        <v>277</v>
      </c>
      <c r="L105">
        <v>1191</v>
      </c>
      <c r="N105">
        <v>1013</v>
      </c>
      <c r="O105" t="s">
        <v>278</v>
      </c>
      <c r="P105" t="s">
        <v>278</v>
      </c>
      <c r="Q105">
        <v>1</v>
      </c>
      <c r="W105">
        <v>0</v>
      </c>
      <c r="X105">
        <v>476480486</v>
      </c>
      <c r="Y105">
        <f t="shared" si="33"/>
        <v>29.74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1</v>
      </c>
      <c r="AJ105">
        <v>1</v>
      </c>
      <c r="AK105">
        <v>1</v>
      </c>
      <c r="AL105">
        <v>1</v>
      </c>
      <c r="AM105">
        <v>-2</v>
      </c>
      <c r="AN105">
        <v>0</v>
      </c>
      <c r="AO105">
        <v>1</v>
      </c>
      <c r="AP105">
        <v>0</v>
      </c>
      <c r="AQ105">
        <v>0</v>
      </c>
      <c r="AR105">
        <v>0</v>
      </c>
      <c r="AS105" t="s">
        <v>3</v>
      </c>
      <c r="AT105">
        <v>29.74</v>
      </c>
      <c r="AU105" t="s">
        <v>3</v>
      </c>
      <c r="AV105">
        <v>1</v>
      </c>
      <c r="AW105">
        <v>2</v>
      </c>
      <c r="AX105">
        <v>75704139</v>
      </c>
      <c r="AY105">
        <v>1</v>
      </c>
      <c r="AZ105">
        <v>0</v>
      </c>
      <c r="BA105">
        <v>99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U105">
        <f>ROUND(AT105*Source!I244*AH105*AL105,2)</f>
        <v>0</v>
      </c>
      <c r="CV105">
        <f>ROUND(Y105*Source!I244,9)</f>
        <v>0.89219999999999999</v>
      </c>
      <c r="CW105">
        <v>0</v>
      </c>
      <c r="CX105">
        <f>ROUND(Y105*Source!I244,9)</f>
        <v>0.89219999999999999</v>
      </c>
      <c r="CY105">
        <f>AD105</f>
        <v>0</v>
      </c>
      <c r="CZ105">
        <f>AH105</f>
        <v>0</v>
      </c>
      <c r="DA105">
        <f>AL105</f>
        <v>1</v>
      </c>
      <c r="DB105">
        <f t="shared" si="34"/>
        <v>0</v>
      </c>
      <c r="DC105">
        <f t="shared" si="35"/>
        <v>0</v>
      </c>
      <c r="DD105" t="s">
        <v>3</v>
      </c>
      <c r="DE105" t="s">
        <v>3</v>
      </c>
      <c r="DF105">
        <f t="shared" si="36"/>
        <v>0</v>
      </c>
      <c r="DG105">
        <f t="shared" si="37"/>
        <v>0</v>
      </c>
      <c r="DH105">
        <f t="shared" si="38"/>
        <v>0</v>
      </c>
      <c r="DI105">
        <f t="shared" si="39"/>
        <v>0</v>
      </c>
      <c r="DJ105">
        <f>DI105</f>
        <v>0</v>
      </c>
      <c r="DK105">
        <v>0</v>
      </c>
      <c r="DL105" t="s">
        <v>3</v>
      </c>
      <c r="DM105">
        <v>0</v>
      </c>
      <c r="DN105" t="s">
        <v>3</v>
      </c>
      <c r="DO105">
        <v>0</v>
      </c>
    </row>
    <row r="106" spans="1:119" x14ac:dyDescent="0.2">
      <c r="A106">
        <f>ROW(Source!A244)</f>
        <v>244</v>
      </c>
      <c r="B106">
        <v>75703208</v>
      </c>
      <c r="C106">
        <v>75703896</v>
      </c>
      <c r="D106">
        <v>75397572</v>
      </c>
      <c r="E106">
        <v>1</v>
      </c>
      <c r="F106">
        <v>1</v>
      </c>
      <c r="G106">
        <v>39</v>
      </c>
      <c r="H106">
        <v>3</v>
      </c>
      <c r="I106" t="s">
        <v>238</v>
      </c>
      <c r="J106" t="s">
        <v>240</v>
      </c>
      <c r="K106" t="s">
        <v>239</v>
      </c>
      <c r="L106">
        <v>1354</v>
      </c>
      <c r="N106">
        <v>1010</v>
      </c>
      <c r="O106" t="s">
        <v>196</v>
      </c>
      <c r="P106" t="s">
        <v>196</v>
      </c>
      <c r="Q106">
        <v>1</v>
      </c>
      <c r="W106">
        <v>0</v>
      </c>
      <c r="X106">
        <v>-314732257</v>
      </c>
      <c r="Y106">
        <f t="shared" si="33"/>
        <v>33.333333000000003</v>
      </c>
      <c r="AA106">
        <v>90.55</v>
      </c>
      <c r="AB106">
        <v>0</v>
      </c>
      <c r="AC106">
        <v>0</v>
      </c>
      <c r="AD106">
        <v>0</v>
      </c>
      <c r="AE106">
        <v>90.55</v>
      </c>
      <c r="AF106">
        <v>0</v>
      </c>
      <c r="AG106">
        <v>0</v>
      </c>
      <c r="AH106">
        <v>0</v>
      </c>
      <c r="AI106">
        <v>1</v>
      </c>
      <c r="AJ106">
        <v>1</v>
      </c>
      <c r="AK106">
        <v>1</v>
      </c>
      <c r="AL106">
        <v>1</v>
      </c>
      <c r="AM106">
        <v>0</v>
      </c>
      <c r="AN106">
        <v>0</v>
      </c>
      <c r="AO106">
        <v>0</v>
      </c>
      <c r="AP106">
        <v>1</v>
      </c>
      <c r="AQ106">
        <v>0</v>
      </c>
      <c r="AR106">
        <v>0</v>
      </c>
      <c r="AS106" t="s">
        <v>3</v>
      </c>
      <c r="AT106">
        <v>33.333333000000003</v>
      </c>
      <c r="AU106" t="s">
        <v>3</v>
      </c>
      <c r="AV106">
        <v>0</v>
      </c>
      <c r="AW106">
        <v>1</v>
      </c>
      <c r="AX106">
        <v>-1</v>
      </c>
      <c r="AY106">
        <v>0</v>
      </c>
      <c r="AZ106">
        <v>0</v>
      </c>
      <c r="BA106" t="s">
        <v>3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CV106">
        <v>0</v>
      </c>
      <c r="CW106">
        <v>0</v>
      </c>
      <c r="CX106">
        <f>ROUND(Y106*Source!I244,9)</f>
        <v>0.99999998999999995</v>
      </c>
      <c r="CY106">
        <f>AA106</f>
        <v>90.55</v>
      </c>
      <c r="CZ106">
        <f>AE106</f>
        <v>90.55</v>
      </c>
      <c r="DA106">
        <f>AI106</f>
        <v>1</v>
      </c>
      <c r="DB106">
        <f t="shared" si="34"/>
        <v>3018.33</v>
      </c>
      <c r="DC106">
        <f t="shared" si="35"/>
        <v>0</v>
      </c>
      <c r="DD106" t="s">
        <v>3</v>
      </c>
      <c r="DE106" t="s">
        <v>3</v>
      </c>
      <c r="DF106">
        <f t="shared" si="36"/>
        <v>90.55</v>
      </c>
      <c r="DG106">
        <f t="shared" si="37"/>
        <v>0</v>
      </c>
      <c r="DH106">
        <f t="shared" si="38"/>
        <v>0</v>
      </c>
      <c r="DI106">
        <f t="shared" si="39"/>
        <v>0</v>
      </c>
      <c r="DJ106">
        <f>DF106</f>
        <v>90.55</v>
      </c>
      <c r="DK106">
        <v>0</v>
      </c>
      <c r="DL106" t="s">
        <v>3</v>
      </c>
      <c r="DM106">
        <v>0</v>
      </c>
      <c r="DN106" t="s">
        <v>3</v>
      </c>
      <c r="DO106">
        <v>0</v>
      </c>
    </row>
    <row r="107" spans="1:119" x14ac:dyDescent="0.2">
      <c r="A107">
        <f>ROW(Source!A244)</f>
        <v>244</v>
      </c>
      <c r="B107">
        <v>75703208</v>
      </c>
      <c r="C107">
        <v>75703896</v>
      </c>
      <c r="D107">
        <v>0</v>
      </c>
      <c r="E107">
        <v>39</v>
      </c>
      <c r="F107">
        <v>1</v>
      </c>
      <c r="G107">
        <v>39</v>
      </c>
      <c r="H107">
        <v>3</v>
      </c>
      <c r="I107" t="s">
        <v>199</v>
      </c>
      <c r="J107" t="s">
        <v>3</v>
      </c>
      <c r="K107" t="s">
        <v>235</v>
      </c>
      <c r="L107">
        <v>1354</v>
      </c>
      <c r="N107">
        <v>1010</v>
      </c>
      <c r="O107" t="s">
        <v>196</v>
      </c>
      <c r="P107" t="s">
        <v>196</v>
      </c>
      <c r="Q107">
        <v>1</v>
      </c>
      <c r="W107">
        <v>0</v>
      </c>
      <c r="X107">
        <v>-303536335</v>
      </c>
      <c r="Y107">
        <f t="shared" si="33"/>
        <v>66.666667000000004</v>
      </c>
      <c r="AA107">
        <v>285</v>
      </c>
      <c r="AB107">
        <v>0</v>
      </c>
      <c r="AC107">
        <v>0</v>
      </c>
      <c r="AD107">
        <v>0</v>
      </c>
      <c r="AE107">
        <v>285</v>
      </c>
      <c r="AF107">
        <v>0</v>
      </c>
      <c r="AG107">
        <v>0</v>
      </c>
      <c r="AH107">
        <v>0</v>
      </c>
      <c r="AI107">
        <v>1</v>
      </c>
      <c r="AJ107">
        <v>1</v>
      </c>
      <c r="AK107">
        <v>1</v>
      </c>
      <c r="AL107">
        <v>1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 t="s">
        <v>3</v>
      </c>
      <c r="AT107">
        <v>66.666667000000004</v>
      </c>
      <c r="AU107" t="s">
        <v>3</v>
      </c>
      <c r="AV107">
        <v>0</v>
      </c>
      <c r="AW107">
        <v>1</v>
      </c>
      <c r="AX107">
        <v>-1</v>
      </c>
      <c r="AY107">
        <v>0</v>
      </c>
      <c r="AZ107">
        <v>0</v>
      </c>
      <c r="BA107" t="s">
        <v>3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CV107">
        <v>0</v>
      </c>
      <c r="CW107">
        <v>0</v>
      </c>
      <c r="CX107">
        <f>ROUND(Y107*Source!I244,9)</f>
        <v>2.0000000099999999</v>
      </c>
      <c r="CY107">
        <f>AA107</f>
        <v>285</v>
      </c>
      <c r="CZ107">
        <f>AE107</f>
        <v>285</v>
      </c>
      <c r="DA107">
        <f>AI107</f>
        <v>1</v>
      </c>
      <c r="DB107">
        <f t="shared" si="34"/>
        <v>19000</v>
      </c>
      <c r="DC107">
        <f t="shared" si="35"/>
        <v>0</v>
      </c>
      <c r="DD107" t="s">
        <v>3</v>
      </c>
      <c r="DE107" t="s">
        <v>3</v>
      </c>
      <c r="DF107">
        <f t="shared" si="36"/>
        <v>570</v>
      </c>
      <c r="DG107">
        <f t="shared" si="37"/>
        <v>0</v>
      </c>
      <c r="DH107">
        <f t="shared" si="38"/>
        <v>0</v>
      </c>
      <c r="DI107">
        <f t="shared" si="39"/>
        <v>0</v>
      </c>
      <c r="DJ107">
        <f>DF107</f>
        <v>570</v>
      </c>
      <c r="DK107">
        <v>0</v>
      </c>
      <c r="DL107" t="s">
        <v>3</v>
      </c>
      <c r="DM107">
        <v>0</v>
      </c>
      <c r="DN107" t="s">
        <v>3</v>
      </c>
      <c r="DO107">
        <v>0</v>
      </c>
    </row>
    <row r="108" spans="1:119" x14ac:dyDescent="0.2">
      <c r="A108">
        <f>ROW(Source!A282)</f>
        <v>282</v>
      </c>
      <c r="B108">
        <v>75703208</v>
      </c>
      <c r="C108">
        <v>75703959</v>
      </c>
      <c r="D108">
        <v>75386788</v>
      </c>
      <c r="E108">
        <v>39</v>
      </c>
      <c r="F108">
        <v>1</v>
      </c>
      <c r="G108">
        <v>39</v>
      </c>
      <c r="H108">
        <v>1</v>
      </c>
      <c r="I108" t="s">
        <v>276</v>
      </c>
      <c r="J108" t="s">
        <v>3</v>
      </c>
      <c r="K108" t="s">
        <v>277</v>
      </c>
      <c r="L108">
        <v>1191</v>
      </c>
      <c r="N108">
        <v>1013</v>
      </c>
      <c r="O108" t="s">
        <v>278</v>
      </c>
      <c r="P108" t="s">
        <v>278</v>
      </c>
      <c r="Q108">
        <v>1</v>
      </c>
      <c r="W108">
        <v>0</v>
      </c>
      <c r="X108">
        <v>476480486</v>
      </c>
      <c r="Y108">
        <f t="shared" si="33"/>
        <v>46.19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1</v>
      </c>
      <c r="AJ108">
        <v>1</v>
      </c>
      <c r="AK108">
        <v>1</v>
      </c>
      <c r="AL108">
        <v>1</v>
      </c>
      <c r="AM108">
        <v>-2</v>
      </c>
      <c r="AN108">
        <v>0</v>
      </c>
      <c r="AO108">
        <v>1</v>
      </c>
      <c r="AP108">
        <v>0</v>
      </c>
      <c r="AQ108">
        <v>0</v>
      </c>
      <c r="AR108">
        <v>0</v>
      </c>
      <c r="AS108" t="s">
        <v>3</v>
      </c>
      <c r="AT108">
        <v>46.19</v>
      </c>
      <c r="AU108" t="s">
        <v>3</v>
      </c>
      <c r="AV108">
        <v>1</v>
      </c>
      <c r="AW108">
        <v>2</v>
      </c>
      <c r="AX108">
        <v>75704140</v>
      </c>
      <c r="AY108">
        <v>1</v>
      </c>
      <c r="AZ108">
        <v>0</v>
      </c>
      <c r="BA108">
        <v>100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CU108">
        <f>ROUND(AT108*Source!I282*AH108*AL108,2)</f>
        <v>0</v>
      </c>
      <c r="CV108">
        <f>ROUND(Y108*Source!I282,9)</f>
        <v>0.92379999999999995</v>
      </c>
      <c r="CW108">
        <v>0</v>
      </c>
      <c r="CX108">
        <f>ROUND(Y108*Source!I282,9)</f>
        <v>0.92379999999999995</v>
      </c>
      <c r="CY108">
        <f>AD108</f>
        <v>0</v>
      </c>
      <c r="CZ108">
        <f>AH108</f>
        <v>0</v>
      </c>
      <c r="DA108">
        <f>AL108</f>
        <v>1</v>
      </c>
      <c r="DB108">
        <f t="shared" si="34"/>
        <v>0</v>
      </c>
      <c r="DC108">
        <f t="shared" si="35"/>
        <v>0</v>
      </c>
      <c r="DD108" t="s">
        <v>3</v>
      </c>
      <c r="DE108" t="s">
        <v>3</v>
      </c>
      <c r="DF108">
        <f t="shared" si="36"/>
        <v>0</v>
      </c>
      <c r="DG108">
        <f t="shared" si="37"/>
        <v>0</v>
      </c>
      <c r="DH108">
        <f t="shared" si="38"/>
        <v>0</v>
      </c>
      <c r="DI108">
        <f t="shared" si="39"/>
        <v>0</v>
      </c>
      <c r="DJ108">
        <f>DI108</f>
        <v>0</v>
      </c>
      <c r="DK108">
        <v>0</v>
      </c>
      <c r="DL108" t="s">
        <v>3</v>
      </c>
      <c r="DM108">
        <v>0</v>
      </c>
      <c r="DN108" t="s">
        <v>3</v>
      </c>
      <c r="DO108">
        <v>0</v>
      </c>
    </row>
    <row r="109" spans="1:119" x14ac:dyDescent="0.2">
      <c r="A109">
        <f>ROW(Source!A282)</f>
        <v>282</v>
      </c>
      <c r="B109">
        <v>75703208</v>
      </c>
      <c r="C109">
        <v>75703959</v>
      </c>
      <c r="D109">
        <v>75388752</v>
      </c>
      <c r="E109">
        <v>1</v>
      </c>
      <c r="F109">
        <v>1</v>
      </c>
      <c r="G109">
        <v>39</v>
      </c>
      <c r="H109">
        <v>3</v>
      </c>
      <c r="I109" t="s">
        <v>398</v>
      </c>
      <c r="J109" t="s">
        <v>399</v>
      </c>
      <c r="K109" t="s">
        <v>400</v>
      </c>
      <c r="L109">
        <v>1348</v>
      </c>
      <c r="N109">
        <v>1009</v>
      </c>
      <c r="O109" t="s">
        <v>56</v>
      </c>
      <c r="P109" t="s">
        <v>56</v>
      </c>
      <c r="Q109">
        <v>1000</v>
      </c>
      <c r="W109">
        <v>0</v>
      </c>
      <c r="X109">
        <v>-2049845446</v>
      </c>
      <c r="Y109">
        <f t="shared" si="33"/>
        <v>0.05</v>
      </c>
      <c r="AA109">
        <v>8017.57</v>
      </c>
      <c r="AB109">
        <v>0</v>
      </c>
      <c r="AC109">
        <v>0</v>
      </c>
      <c r="AD109">
        <v>0</v>
      </c>
      <c r="AE109">
        <v>8017.57</v>
      </c>
      <c r="AF109">
        <v>0</v>
      </c>
      <c r="AG109">
        <v>0</v>
      </c>
      <c r="AH109">
        <v>0</v>
      </c>
      <c r="AI109">
        <v>1</v>
      </c>
      <c r="AJ109">
        <v>1</v>
      </c>
      <c r="AK109">
        <v>1</v>
      </c>
      <c r="AL109">
        <v>1</v>
      </c>
      <c r="AM109">
        <v>-2</v>
      </c>
      <c r="AN109">
        <v>0</v>
      </c>
      <c r="AO109">
        <v>1</v>
      </c>
      <c r="AP109">
        <v>0</v>
      </c>
      <c r="AQ109">
        <v>0</v>
      </c>
      <c r="AR109">
        <v>0</v>
      </c>
      <c r="AS109" t="s">
        <v>3</v>
      </c>
      <c r="AT109">
        <v>0.05</v>
      </c>
      <c r="AU109" t="s">
        <v>3</v>
      </c>
      <c r="AV109">
        <v>0</v>
      </c>
      <c r="AW109">
        <v>2</v>
      </c>
      <c r="AX109">
        <v>75704141</v>
      </c>
      <c r="AY109">
        <v>1</v>
      </c>
      <c r="AZ109">
        <v>0</v>
      </c>
      <c r="BA109">
        <v>101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CV109">
        <v>0</v>
      </c>
      <c r="CW109">
        <v>0</v>
      </c>
      <c r="CX109">
        <f>ROUND(Y109*Source!I282,9)</f>
        <v>1E-3</v>
      </c>
      <c r="CY109">
        <f>AA109</f>
        <v>8017.57</v>
      </c>
      <c r="CZ109">
        <f>AE109</f>
        <v>8017.57</v>
      </c>
      <c r="DA109">
        <f>AI109</f>
        <v>1</v>
      </c>
      <c r="DB109">
        <f t="shared" si="34"/>
        <v>400.88</v>
      </c>
      <c r="DC109">
        <f t="shared" si="35"/>
        <v>0</v>
      </c>
      <c r="DD109" t="s">
        <v>3</v>
      </c>
      <c r="DE109" t="s">
        <v>3</v>
      </c>
      <c r="DF109">
        <f t="shared" si="36"/>
        <v>8.02</v>
      </c>
      <c r="DG109">
        <f t="shared" si="37"/>
        <v>0</v>
      </c>
      <c r="DH109">
        <f t="shared" si="38"/>
        <v>0</v>
      </c>
      <c r="DI109">
        <f t="shared" si="39"/>
        <v>0</v>
      </c>
      <c r="DJ109">
        <f>DF109</f>
        <v>8.02</v>
      </c>
      <c r="DK109">
        <v>0</v>
      </c>
      <c r="DL109" t="s">
        <v>3</v>
      </c>
      <c r="DM109">
        <v>0</v>
      </c>
      <c r="DN109" t="s">
        <v>3</v>
      </c>
      <c r="DO109">
        <v>0</v>
      </c>
    </row>
    <row r="110" spans="1:119" x14ac:dyDescent="0.2">
      <c r="A110">
        <f>ROW(Source!A282)</f>
        <v>282</v>
      </c>
      <c r="B110">
        <v>75703208</v>
      </c>
      <c r="C110">
        <v>75703959</v>
      </c>
      <c r="D110">
        <v>75397345</v>
      </c>
      <c r="E110">
        <v>1</v>
      </c>
      <c r="F110">
        <v>1</v>
      </c>
      <c r="G110">
        <v>39</v>
      </c>
      <c r="H110">
        <v>3</v>
      </c>
      <c r="I110" t="s">
        <v>251</v>
      </c>
      <c r="J110" t="s">
        <v>253</v>
      </c>
      <c r="K110" t="s">
        <v>252</v>
      </c>
      <c r="L110">
        <v>1354</v>
      </c>
      <c r="N110">
        <v>1010</v>
      </c>
      <c r="O110" t="s">
        <v>196</v>
      </c>
      <c r="P110" t="s">
        <v>196</v>
      </c>
      <c r="Q110">
        <v>1</v>
      </c>
      <c r="W110">
        <v>1</v>
      </c>
      <c r="X110">
        <v>118609747</v>
      </c>
      <c r="Y110">
        <f t="shared" si="33"/>
        <v>-100</v>
      </c>
      <c r="AA110">
        <v>287.24</v>
      </c>
      <c r="AB110">
        <v>0</v>
      </c>
      <c r="AC110">
        <v>0</v>
      </c>
      <c r="AD110">
        <v>0</v>
      </c>
      <c r="AE110">
        <v>287.24</v>
      </c>
      <c r="AF110">
        <v>0</v>
      </c>
      <c r="AG110">
        <v>0</v>
      </c>
      <c r="AH110">
        <v>0</v>
      </c>
      <c r="AI110">
        <v>1</v>
      </c>
      <c r="AJ110">
        <v>1</v>
      </c>
      <c r="AK110">
        <v>1</v>
      </c>
      <c r="AL110">
        <v>1</v>
      </c>
      <c r="AM110">
        <v>0</v>
      </c>
      <c r="AN110">
        <v>0</v>
      </c>
      <c r="AO110">
        <v>1</v>
      </c>
      <c r="AP110">
        <v>0</v>
      </c>
      <c r="AQ110">
        <v>0</v>
      </c>
      <c r="AR110">
        <v>0</v>
      </c>
      <c r="AS110" t="s">
        <v>3</v>
      </c>
      <c r="AT110">
        <v>-100</v>
      </c>
      <c r="AU110" t="s">
        <v>3</v>
      </c>
      <c r="AV110">
        <v>0</v>
      </c>
      <c r="AW110">
        <v>2</v>
      </c>
      <c r="AX110">
        <v>75704142</v>
      </c>
      <c r="AY110">
        <v>1</v>
      </c>
      <c r="AZ110">
        <v>6144</v>
      </c>
      <c r="BA110">
        <v>102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CV110">
        <v>0</v>
      </c>
      <c r="CW110">
        <v>0</v>
      </c>
      <c r="CX110">
        <f>ROUND(Y110*Source!I282,9)</f>
        <v>-2</v>
      </c>
      <c r="CY110">
        <f>AA110</f>
        <v>287.24</v>
      </c>
      <c r="CZ110">
        <f>AE110</f>
        <v>287.24</v>
      </c>
      <c r="DA110">
        <f>AI110</f>
        <v>1</v>
      </c>
      <c r="DB110">
        <f t="shared" si="34"/>
        <v>-28724</v>
      </c>
      <c r="DC110">
        <f t="shared" si="35"/>
        <v>0</v>
      </c>
      <c r="DD110" t="s">
        <v>3</v>
      </c>
      <c r="DE110" t="s">
        <v>3</v>
      </c>
      <c r="DF110">
        <f t="shared" si="36"/>
        <v>-574.48</v>
      </c>
      <c r="DG110">
        <f t="shared" si="37"/>
        <v>0</v>
      </c>
      <c r="DH110">
        <f t="shared" si="38"/>
        <v>0</v>
      </c>
      <c r="DI110">
        <f t="shared" si="39"/>
        <v>0</v>
      </c>
      <c r="DJ110">
        <f>DF110</f>
        <v>-574.48</v>
      </c>
      <c r="DK110">
        <v>0</v>
      </c>
      <c r="DL110" t="s">
        <v>3</v>
      </c>
      <c r="DM110">
        <v>0</v>
      </c>
      <c r="DN110" t="s">
        <v>3</v>
      </c>
      <c r="DO110">
        <v>0</v>
      </c>
    </row>
    <row r="111" spans="1:119" x14ac:dyDescent="0.2">
      <c r="A111">
        <f>ROW(Source!A282)</f>
        <v>282</v>
      </c>
      <c r="B111">
        <v>75703208</v>
      </c>
      <c r="C111">
        <v>75703959</v>
      </c>
      <c r="D111">
        <v>75397375</v>
      </c>
      <c r="E111">
        <v>1</v>
      </c>
      <c r="F111">
        <v>1</v>
      </c>
      <c r="G111">
        <v>39</v>
      </c>
      <c r="H111">
        <v>3</v>
      </c>
      <c r="I111" t="s">
        <v>247</v>
      </c>
      <c r="J111" t="s">
        <v>249</v>
      </c>
      <c r="K111" t="s">
        <v>248</v>
      </c>
      <c r="L111">
        <v>1354</v>
      </c>
      <c r="N111">
        <v>1010</v>
      </c>
      <c r="O111" t="s">
        <v>196</v>
      </c>
      <c r="P111" t="s">
        <v>196</v>
      </c>
      <c r="Q111">
        <v>1</v>
      </c>
      <c r="W111">
        <v>0</v>
      </c>
      <c r="X111">
        <v>-2129737567</v>
      </c>
      <c r="Y111">
        <f t="shared" si="33"/>
        <v>100</v>
      </c>
      <c r="AA111">
        <v>981.41</v>
      </c>
      <c r="AB111">
        <v>0</v>
      </c>
      <c r="AC111">
        <v>0</v>
      </c>
      <c r="AD111">
        <v>0</v>
      </c>
      <c r="AE111">
        <v>981.41</v>
      </c>
      <c r="AF111">
        <v>0</v>
      </c>
      <c r="AG111">
        <v>0</v>
      </c>
      <c r="AH111">
        <v>0</v>
      </c>
      <c r="AI111">
        <v>1</v>
      </c>
      <c r="AJ111">
        <v>1</v>
      </c>
      <c r="AK111">
        <v>1</v>
      </c>
      <c r="AL111">
        <v>1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 t="s">
        <v>3</v>
      </c>
      <c r="AT111">
        <v>100</v>
      </c>
      <c r="AU111" t="s">
        <v>3</v>
      </c>
      <c r="AV111">
        <v>0</v>
      </c>
      <c r="AW111">
        <v>1</v>
      </c>
      <c r="AX111">
        <v>-1</v>
      </c>
      <c r="AY111">
        <v>0</v>
      </c>
      <c r="AZ111">
        <v>0</v>
      </c>
      <c r="BA111" t="s">
        <v>3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CV111">
        <v>0</v>
      </c>
      <c r="CW111">
        <v>0</v>
      </c>
      <c r="CX111">
        <f>ROUND(Y111*Source!I282,9)</f>
        <v>2</v>
      </c>
      <c r="CY111">
        <f>AA111</f>
        <v>981.41</v>
      </c>
      <c r="CZ111">
        <f>AE111</f>
        <v>981.41</v>
      </c>
      <c r="DA111">
        <f>AI111</f>
        <v>1</v>
      </c>
      <c r="DB111">
        <f t="shared" si="34"/>
        <v>98141</v>
      </c>
      <c r="DC111">
        <f t="shared" si="35"/>
        <v>0</v>
      </c>
      <c r="DD111" t="s">
        <v>3</v>
      </c>
      <c r="DE111" t="s">
        <v>3</v>
      </c>
      <c r="DF111">
        <f t="shared" si="36"/>
        <v>1962.82</v>
      </c>
      <c r="DG111">
        <f t="shared" si="37"/>
        <v>0</v>
      </c>
      <c r="DH111">
        <f t="shared" si="38"/>
        <v>0</v>
      </c>
      <c r="DI111">
        <f t="shared" si="39"/>
        <v>0</v>
      </c>
      <c r="DJ111">
        <f>DF111</f>
        <v>1962.82</v>
      </c>
      <c r="DK111">
        <v>0</v>
      </c>
      <c r="DL111" t="s">
        <v>3</v>
      </c>
      <c r="DM111">
        <v>0</v>
      </c>
      <c r="DN111" t="s">
        <v>3</v>
      </c>
      <c r="DO111">
        <v>0</v>
      </c>
    </row>
    <row r="112" spans="1:119" x14ac:dyDescent="0.2">
      <c r="A112">
        <f>ROW(Source!A350)</f>
        <v>350</v>
      </c>
      <c r="B112">
        <v>75703208</v>
      </c>
      <c r="C112">
        <v>75704025</v>
      </c>
      <c r="D112">
        <v>75387788</v>
      </c>
      <c r="E112">
        <v>1</v>
      </c>
      <c r="F112">
        <v>1</v>
      </c>
      <c r="G112">
        <v>39</v>
      </c>
      <c r="H112">
        <v>2</v>
      </c>
      <c r="I112" t="s">
        <v>401</v>
      </c>
      <c r="J112" t="s">
        <v>402</v>
      </c>
      <c r="K112" t="s">
        <v>403</v>
      </c>
      <c r="L112">
        <v>1368</v>
      </c>
      <c r="N112">
        <v>1011</v>
      </c>
      <c r="O112" t="s">
        <v>282</v>
      </c>
      <c r="P112" t="s">
        <v>282</v>
      </c>
      <c r="Q112">
        <v>1</v>
      </c>
      <c r="W112">
        <v>0</v>
      </c>
      <c r="X112">
        <v>-1415669716</v>
      </c>
      <c r="Y112">
        <f t="shared" si="33"/>
        <v>5.3699999999999998E-2</v>
      </c>
      <c r="AA112">
        <v>0</v>
      </c>
      <c r="AB112">
        <v>2195.02</v>
      </c>
      <c r="AC112">
        <v>940.44</v>
      </c>
      <c r="AD112">
        <v>0</v>
      </c>
      <c r="AE112">
        <v>0</v>
      </c>
      <c r="AF112">
        <v>2195.02</v>
      </c>
      <c r="AG112">
        <v>940.44</v>
      </c>
      <c r="AH112">
        <v>0</v>
      </c>
      <c r="AI112">
        <v>1</v>
      </c>
      <c r="AJ112">
        <v>1</v>
      </c>
      <c r="AK112">
        <v>1</v>
      </c>
      <c r="AL112">
        <v>1</v>
      </c>
      <c r="AM112">
        <v>-2</v>
      </c>
      <c r="AN112">
        <v>0</v>
      </c>
      <c r="AO112">
        <v>1</v>
      </c>
      <c r="AP112">
        <v>1</v>
      </c>
      <c r="AQ112">
        <v>0</v>
      </c>
      <c r="AR112">
        <v>0</v>
      </c>
      <c r="AS112" t="s">
        <v>3</v>
      </c>
      <c r="AT112">
        <v>5.3699999999999998E-2</v>
      </c>
      <c r="AU112" t="s">
        <v>3</v>
      </c>
      <c r="AV112">
        <v>0</v>
      </c>
      <c r="AW112">
        <v>2</v>
      </c>
      <c r="AX112">
        <v>75705873</v>
      </c>
      <c r="AY112">
        <v>1</v>
      </c>
      <c r="AZ112">
        <v>0</v>
      </c>
      <c r="BA112">
        <v>103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CV112">
        <v>0</v>
      </c>
      <c r="CW112">
        <f>ROUND(Y112*Source!I350*DO112,9)</f>
        <v>0</v>
      </c>
      <c r="CX112">
        <f>ROUND(Y112*Source!I350,9)</f>
        <v>1.6593299999999998E-2</v>
      </c>
      <c r="CY112">
        <f>AB112</f>
        <v>2195.02</v>
      </c>
      <c r="CZ112">
        <f>AF112</f>
        <v>2195.02</v>
      </c>
      <c r="DA112">
        <f>AJ112</f>
        <v>1</v>
      </c>
      <c r="DB112">
        <f t="shared" si="34"/>
        <v>117.87</v>
      </c>
      <c r="DC112">
        <f t="shared" si="35"/>
        <v>50.5</v>
      </c>
      <c r="DD112" t="s">
        <v>3</v>
      </c>
      <c r="DE112" t="s">
        <v>3</v>
      </c>
      <c r="DF112">
        <f t="shared" si="36"/>
        <v>0</v>
      </c>
      <c r="DG112">
        <f t="shared" si="37"/>
        <v>36.42</v>
      </c>
      <c r="DH112">
        <f t="shared" si="38"/>
        <v>15.61</v>
      </c>
      <c r="DI112">
        <f t="shared" si="39"/>
        <v>0</v>
      </c>
      <c r="DJ112">
        <f>DG112</f>
        <v>36.42</v>
      </c>
      <c r="DK112">
        <v>0</v>
      </c>
      <c r="DL112" t="s">
        <v>3</v>
      </c>
      <c r="DM112">
        <v>0</v>
      </c>
      <c r="DN112" t="s">
        <v>3</v>
      </c>
      <c r="DO112">
        <v>0</v>
      </c>
    </row>
    <row r="113" spans="1:119" x14ac:dyDescent="0.2">
      <c r="A113">
        <f>ROW(Source!A351)</f>
        <v>351</v>
      </c>
      <c r="B113">
        <v>75703208</v>
      </c>
      <c r="C113">
        <v>75704028</v>
      </c>
      <c r="D113">
        <v>75388479</v>
      </c>
      <c r="E113">
        <v>1</v>
      </c>
      <c r="F113">
        <v>1</v>
      </c>
      <c r="G113">
        <v>39</v>
      </c>
      <c r="H113">
        <v>2</v>
      </c>
      <c r="I113" t="s">
        <v>404</v>
      </c>
      <c r="J113" t="s">
        <v>405</v>
      </c>
      <c r="K113" t="s">
        <v>406</v>
      </c>
      <c r="L113">
        <v>1368</v>
      </c>
      <c r="N113">
        <v>1011</v>
      </c>
      <c r="O113" t="s">
        <v>282</v>
      </c>
      <c r="P113" t="s">
        <v>282</v>
      </c>
      <c r="Q113">
        <v>1</v>
      </c>
      <c r="W113">
        <v>0</v>
      </c>
      <c r="X113">
        <v>9060937</v>
      </c>
      <c r="Y113">
        <f t="shared" si="33"/>
        <v>0.02</v>
      </c>
      <c r="AA113">
        <v>0</v>
      </c>
      <c r="AB113">
        <v>1552.57</v>
      </c>
      <c r="AC113">
        <v>619.16</v>
      </c>
      <c r="AD113">
        <v>0</v>
      </c>
      <c r="AE113">
        <v>0</v>
      </c>
      <c r="AF113">
        <v>1552.57</v>
      </c>
      <c r="AG113">
        <v>619.16</v>
      </c>
      <c r="AH113">
        <v>0</v>
      </c>
      <c r="AI113">
        <v>1</v>
      </c>
      <c r="AJ113">
        <v>1</v>
      </c>
      <c r="AK113">
        <v>1</v>
      </c>
      <c r="AL113">
        <v>1</v>
      </c>
      <c r="AM113">
        <v>-2</v>
      </c>
      <c r="AN113">
        <v>0</v>
      </c>
      <c r="AO113">
        <v>1</v>
      </c>
      <c r="AP113">
        <v>0</v>
      </c>
      <c r="AQ113">
        <v>0</v>
      </c>
      <c r="AR113">
        <v>0</v>
      </c>
      <c r="AS113" t="s">
        <v>3</v>
      </c>
      <c r="AT113">
        <v>0.02</v>
      </c>
      <c r="AU113" t="s">
        <v>3</v>
      </c>
      <c r="AV113">
        <v>0</v>
      </c>
      <c r="AW113">
        <v>2</v>
      </c>
      <c r="AX113">
        <v>75704144</v>
      </c>
      <c r="AY113">
        <v>1</v>
      </c>
      <c r="AZ113">
        <v>0</v>
      </c>
      <c r="BA113">
        <v>104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CV113">
        <v>0</v>
      </c>
      <c r="CW113">
        <f>ROUND(Y113*Source!I351*DO113,9)</f>
        <v>0</v>
      </c>
      <c r="CX113">
        <f>ROUND(Y113*Source!I351,9)</f>
        <v>6.1799999999999997E-3</v>
      </c>
      <c r="CY113">
        <f>AB113</f>
        <v>1552.57</v>
      </c>
      <c r="CZ113">
        <f>AF113</f>
        <v>1552.57</v>
      </c>
      <c r="DA113">
        <f>AJ113</f>
        <v>1</v>
      </c>
      <c r="DB113">
        <f t="shared" si="34"/>
        <v>31.05</v>
      </c>
      <c r="DC113">
        <f t="shared" si="35"/>
        <v>12.38</v>
      </c>
      <c r="DD113" t="s">
        <v>3</v>
      </c>
      <c r="DE113" t="s">
        <v>3</v>
      </c>
      <c r="DF113">
        <f t="shared" si="36"/>
        <v>0</v>
      </c>
      <c r="DG113">
        <f t="shared" si="37"/>
        <v>9.59</v>
      </c>
      <c r="DH113">
        <f t="shared" si="38"/>
        <v>3.83</v>
      </c>
      <c r="DI113">
        <f t="shared" si="39"/>
        <v>0</v>
      </c>
      <c r="DJ113">
        <f>DG113</f>
        <v>9.59</v>
      </c>
      <c r="DK113">
        <v>0</v>
      </c>
      <c r="DL113" t="s">
        <v>3</v>
      </c>
      <c r="DM113">
        <v>0</v>
      </c>
      <c r="DN113" t="s">
        <v>3</v>
      </c>
      <c r="DO113">
        <v>0</v>
      </c>
    </row>
    <row r="114" spans="1:119" x14ac:dyDescent="0.2">
      <c r="A114">
        <f>ROW(Source!A351)</f>
        <v>351</v>
      </c>
      <c r="B114">
        <v>75703208</v>
      </c>
      <c r="C114">
        <v>75704028</v>
      </c>
      <c r="D114">
        <v>75388480</v>
      </c>
      <c r="E114">
        <v>1</v>
      </c>
      <c r="F114">
        <v>1</v>
      </c>
      <c r="G114">
        <v>39</v>
      </c>
      <c r="H114">
        <v>2</v>
      </c>
      <c r="I114" t="s">
        <v>407</v>
      </c>
      <c r="J114" t="s">
        <v>408</v>
      </c>
      <c r="K114" t="s">
        <v>409</v>
      </c>
      <c r="L114">
        <v>1368</v>
      </c>
      <c r="N114">
        <v>1011</v>
      </c>
      <c r="O114" t="s">
        <v>282</v>
      </c>
      <c r="P114" t="s">
        <v>282</v>
      </c>
      <c r="Q114">
        <v>1</v>
      </c>
      <c r="W114">
        <v>0</v>
      </c>
      <c r="X114">
        <v>822486257</v>
      </c>
      <c r="Y114">
        <f t="shared" si="33"/>
        <v>1.7999999999999999E-2</v>
      </c>
      <c r="AA114">
        <v>0</v>
      </c>
      <c r="AB114">
        <v>1566.41</v>
      </c>
      <c r="AC114">
        <v>619.79</v>
      </c>
      <c r="AD114">
        <v>0</v>
      </c>
      <c r="AE114">
        <v>0</v>
      </c>
      <c r="AF114">
        <v>1566.41</v>
      </c>
      <c r="AG114">
        <v>619.79</v>
      </c>
      <c r="AH114">
        <v>0</v>
      </c>
      <c r="AI114">
        <v>1</v>
      </c>
      <c r="AJ114">
        <v>1</v>
      </c>
      <c r="AK114">
        <v>1</v>
      </c>
      <c r="AL114">
        <v>1</v>
      </c>
      <c r="AM114">
        <v>-2</v>
      </c>
      <c r="AN114">
        <v>0</v>
      </c>
      <c r="AO114">
        <v>1</v>
      </c>
      <c r="AP114">
        <v>0</v>
      </c>
      <c r="AQ114">
        <v>0</v>
      </c>
      <c r="AR114">
        <v>0</v>
      </c>
      <c r="AS114" t="s">
        <v>3</v>
      </c>
      <c r="AT114">
        <v>1.7999999999999999E-2</v>
      </c>
      <c r="AU114" t="s">
        <v>3</v>
      </c>
      <c r="AV114">
        <v>0</v>
      </c>
      <c r="AW114">
        <v>2</v>
      </c>
      <c r="AX114">
        <v>75704145</v>
      </c>
      <c r="AY114">
        <v>1</v>
      </c>
      <c r="AZ114">
        <v>0</v>
      </c>
      <c r="BA114">
        <v>105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CV114">
        <v>0</v>
      </c>
      <c r="CW114">
        <f>ROUND(Y114*Source!I351*DO114,9)</f>
        <v>0</v>
      </c>
      <c r="CX114">
        <f>ROUND(Y114*Source!I351,9)</f>
        <v>5.5620000000000001E-3</v>
      </c>
      <c r="CY114">
        <f>AB114</f>
        <v>1566.41</v>
      </c>
      <c r="CZ114">
        <f>AF114</f>
        <v>1566.41</v>
      </c>
      <c r="DA114">
        <f>AJ114</f>
        <v>1</v>
      </c>
      <c r="DB114">
        <f t="shared" si="34"/>
        <v>28.2</v>
      </c>
      <c r="DC114">
        <f t="shared" si="35"/>
        <v>11.16</v>
      </c>
      <c r="DD114" t="s">
        <v>3</v>
      </c>
      <c r="DE114" t="s">
        <v>3</v>
      </c>
      <c r="DF114">
        <f t="shared" si="36"/>
        <v>0</v>
      </c>
      <c r="DG114">
        <f t="shared" si="37"/>
        <v>8.7100000000000009</v>
      </c>
      <c r="DH114">
        <f t="shared" si="38"/>
        <v>3.45</v>
      </c>
      <c r="DI114">
        <f t="shared" si="39"/>
        <v>0</v>
      </c>
      <c r="DJ114">
        <f>DG114</f>
        <v>8.7100000000000009</v>
      </c>
      <c r="DK114">
        <v>0</v>
      </c>
      <c r="DL114" t="s">
        <v>3</v>
      </c>
      <c r="DM114">
        <v>0</v>
      </c>
      <c r="DN114" t="s">
        <v>3</v>
      </c>
      <c r="DO114">
        <v>0</v>
      </c>
    </row>
    <row r="115" spans="1:119" x14ac:dyDescent="0.2">
      <c r="A115">
        <f>ROW(Source!A352)</f>
        <v>352</v>
      </c>
      <c r="B115">
        <v>75703208</v>
      </c>
      <c r="C115">
        <v>75704033</v>
      </c>
      <c r="D115">
        <v>75388479</v>
      </c>
      <c r="E115">
        <v>1</v>
      </c>
      <c r="F115">
        <v>1</v>
      </c>
      <c r="G115">
        <v>39</v>
      </c>
      <c r="H115">
        <v>2</v>
      </c>
      <c r="I115" t="s">
        <v>404</v>
      </c>
      <c r="J115" t="s">
        <v>405</v>
      </c>
      <c r="K115" t="s">
        <v>406</v>
      </c>
      <c r="L115">
        <v>1368</v>
      </c>
      <c r="N115">
        <v>1011</v>
      </c>
      <c r="O115" t="s">
        <v>282</v>
      </c>
      <c r="P115" t="s">
        <v>282</v>
      </c>
      <c r="Q115">
        <v>1</v>
      </c>
      <c r="W115">
        <v>0</v>
      </c>
      <c r="X115">
        <v>9060937</v>
      </c>
      <c r="Y115">
        <f>(AT115*48)</f>
        <v>0.48</v>
      </c>
      <c r="AA115">
        <v>0</v>
      </c>
      <c r="AB115">
        <v>1552.57</v>
      </c>
      <c r="AC115">
        <v>619.16</v>
      </c>
      <c r="AD115">
        <v>0</v>
      </c>
      <c r="AE115">
        <v>0</v>
      </c>
      <c r="AF115">
        <v>1552.57</v>
      </c>
      <c r="AG115">
        <v>619.16</v>
      </c>
      <c r="AH115">
        <v>0</v>
      </c>
      <c r="AI115">
        <v>1</v>
      </c>
      <c r="AJ115">
        <v>1</v>
      </c>
      <c r="AK115">
        <v>1</v>
      </c>
      <c r="AL115">
        <v>1</v>
      </c>
      <c r="AM115">
        <v>-2</v>
      </c>
      <c r="AN115">
        <v>0</v>
      </c>
      <c r="AO115">
        <v>1</v>
      </c>
      <c r="AP115">
        <v>1</v>
      </c>
      <c r="AQ115">
        <v>0</v>
      </c>
      <c r="AR115">
        <v>0</v>
      </c>
      <c r="AS115" t="s">
        <v>3</v>
      </c>
      <c r="AT115">
        <v>0.01</v>
      </c>
      <c r="AU115" t="s">
        <v>268</v>
      </c>
      <c r="AV115">
        <v>0</v>
      </c>
      <c r="AW115">
        <v>2</v>
      </c>
      <c r="AX115">
        <v>75704146</v>
      </c>
      <c r="AY115">
        <v>1</v>
      </c>
      <c r="AZ115">
        <v>0</v>
      </c>
      <c r="BA115">
        <v>106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CV115">
        <v>0</v>
      </c>
      <c r="CW115">
        <f>ROUND(Y115*Source!I352*DO115,9)</f>
        <v>0</v>
      </c>
      <c r="CX115">
        <f>ROUND(Y115*Source!I352,9)</f>
        <v>0.14832000000000001</v>
      </c>
      <c r="CY115">
        <f>AB115</f>
        <v>1552.57</v>
      </c>
      <c r="CZ115">
        <f>AF115</f>
        <v>1552.57</v>
      </c>
      <c r="DA115">
        <f>AJ115</f>
        <v>1</v>
      </c>
      <c r="DB115">
        <f>ROUND((ROUND(AT115*CZ115,2)*48),6)</f>
        <v>745.44</v>
      </c>
      <c r="DC115">
        <f>ROUND((ROUND(AT115*AG115,2)*48),6)</f>
        <v>297.12</v>
      </c>
      <c r="DD115" t="s">
        <v>3</v>
      </c>
      <c r="DE115" t="s">
        <v>3</v>
      </c>
      <c r="DF115">
        <f t="shared" si="36"/>
        <v>0</v>
      </c>
      <c r="DG115">
        <f t="shared" si="37"/>
        <v>230.28</v>
      </c>
      <c r="DH115">
        <f t="shared" si="38"/>
        <v>91.83</v>
      </c>
      <c r="DI115">
        <f t="shared" si="39"/>
        <v>0</v>
      </c>
      <c r="DJ115">
        <f>DG115</f>
        <v>230.28</v>
      </c>
      <c r="DK115">
        <v>0</v>
      </c>
      <c r="DL115" t="s">
        <v>3</v>
      </c>
      <c r="DM115">
        <v>0</v>
      </c>
      <c r="DN115" t="s">
        <v>3</v>
      </c>
      <c r="DO115">
        <v>0</v>
      </c>
    </row>
    <row r="116" spans="1:119" x14ac:dyDescent="0.2">
      <c r="A116">
        <f>ROW(Source!A352)</f>
        <v>352</v>
      </c>
      <c r="B116">
        <v>75703208</v>
      </c>
      <c r="C116">
        <v>75704033</v>
      </c>
      <c r="D116">
        <v>75388480</v>
      </c>
      <c r="E116">
        <v>1</v>
      </c>
      <c r="F116">
        <v>1</v>
      </c>
      <c r="G116">
        <v>39</v>
      </c>
      <c r="H116">
        <v>2</v>
      </c>
      <c r="I116" t="s">
        <v>407</v>
      </c>
      <c r="J116" t="s">
        <v>408</v>
      </c>
      <c r="K116" t="s">
        <v>409</v>
      </c>
      <c r="L116">
        <v>1368</v>
      </c>
      <c r="N116">
        <v>1011</v>
      </c>
      <c r="O116" t="s">
        <v>282</v>
      </c>
      <c r="P116" t="s">
        <v>282</v>
      </c>
      <c r="Q116">
        <v>1</v>
      </c>
      <c r="W116">
        <v>0</v>
      </c>
      <c r="X116">
        <v>822486257</v>
      </c>
      <c r="Y116">
        <f>(AT116*48)</f>
        <v>0.38400000000000001</v>
      </c>
      <c r="AA116">
        <v>0</v>
      </c>
      <c r="AB116">
        <v>1566.41</v>
      </c>
      <c r="AC116">
        <v>619.79</v>
      </c>
      <c r="AD116">
        <v>0</v>
      </c>
      <c r="AE116">
        <v>0</v>
      </c>
      <c r="AF116">
        <v>1566.41</v>
      </c>
      <c r="AG116">
        <v>619.79</v>
      </c>
      <c r="AH116">
        <v>0</v>
      </c>
      <c r="AI116">
        <v>1</v>
      </c>
      <c r="AJ116">
        <v>1</v>
      </c>
      <c r="AK116">
        <v>1</v>
      </c>
      <c r="AL116">
        <v>1</v>
      </c>
      <c r="AM116">
        <v>-2</v>
      </c>
      <c r="AN116">
        <v>0</v>
      </c>
      <c r="AO116">
        <v>1</v>
      </c>
      <c r="AP116">
        <v>1</v>
      </c>
      <c r="AQ116">
        <v>0</v>
      </c>
      <c r="AR116">
        <v>0</v>
      </c>
      <c r="AS116" t="s">
        <v>3</v>
      </c>
      <c r="AT116">
        <v>8.0000000000000002E-3</v>
      </c>
      <c r="AU116" t="s">
        <v>268</v>
      </c>
      <c r="AV116">
        <v>0</v>
      </c>
      <c r="AW116">
        <v>2</v>
      </c>
      <c r="AX116">
        <v>75704147</v>
      </c>
      <c r="AY116">
        <v>1</v>
      </c>
      <c r="AZ116">
        <v>0</v>
      </c>
      <c r="BA116">
        <v>107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CV116">
        <v>0</v>
      </c>
      <c r="CW116">
        <f>ROUND(Y116*Source!I352*DO116,9)</f>
        <v>0</v>
      </c>
      <c r="CX116">
        <f>ROUND(Y116*Source!I352,9)</f>
        <v>0.118656</v>
      </c>
      <c r="CY116">
        <f>AB116</f>
        <v>1566.41</v>
      </c>
      <c r="CZ116">
        <f>AF116</f>
        <v>1566.41</v>
      </c>
      <c r="DA116">
        <f>AJ116</f>
        <v>1</v>
      </c>
      <c r="DB116">
        <f>ROUND((ROUND(AT116*CZ116,2)*48),6)</f>
        <v>601.44000000000005</v>
      </c>
      <c r="DC116">
        <f>ROUND((ROUND(AT116*AG116,2)*48),6)</f>
        <v>238.08</v>
      </c>
      <c r="DD116" t="s">
        <v>3</v>
      </c>
      <c r="DE116" t="s">
        <v>3</v>
      </c>
      <c r="DF116">
        <f t="shared" si="36"/>
        <v>0</v>
      </c>
      <c r="DG116">
        <f t="shared" si="37"/>
        <v>185.86</v>
      </c>
      <c r="DH116">
        <f t="shared" si="38"/>
        <v>73.540000000000006</v>
      </c>
      <c r="DI116">
        <f t="shared" si="39"/>
        <v>0</v>
      </c>
      <c r="DJ116">
        <f>DG116</f>
        <v>185.86</v>
      </c>
      <c r="DK116">
        <v>0</v>
      </c>
      <c r="DL116" t="s">
        <v>3</v>
      </c>
      <c r="DM116">
        <v>0</v>
      </c>
      <c r="DN116" t="s">
        <v>3</v>
      </c>
      <c r="DO116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07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ROW(Source!A32)</f>
        <v>32</v>
      </c>
      <c r="B1">
        <v>75704041</v>
      </c>
      <c r="C1">
        <v>75703377</v>
      </c>
      <c r="D1">
        <v>75386788</v>
      </c>
      <c r="E1">
        <v>39</v>
      </c>
      <c r="F1">
        <v>1</v>
      </c>
      <c r="G1">
        <v>39</v>
      </c>
      <c r="H1">
        <v>1</v>
      </c>
      <c r="I1" t="s">
        <v>276</v>
      </c>
      <c r="J1" t="s">
        <v>3</v>
      </c>
      <c r="K1" t="s">
        <v>277</v>
      </c>
      <c r="L1">
        <v>1191</v>
      </c>
      <c r="N1">
        <v>1013</v>
      </c>
      <c r="O1" t="s">
        <v>278</v>
      </c>
      <c r="P1" t="s">
        <v>278</v>
      </c>
      <c r="Q1">
        <v>1</v>
      </c>
      <c r="X1">
        <v>3.13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3</v>
      </c>
      <c r="AG1">
        <v>3.13</v>
      </c>
      <c r="AH1">
        <v>2</v>
      </c>
      <c r="AI1">
        <v>75703378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ROW(Source!A32)</f>
        <v>32</v>
      </c>
      <c r="B2">
        <v>75704042</v>
      </c>
      <c r="C2">
        <v>75703377</v>
      </c>
      <c r="D2">
        <v>75388550</v>
      </c>
      <c r="E2">
        <v>1</v>
      </c>
      <c r="F2">
        <v>1</v>
      </c>
      <c r="G2">
        <v>39</v>
      </c>
      <c r="H2">
        <v>2</v>
      </c>
      <c r="I2" t="s">
        <v>279</v>
      </c>
      <c r="J2" t="s">
        <v>280</v>
      </c>
      <c r="K2" t="s">
        <v>281</v>
      </c>
      <c r="L2">
        <v>1368</v>
      </c>
      <c r="N2">
        <v>1011</v>
      </c>
      <c r="O2" t="s">
        <v>282</v>
      </c>
      <c r="P2" t="s">
        <v>282</v>
      </c>
      <c r="Q2">
        <v>1</v>
      </c>
      <c r="X2">
        <v>1</v>
      </c>
      <c r="Y2">
        <v>0</v>
      </c>
      <c r="Z2">
        <v>7.44</v>
      </c>
      <c r="AA2">
        <v>0.01</v>
      </c>
      <c r="AB2">
        <v>0</v>
      </c>
      <c r="AC2">
        <v>0</v>
      </c>
      <c r="AD2">
        <v>1</v>
      </c>
      <c r="AE2">
        <v>0</v>
      </c>
      <c r="AF2" t="s">
        <v>3</v>
      </c>
      <c r="AG2">
        <v>1</v>
      </c>
      <c r="AH2">
        <v>2</v>
      </c>
      <c r="AI2">
        <v>75703379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ROW(Source!A33)</f>
        <v>33</v>
      </c>
      <c r="B3">
        <v>75704043</v>
      </c>
      <c r="C3">
        <v>75703382</v>
      </c>
      <c r="D3">
        <v>75386788</v>
      </c>
      <c r="E3">
        <v>39</v>
      </c>
      <c r="F3">
        <v>1</v>
      </c>
      <c r="G3">
        <v>39</v>
      </c>
      <c r="H3">
        <v>1</v>
      </c>
      <c r="I3" t="s">
        <v>276</v>
      </c>
      <c r="J3" t="s">
        <v>3</v>
      </c>
      <c r="K3" t="s">
        <v>277</v>
      </c>
      <c r="L3">
        <v>1191</v>
      </c>
      <c r="N3">
        <v>1013</v>
      </c>
      <c r="O3" t="s">
        <v>278</v>
      </c>
      <c r="P3" t="s">
        <v>278</v>
      </c>
      <c r="Q3">
        <v>1</v>
      </c>
      <c r="X3">
        <v>3.77</v>
      </c>
      <c r="Y3">
        <v>0</v>
      </c>
      <c r="Z3">
        <v>0</v>
      </c>
      <c r="AA3">
        <v>0</v>
      </c>
      <c r="AB3">
        <v>0</v>
      </c>
      <c r="AC3">
        <v>0</v>
      </c>
      <c r="AD3">
        <v>1</v>
      </c>
      <c r="AE3">
        <v>1</v>
      </c>
      <c r="AF3" t="s">
        <v>3</v>
      </c>
      <c r="AG3">
        <v>3.77</v>
      </c>
      <c r="AH3">
        <v>2</v>
      </c>
      <c r="AI3">
        <v>75703383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ROW(Source!A33)</f>
        <v>33</v>
      </c>
      <c r="B4">
        <v>75704044</v>
      </c>
      <c r="C4">
        <v>75703382</v>
      </c>
      <c r="D4">
        <v>75386789</v>
      </c>
      <c r="E4">
        <v>39</v>
      </c>
      <c r="F4">
        <v>1</v>
      </c>
      <c r="G4">
        <v>39</v>
      </c>
      <c r="H4">
        <v>3</v>
      </c>
      <c r="I4" t="s">
        <v>283</v>
      </c>
      <c r="J4" t="s">
        <v>3</v>
      </c>
      <c r="K4" t="s">
        <v>284</v>
      </c>
      <c r="L4">
        <v>1348</v>
      </c>
      <c r="N4">
        <v>1009</v>
      </c>
      <c r="O4" t="s">
        <v>56</v>
      </c>
      <c r="P4" t="s">
        <v>56</v>
      </c>
      <c r="Q4">
        <v>1000</v>
      </c>
      <c r="X4">
        <v>0.11</v>
      </c>
      <c r="Y4">
        <v>0</v>
      </c>
      <c r="Z4">
        <v>0</v>
      </c>
      <c r="AA4">
        <v>0</v>
      </c>
      <c r="AB4">
        <v>0</v>
      </c>
      <c r="AC4">
        <v>0</v>
      </c>
      <c r="AD4">
        <v>1</v>
      </c>
      <c r="AE4">
        <v>0</v>
      </c>
      <c r="AF4" t="s">
        <v>3</v>
      </c>
      <c r="AG4">
        <v>0.11</v>
      </c>
      <c r="AH4">
        <v>2</v>
      </c>
      <c r="AI4">
        <v>75703384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ROW(Source!A34)</f>
        <v>34</v>
      </c>
      <c r="B5">
        <v>75704045</v>
      </c>
      <c r="C5">
        <v>75703387</v>
      </c>
      <c r="D5">
        <v>75386788</v>
      </c>
      <c r="E5">
        <v>39</v>
      </c>
      <c r="F5">
        <v>1</v>
      </c>
      <c r="G5">
        <v>39</v>
      </c>
      <c r="H5">
        <v>1</v>
      </c>
      <c r="I5" t="s">
        <v>276</v>
      </c>
      <c r="J5" t="s">
        <v>3</v>
      </c>
      <c r="K5" t="s">
        <v>277</v>
      </c>
      <c r="L5">
        <v>1191</v>
      </c>
      <c r="N5">
        <v>1013</v>
      </c>
      <c r="O5" t="s">
        <v>278</v>
      </c>
      <c r="P5" t="s">
        <v>278</v>
      </c>
      <c r="Q5">
        <v>1</v>
      </c>
      <c r="X5">
        <v>8.8000000000000007</v>
      </c>
      <c r="Y5">
        <v>0</v>
      </c>
      <c r="Z5">
        <v>0</v>
      </c>
      <c r="AA5">
        <v>0</v>
      </c>
      <c r="AB5">
        <v>0</v>
      </c>
      <c r="AC5">
        <v>0</v>
      </c>
      <c r="AD5">
        <v>1</v>
      </c>
      <c r="AE5">
        <v>1</v>
      </c>
      <c r="AF5" t="s">
        <v>3</v>
      </c>
      <c r="AG5">
        <v>8.8000000000000007</v>
      </c>
      <c r="AH5">
        <v>2</v>
      </c>
      <c r="AI5">
        <v>75703388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ROW(Source!A34)</f>
        <v>34</v>
      </c>
      <c r="B6">
        <v>75704046</v>
      </c>
      <c r="C6">
        <v>75703387</v>
      </c>
      <c r="D6">
        <v>75389672</v>
      </c>
      <c r="E6">
        <v>1</v>
      </c>
      <c r="F6">
        <v>1</v>
      </c>
      <c r="G6">
        <v>39</v>
      </c>
      <c r="H6">
        <v>3</v>
      </c>
      <c r="I6" t="s">
        <v>285</v>
      </c>
      <c r="J6" t="s">
        <v>286</v>
      </c>
      <c r="K6" t="s">
        <v>287</v>
      </c>
      <c r="L6">
        <v>1348</v>
      </c>
      <c r="N6">
        <v>1009</v>
      </c>
      <c r="O6" t="s">
        <v>56</v>
      </c>
      <c r="P6" t="s">
        <v>56</v>
      </c>
      <c r="Q6">
        <v>1000</v>
      </c>
      <c r="X6">
        <v>4.2000000000000002E-4</v>
      </c>
      <c r="Y6">
        <v>95976.83</v>
      </c>
      <c r="Z6">
        <v>0</v>
      </c>
      <c r="AA6">
        <v>0</v>
      </c>
      <c r="AB6">
        <v>0</v>
      </c>
      <c r="AC6">
        <v>0</v>
      </c>
      <c r="AD6">
        <v>1</v>
      </c>
      <c r="AE6">
        <v>0</v>
      </c>
      <c r="AF6" t="s">
        <v>3</v>
      </c>
      <c r="AG6">
        <v>4.2000000000000002E-4</v>
      </c>
      <c r="AH6">
        <v>2</v>
      </c>
      <c r="AI6">
        <v>75703389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ROW(Source!A34)</f>
        <v>34</v>
      </c>
      <c r="B7">
        <v>75704047</v>
      </c>
      <c r="C7">
        <v>75703387</v>
      </c>
      <c r="D7">
        <v>75393932</v>
      </c>
      <c r="E7">
        <v>1</v>
      </c>
      <c r="F7">
        <v>1</v>
      </c>
      <c r="G7">
        <v>39</v>
      </c>
      <c r="H7">
        <v>3</v>
      </c>
      <c r="I7" t="s">
        <v>40</v>
      </c>
      <c r="J7" t="s">
        <v>42</v>
      </c>
      <c r="K7" t="s">
        <v>41</v>
      </c>
      <c r="L7">
        <v>1301</v>
      </c>
      <c r="N7">
        <v>1003</v>
      </c>
      <c r="O7" t="s">
        <v>36</v>
      </c>
      <c r="P7" t="s">
        <v>36</v>
      </c>
      <c r="Q7">
        <v>1</v>
      </c>
      <c r="X7">
        <v>105</v>
      </c>
      <c r="Y7">
        <v>37.29</v>
      </c>
      <c r="Z7">
        <v>0</v>
      </c>
      <c r="AA7">
        <v>0</v>
      </c>
      <c r="AB7">
        <v>0</v>
      </c>
      <c r="AC7">
        <v>0</v>
      </c>
      <c r="AD7">
        <v>1</v>
      </c>
      <c r="AE7">
        <v>0</v>
      </c>
      <c r="AF7" t="s">
        <v>3</v>
      </c>
      <c r="AG7">
        <v>105</v>
      </c>
      <c r="AH7">
        <v>2</v>
      </c>
      <c r="AI7">
        <v>75703396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ROW(Source!A37)</f>
        <v>37</v>
      </c>
      <c r="B8">
        <v>75704048</v>
      </c>
      <c r="C8">
        <v>75703397</v>
      </c>
      <c r="D8">
        <v>75386788</v>
      </c>
      <c r="E8">
        <v>39</v>
      </c>
      <c r="F8">
        <v>1</v>
      </c>
      <c r="G8">
        <v>39</v>
      </c>
      <c r="H8">
        <v>1</v>
      </c>
      <c r="I8" t="s">
        <v>276</v>
      </c>
      <c r="J8" t="s">
        <v>3</v>
      </c>
      <c r="K8" t="s">
        <v>277</v>
      </c>
      <c r="L8">
        <v>1191</v>
      </c>
      <c r="N8">
        <v>1013</v>
      </c>
      <c r="O8" t="s">
        <v>278</v>
      </c>
      <c r="P8" t="s">
        <v>278</v>
      </c>
      <c r="Q8">
        <v>1</v>
      </c>
      <c r="X8">
        <v>12.88</v>
      </c>
      <c r="Y8">
        <v>0</v>
      </c>
      <c r="Z8">
        <v>0</v>
      </c>
      <c r="AA8">
        <v>0</v>
      </c>
      <c r="AB8">
        <v>0</v>
      </c>
      <c r="AC8">
        <v>0</v>
      </c>
      <c r="AD8">
        <v>1</v>
      </c>
      <c r="AE8">
        <v>1</v>
      </c>
      <c r="AF8" t="s">
        <v>3</v>
      </c>
      <c r="AG8">
        <v>12.88</v>
      </c>
      <c r="AH8">
        <v>2</v>
      </c>
      <c r="AI8">
        <v>75703398</v>
      </c>
      <c r="AJ8">
        <v>9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ROW(Source!A37)</f>
        <v>37</v>
      </c>
      <c r="B9">
        <v>75704049</v>
      </c>
      <c r="C9">
        <v>75703397</v>
      </c>
      <c r="D9">
        <v>75389061</v>
      </c>
      <c r="E9">
        <v>1</v>
      </c>
      <c r="F9">
        <v>1</v>
      </c>
      <c r="G9">
        <v>39</v>
      </c>
      <c r="H9">
        <v>3</v>
      </c>
      <c r="I9" t="s">
        <v>54</v>
      </c>
      <c r="J9" t="s">
        <v>57</v>
      </c>
      <c r="K9" t="s">
        <v>55</v>
      </c>
      <c r="L9">
        <v>1348</v>
      </c>
      <c r="N9">
        <v>1009</v>
      </c>
      <c r="O9" t="s">
        <v>56</v>
      </c>
      <c r="P9" t="s">
        <v>56</v>
      </c>
      <c r="Q9">
        <v>1000</v>
      </c>
      <c r="X9">
        <v>2.0799999999999999E-2</v>
      </c>
      <c r="Y9">
        <v>247397.04</v>
      </c>
      <c r="Z9">
        <v>0</v>
      </c>
      <c r="AA9">
        <v>0</v>
      </c>
      <c r="AB9">
        <v>0</v>
      </c>
      <c r="AC9">
        <v>0</v>
      </c>
      <c r="AD9">
        <v>1</v>
      </c>
      <c r="AE9">
        <v>0</v>
      </c>
      <c r="AF9" t="s">
        <v>3</v>
      </c>
      <c r="AG9">
        <v>2.0799999999999999E-2</v>
      </c>
      <c r="AH9">
        <v>2</v>
      </c>
      <c r="AI9">
        <v>75703404</v>
      </c>
      <c r="AJ9">
        <v>10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ROW(Source!A40)</f>
        <v>40</v>
      </c>
      <c r="B10">
        <v>75704050</v>
      </c>
      <c r="C10">
        <v>75703405</v>
      </c>
      <c r="D10">
        <v>75386788</v>
      </c>
      <c r="E10">
        <v>39</v>
      </c>
      <c r="F10">
        <v>1</v>
      </c>
      <c r="G10">
        <v>39</v>
      </c>
      <c r="H10">
        <v>1</v>
      </c>
      <c r="I10" t="s">
        <v>276</v>
      </c>
      <c r="J10" t="s">
        <v>3</v>
      </c>
      <c r="K10" t="s">
        <v>277</v>
      </c>
      <c r="L10">
        <v>1191</v>
      </c>
      <c r="N10">
        <v>1013</v>
      </c>
      <c r="O10" t="s">
        <v>278</v>
      </c>
      <c r="P10" t="s">
        <v>278</v>
      </c>
      <c r="Q10">
        <v>1</v>
      </c>
      <c r="X10">
        <v>19.14</v>
      </c>
      <c r="Y10">
        <v>0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1</v>
      </c>
      <c r="AF10" t="s">
        <v>3</v>
      </c>
      <c r="AG10">
        <v>19.14</v>
      </c>
      <c r="AH10">
        <v>2</v>
      </c>
      <c r="AI10">
        <v>75703406</v>
      </c>
      <c r="AJ10">
        <v>12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ROW(Source!A40)</f>
        <v>40</v>
      </c>
      <c r="B11">
        <v>75704051</v>
      </c>
      <c r="C11">
        <v>75703405</v>
      </c>
      <c r="D11">
        <v>75388585</v>
      </c>
      <c r="E11">
        <v>1</v>
      </c>
      <c r="F11">
        <v>1</v>
      </c>
      <c r="G11">
        <v>39</v>
      </c>
      <c r="H11">
        <v>2</v>
      </c>
      <c r="I11" t="s">
        <v>288</v>
      </c>
      <c r="J11" t="s">
        <v>289</v>
      </c>
      <c r="K11" t="s">
        <v>290</v>
      </c>
      <c r="L11">
        <v>1368</v>
      </c>
      <c r="N11">
        <v>1011</v>
      </c>
      <c r="O11" t="s">
        <v>282</v>
      </c>
      <c r="P11" t="s">
        <v>282</v>
      </c>
      <c r="Q11">
        <v>1</v>
      </c>
      <c r="X11">
        <v>5.36</v>
      </c>
      <c r="Y11">
        <v>0</v>
      </c>
      <c r="Z11">
        <v>6.13</v>
      </c>
      <c r="AA11">
        <v>1.91</v>
      </c>
      <c r="AB11">
        <v>0</v>
      </c>
      <c r="AC11">
        <v>0</v>
      </c>
      <c r="AD11">
        <v>1</v>
      </c>
      <c r="AE11">
        <v>0</v>
      </c>
      <c r="AF11" t="s">
        <v>3</v>
      </c>
      <c r="AG11">
        <v>5.36</v>
      </c>
      <c r="AH11">
        <v>2</v>
      </c>
      <c r="AI11">
        <v>75703407</v>
      </c>
      <c r="AJ11">
        <v>13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ROW(Source!A40)</f>
        <v>40</v>
      </c>
      <c r="B12">
        <v>75704052</v>
      </c>
      <c r="C12">
        <v>75703405</v>
      </c>
      <c r="D12">
        <v>75388528</v>
      </c>
      <c r="E12">
        <v>1</v>
      </c>
      <c r="F12">
        <v>1</v>
      </c>
      <c r="G12">
        <v>39</v>
      </c>
      <c r="H12">
        <v>2</v>
      </c>
      <c r="I12" t="s">
        <v>291</v>
      </c>
      <c r="J12" t="s">
        <v>292</v>
      </c>
      <c r="K12" t="s">
        <v>293</v>
      </c>
      <c r="L12">
        <v>1368</v>
      </c>
      <c r="N12">
        <v>1011</v>
      </c>
      <c r="O12" t="s">
        <v>282</v>
      </c>
      <c r="P12" t="s">
        <v>282</v>
      </c>
      <c r="Q12">
        <v>1</v>
      </c>
      <c r="X12">
        <v>0.45</v>
      </c>
      <c r="Y12">
        <v>0</v>
      </c>
      <c r="Z12">
        <v>6.09</v>
      </c>
      <c r="AA12">
        <v>0.01</v>
      </c>
      <c r="AB12">
        <v>0</v>
      </c>
      <c r="AC12">
        <v>0</v>
      </c>
      <c r="AD12">
        <v>1</v>
      </c>
      <c r="AE12">
        <v>0</v>
      </c>
      <c r="AF12" t="s">
        <v>3</v>
      </c>
      <c r="AG12">
        <v>0.45</v>
      </c>
      <c r="AH12">
        <v>2</v>
      </c>
      <c r="AI12">
        <v>75703408</v>
      </c>
      <c r="AJ12">
        <v>14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ROW(Source!A40)</f>
        <v>40</v>
      </c>
      <c r="B13">
        <v>75704053</v>
      </c>
      <c r="C13">
        <v>75703405</v>
      </c>
      <c r="D13">
        <v>75388550</v>
      </c>
      <c r="E13">
        <v>1</v>
      </c>
      <c r="F13">
        <v>1</v>
      </c>
      <c r="G13">
        <v>39</v>
      </c>
      <c r="H13">
        <v>2</v>
      </c>
      <c r="I13" t="s">
        <v>279</v>
      </c>
      <c r="J13" t="s">
        <v>280</v>
      </c>
      <c r="K13" t="s">
        <v>281</v>
      </c>
      <c r="L13">
        <v>1368</v>
      </c>
      <c r="N13">
        <v>1011</v>
      </c>
      <c r="O13" t="s">
        <v>282</v>
      </c>
      <c r="P13" t="s">
        <v>282</v>
      </c>
      <c r="Q13">
        <v>1</v>
      </c>
      <c r="X13">
        <v>7.3</v>
      </c>
      <c r="Y13">
        <v>0</v>
      </c>
      <c r="Z13">
        <v>7.44</v>
      </c>
      <c r="AA13">
        <v>0.01</v>
      </c>
      <c r="AB13">
        <v>0</v>
      </c>
      <c r="AC13">
        <v>0</v>
      </c>
      <c r="AD13">
        <v>1</v>
      </c>
      <c r="AE13">
        <v>0</v>
      </c>
      <c r="AF13" t="s">
        <v>3</v>
      </c>
      <c r="AG13">
        <v>7.3</v>
      </c>
      <c r="AH13">
        <v>2</v>
      </c>
      <c r="AI13">
        <v>75703409</v>
      </c>
      <c r="AJ13">
        <v>15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ROW(Source!A40)</f>
        <v>40</v>
      </c>
      <c r="B14">
        <v>75704054</v>
      </c>
      <c r="C14">
        <v>75703405</v>
      </c>
      <c r="D14">
        <v>75389658</v>
      </c>
      <c r="E14">
        <v>1</v>
      </c>
      <c r="F14">
        <v>1</v>
      </c>
      <c r="G14">
        <v>39</v>
      </c>
      <c r="H14">
        <v>3</v>
      </c>
      <c r="I14" t="s">
        <v>294</v>
      </c>
      <c r="J14" t="s">
        <v>295</v>
      </c>
      <c r="K14" t="s">
        <v>296</v>
      </c>
      <c r="L14">
        <v>1346</v>
      </c>
      <c r="N14">
        <v>1009</v>
      </c>
      <c r="O14" t="s">
        <v>51</v>
      </c>
      <c r="P14" t="s">
        <v>51</v>
      </c>
      <c r="Q14">
        <v>1</v>
      </c>
      <c r="X14">
        <v>0.94</v>
      </c>
      <c r="Y14">
        <v>263.45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0</v>
      </c>
      <c r="AF14" t="s">
        <v>3</v>
      </c>
      <c r="AG14">
        <v>0.94</v>
      </c>
      <c r="AH14">
        <v>2</v>
      </c>
      <c r="AI14">
        <v>75703410</v>
      </c>
      <c r="AJ14">
        <v>16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ROW(Source!A40)</f>
        <v>40</v>
      </c>
      <c r="B15">
        <v>75704055</v>
      </c>
      <c r="C15">
        <v>75703405</v>
      </c>
      <c r="D15">
        <v>75393446</v>
      </c>
      <c r="E15">
        <v>1</v>
      </c>
      <c r="F15">
        <v>1</v>
      </c>
      <c r="G15">
        <v>39</v>
      </c>
      <c r="H15">
        <v>3</v>
      </c>
      <c r="I15" t="s">
        <v>297</v>
      </c>
      <c r="J15" t="s">
        <v>298</v>
      </c>
      <c r="K15" t="s">
        <v>299</v>
      </c>
      <c r="L15">
        <v>1301</v>
      </c>
      <c r="N15">
        <v>1003</v>
      </c>
      <c r="O15" t="s">
        <v>36</v>
      </c>
      <c r="P15" t="s">
        <v>36</v>
      </c>
      <c r="Q15">
        <v>1</v>
      </c>
      <c r="X15">
        <v>105</v>
      </c>
      <c r="Y15">
        <v>154.56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0</v>
      </c>
      <c r="AF15" t="s">
        <v>3</v>
      </c>
      <c r="AG15">
        <v>105</v>
      </c>
      <c r="AH15">
        <v>2</v>
      </c>
      <c r="AI15">
        <v>75703411</v>
      </c>
      <c r="AJ15">
        <v>17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ROW(Source!A41)</f>
        <v>41</v>
      </c>
      <c r="B16">
        <v>75704056</v>
      </c>
      <c r="C16">
        <v>75703418</v>
      </c>
      <c r="D16">
        <v>75386788</v>
      </c>
      <c r="E16">
        <v>39</v>
      </c>
      <c r="F16">
        <v>1</v>
      </c>
      <c r="G16">
        <v>39</v>
      </c>
      <c r="H16">
        <v>1</v>
      </c>
      <c r="I16" t="s">
        <v>276</v>
      </c>
      <c r="J16" t="s">
        <v>3</v>
      </c>
      <c r="K16" t="s">
        <v>277</v>
      </c>
      <c r="L16">
        <v>1191</v>
      </c>
      <c r="N16">
        <v>1013</v>
      </c>
      <c r="O16" t="s">
        <v>278</v>
      </c>
      <c r="P16" t="s">
        <v>278</v>
      </c>
      <c r="Q16">
        <v>1</v>
      </c>
      <c r="X16">
        <v>11.39</v>
      </c>
      <c r="Y16">
        <v>0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1</v>
      </c>
      <c r="AF16" t="s">
        <v>3</v>
      </c>
      <c r="AG16">
        <v>11.39</v>
      </c>
      <c r="AH16">
        <v>2</v>
      </c>
      <c r="AI16">
        <v>75703419</v>
      </c>
      <c r="AJ16">
        <v>18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ROW(Source!A41)</f>
        <v>41</v>
      </c>
      <c r="B17">
        <v>75704057</v>
      </c>
      <c r="C17">
        <v>75703418</v>
      </c>
      <c r="D17">
        <v>75386789</v>
      </c>
      <c r="E17">
        <v>39</v>
      </c>
      <c r="F17">
        <v>1</v>
      </c>
      <c r="G17">
        <v>39</v>
      </c>
      <c r="H17">
        <v>3</v>
      </c>
      <c r="I17" t="s">
        <v>283</v>
      </c>
      <c r="J17" t="s">
        <v>3</v>
      </c>
      <c r="K17" t="s">
        <v>284</v>
      </c>
      <c r="L17">
        <v>1348</v>
      </c>
      <c r="N17">
        <v>1009</v>
      </c>
      <c r="O17" t="s">
        <v>56</v>
      </c>
      <c r="P17" t="s">
        <v>56</v>
      </c>
      <c r="Q17">
        <v>1000</v>
      </c>
      <c r="X17">
        <v>0.47</v>
      </c>
      <c r="Y17">
        <v>0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0</v>
      </c>
      <c r="AF17" t="s">
        <v>3</v>
      </c>
      <c r="AG17">
        <v>0.47</v>
      </c>
      <c r="AH17">
        <v>2</v>
      </c>
      <c r="AI17">
        <v>75703420</v>
      </c>
      <c r="AJ17">
        <v>19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ROW(Source!A42)</f>
        <v>42</v>
      </c>
      <c r="B18">
        <v>75704058</v>
      </c>
      <c r="C18">
        <v>75703423</v>
      </c>
      <c r="D18">
        <v>75386788</v>
      </c>
      <c r="E18">
        <v>39</v>
      </c>
      <c r="F18">
        <v>1</v>
      </c>
      <c r="G18">
        <v>39</v>
      </c>
      <c r="H18">
        <v>1</v>
      </c>
      <c r="I18" t="s">
        <v>276</v>
      </c>
      <c r="J18" t="s">
        <v>3</v>
      </c>
      <c r="K18" t="s">
        <v>277</v>
      </c>
      <c r="L18">
        <v>1191</v>
      </c>
      <c r="N18">
        <v>1013</v>
      </c>
      <c r="O18" t="s">
        <v>278</v>
      </c>
      <c r="P18" t="s">
        <v>278</v>
      </c>
      <c r="Q18">
        <v>1</v>
      </c>
      <c r="X18">
        <v>37.97</v>
      </c>
      <c r="Y18">
        <v>0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1</v>
      </c>
      <c r="AF18" t="s">
        <v>3</v>
      </c>
      <c r="AG18">
        <v>37.97</v>
      </c>
      <c r="AH18">
        <v>2</v>
      </c>
      <c r="AI18">
        <v>75703424</v>
      </c>
      <c r="AJ18">
        <v>20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ROW(Source!A42)</f>
        <v>42</v>
      </c>
      <c r="B19">
        <v>75704059</v>
      </c>
      <c r="C19">
        <v>75703423</v>
      </c>
      <c r="D19">
        <v>75388182</v>
      </c>
      <c r="E19">
        <v>1</v>
      </c>
      <c r="F19">
        <v>1</v>
      </c>
      <c r="G19">
        <v>39</v>
      </c>
      <c r="H19">
        <v>2</v>
      </c>
      <c r="I19" t="s">
        <v>300</v>
      </c>
      <c r="J19" t="s">
        <v>301</v>
      </c>
      <c r="K19" t="s">
        <v>302</v>
      </c>
      <c r="L19">
        <v>1368</v>
      </c>
      <c r="N19">
        <v>1011</v>
      </c>
      <c r="O19" t="s">
        <v>282</v>
      </c>
      <c r="P19" t="s">
        <v>282</v>
      </c>
      <c r="Q19">
        <v>1</v>
      </c>
      <c r="X19">
        <v>3</v>
      </c>
      <c r="Y19">
        <v>0</v>
      </c>
      <c r="Z19">
        <v>56.19</v>
      </c>
      <c r="AA19">
        <v>0.31</v>
      </c>
      <c r="AB19">
        <v>0</v>
      </c>
      <c r="AC19">
        <v>0</v>
      </c>
      <c r="AD19">
        <v>1</v>
      </c>
      <c r="AE19">
        <v>0</v>
      </c>
      <c r="AF19" t="s">
        <v>3</v>
      </c>
      <c r="AG19">
        <v>3</v>
      </c>
      <c r="AH19">
        <v>2</v>
      </c>
      <c r="AI19">
        <v>75703425</v>
      </c>
      <c r="AJ19">
        <v>21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ROW(Source!A42)</f>
        <v>42</v>
      </c>
      <c r="B20">
        <v>75704060</v>
      </c>
      <c r="C20">
        <v>75703423</v>
      </c>
      <c r="D20">
        <v>75388586</v>
      </c>
      <c r="E20">
        <v>1</v>
      </c>
      <c r="F20">
        <v>1</v>
      </c>
      <c r="G20">
        <v>39</v>
      </c>
      <c r="H20">
        <v>2</v>
      </c>
      <c r="I20" t="s">
        <v>303</v>
      </c>
      <c r="J20" t="s">
        <v>304</v>
      </c>
      <c r="K20" t="s">
        <v>305</v>
      </c>
      <c r="L20">
        <v>1368</v>
      </c>
      <c r="N20">
        <v>1011</v>
      </c>
      <c r="O20" t="s">
        <v>282</v>
      </c>
      <c r="P20" t="s">
        <v>282</v>
      </c>
      <c r="Q20">
        <v>1</v>
      </c>
      <c r="X20">
        <v>4.1500000000000004</v>
      </c>
      <c r="Y20">
        <v>0</v>
      </c>
      <c r="Z20">
        <v>10.7</v>
      </c>
      <c r="AA20">
        <v>1.91</v>
      </c>
      <c r="AB20">
        <v>0</v>
      </c>
      <c r="AC20">
        <v>0</v>
      </c>
      <c r="AD20">
        <v>1</v>
      </c>
      <c r="AE20">
        <v>0</v>
      </c>
      <c r="AF20" t="s">
        <v>3</v>
      </c>
      <c r="AG20">
        <v>4.1500000000000004</v>
      </c>
      <c r="AH20">
        <v>2</v>
      </c>
      <c r="AI20">
        <v>75703426</v>
      </c>
      <c r="AJ20">
        <v>22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ROW(Source!A42)</f>
        <v>42</v>
      </c>
      <c r="B21">
        <v>75704061</v>
      </c>
      <c r="C21">
        <v>75703423</v>
      </c>
      <c r="D21">
        <v>75387866</v>
      </c>
      <c r="E21">
        <v>1</v>
      </c>
      <c r="F21">
        <v>1</v>
      </c>
      <c r="G21">
        <v>39</v>
      </c>
      <c r="H21">
        <v>2</v>
      </c>
      <c r="I21" t="s">
        <v>306</v>
      </c>
      <c r="J21" t="s">
        <v>307</v>
      </c>
      <c r="K21" t="s">
        <v>308</v>
      </c>
      <c r="L21">
        <v>1368</v>
      </c>
      <c r="N21">
        <v>1011</v>
      </c>
      <c r="O21" t="s">
        <v>282</v>
      </c>
      <c r="P21" t="s">
        <v>282</v>
      </c>
      <c r="Q21">
        <v>1</v>
      </c>
      <c r="X21">
        <v>0.02</v>
      </c>
      <c r="Y21">
        <v>0</v>
      </c>
      <c r="Z21">
        <v>1472.88</v>
      </c>
      <c r="AA21">
        <v>893.16</v>
      </c>
      <c r="AB21">
        <v>0</v>
      </c>
      <c r="AC21">
        <v>0</v>
      </c>
      <c r="AD21">
        <v>1</v>
      </c>
      <c r="AE21">
        <v>0</v>
      </c>
      <c r="AF21" t="s">
        <v>3</v>
      </c>
      <c r="AG21">
        <v>0.02</v>
      </c>
      <c r="AH21">
        <v>2</v>
      </c>
      <c r="AI21">
        <v>75703427</v>
      </c>
      <c r="AJ21">
        <v>23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ROW(Source!A42)</f>
        <v>42</v>
      </c>
      <c r="B22">
        <v>75704062</v>
      </c>
      <c r="C22">
        <v>75703423</v>
      </c>
      <c r="D22">
        <v>75390588</v>
      </c>
      <c r="E22">
        <v>1</v>
      </c>
      <c r="F22">
        <v>1</v>
      </c>
      <c r="G22">
        <v>39</v>
      </c>
      <c r="H22">
        <v>3</v>
      </c>
      <c r="I22" t="s">
        <v>309</v>
      </c>
      <c r="J22" t="s">
        <v>310</v>
      </c>
      <c r="K22" t="s">
        <v>311</v>
      </c>
      <c r="L22">
        <v>1339</v>
      </c>
      <c r="N22">
        <v>1007</v>
      </c>
      <c r="O22" t="s">
        <v>312</v>
      </c>
      <c r="P22" t="s">
        <v>312</v>
      </c>
      <c r="Q22">
        <v>1</v>
      </c>
      <c r="X22">
        <v>0.30199999999999999</v>
      </c>
      <c r="Y22">
        <v>49.83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0</v>
      </c>
      <c r="AF22" t="s">
        <v>3</v>
      </c>
      <c r="AG22">
        <v>0.30199999999999999</v>
      </c>
      <c r="AH22">
        <v>2</v>
      </c>
      <c r="AI22">
        <v>75703428</v>
      </c>
      <c r="AJ22">
        <v>24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ROW(Source!A42)</f>
        <v>42</v>
      </c>
      <c r="B23">
        <v>75704063</v>
      </c>
      <c r="C23">
        <v>75703423</v>
      </c>
      <c r="D23">
        <v>75390808</v>
      </c>
      <c r="E23">
        <v>1</v>
      </c>
      <c r="F23">
        <v>1</v>
      </c>
      <c r="G23">
        <v>39</v>
      </c>
      <c r="H23">
        <v>3</v>
      </c>
      <c r="I23" t="s">
        <v>313</v>
      </c>
      <c r="J23" t="s">
        <v>314</v>
      </c>
      <c r="K23" t="s">
        <v>315</v>
      </c>
      <c r="L23">
        <v>1327</v>
      </c>
      <c r="N23">
        <v>1005</v>
      </c>
      <c r="O23" t="s">
        <v>76</v>
      </c>
      <c r="P23" t="s">
        <v>76</v>
      </c>
      <c r="Q23">
        <v>1</v>
      </c>
      <c r="X23">
        <v>10</v>
      </c>
      <c r="Y23">
        <v>10.62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0</v>
      </c>
      <c r="AF23" t="s">
        <v>3</v>
      </c>
      <c r="AG23">
        <v>10</v>
      </c>
      <c r="AH23">
        <v>2</v>
      </c>
      <c r="AI23">
        <v>75703429</v>
      </c>
      <c r="AJ23">
        <v>25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ROW(Source!A42)</f>
        <v>42</v>
      </c>
      <c r="B24">
        <v>75704064</v>
      </c>
      <c r="C24">
        <v>75703423</v>
      </c>
      <c r="D24">
        <v>75389157</v>
      </c>
      <c r="E24">
        <v>1</v>
      </c>
      <c r="F24">
        <v>1</v>
      </c>
      <c r="G24">
        <v>39</v>
      </c>
      <c r="H24">
        <v>3</v>
      </c>
      <c r="I24" t="s">
        <v>316</v>
      </c>
      <c r="J24" t="s">
        <v>317</v>
      </c>
      <c r="K24" t="s">
        <v>318</v>
      </c>
      <c r="L24">
        <v>1346</v>
      </c>
      <c r="N24">
        <v>1009</v>
      </c>
      <c r="O24" t="s">
        <v>51</v>
      </c>
      <c r="P24" t="s">
        <v>51</v>
      </c>
      <c r="Q24">
        <v>1</v>
      </c>
      <c r="X24">
        <v>20</v>
      </c>
      <c r="Y24">
        <v>915.75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0</v>
      </c>
      <c r="AF24" t="s">
        <v>3</v>
      </c>
      <c r="AG24">
        <v>20</v>
      </c>
      <c r="AH24">
        <v>2</v>
      </c>
      <c r="AI24">
        <v>75703430</v>
      </c>
      <c r="AJ24">
        <v>26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ROW(Source!A42)</f>
        <v>42</v>
      </c>
      <c r="B25">
        <v>75704065</v>
      </c>
      <c r="C25">
        <v>75703423</v>
      </c>
      <c r="D25">
        <v>75391767</v>
      </c>
      <c r="E25">
        <v>1</v>
      </c>
      <c r="F25">
        <v>1</v>
      </c>
      <c r="G25">
        <v>39</v>
      </c>
      <c r="H25">
        <v>3</v>
      </c>
      <c r="I25" t="s">
        <v>319</v>
      </c>
      <c r="J25" t="s">
        <v>320</v>
      </c>
      <c r="K25" t="s">
        <v>321</v>
      </c>
      <c r="L25">
        <v>1348</v>
      </c>
      <c r="N25">
        <v>1009</v>
      </c>
      <c r="O25" t="s">
        <v>56</v>
      </c>
      <c r="P25" t="s">
        <v>56</v>
      </c>
      <c r="Q25">
        <v>1000</v>
      </c>
      <c r="X25">
        <v>0.84199999999999997</v>
      </c>
      <c r="Y25">
        <v>37996.660000000003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0</v>
      </c>
      <c r="AF25" t="s">
        <v>3</v>
      </c>
      <c r="AG25">
        <v>0.84199999999999997</v>
      </c>
      <c r="AH25">
        <v>2</v>
      </c>
      <c r="AI25">
        <v>75703431</v>
      </c>
      <c r="AJ25">
        <v>27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ROW(Source!A43)</f>
        <v>43</v>
      </c>
      <c r="B26">
        <v>75704066</v>
      </c>
      <c r="C26">
        <v>75703440</v>
      </c>
      <c r="D26">
        <v>75386788</v>
      </c>
      <c r="E26">
        <v>39</v>
      </c>
      <c r="F26">
        <v>1</v>
      </c>
      <c r="G26">
        <v>39</v>
      </c>
      <c r="H26">
        <v>1</v>
      </c>
      <c r="I26" t="s">
        <v>276</v>
      </c>
      <c r="J26" t="s">
        <v>3</v>
      </c>
      <c r="K26" t="s">
        <v>277</v>
      </c>
      <c r="L26">
        <v>1191</v>
      </c>
      <c r="N26">
        <v>1013</v>
      </c>
      <c r="O26" t="s">
        <v>278</v>
      </c>
      <c r="P26" t="s">
        <v>278</v>
      </c>
      <c r="Q26">
        <v>1</v>
      </c>
      <c r="X26">
        <v>29.59</v>
      </c>
      <c r="Y26">
        <v>0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1</v>
      </c>
      <c r="AF26" t="s">
        <v>3</v>
      </c>
      <c r="AG26">
        <v>29.59</v>
      </c>
      <c r="AH26">
        <v>2</v>
      </c>
      <c r="AI26">
        <v>75703441</v>
      </c>
      <c r="AJ26">
        <v>28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ROW(Source!A43)</f>
        <v>43</v>
      </c>
      <c r="B27">
        <v>75704067</v>
      </c>
      <c r="C27">
        <v>75703440</v>
      </c>
      <c r="D27">
        <v>75388182</v>
      </c>
      <c r="E27">
        <v>1</v>
      </c>
      <c r="F27">
        <v>1</v>
      </c>
      <c r="G27">
        <v>39</v>
      </c>
      <c r="H27">
        <v>2</v>
      </c>
      <c r="I27" t="s">
        <v>300</v>
      </c>
      <c r="J27" t="s">
        <v>301</v>
      </c>
      <c r="K27" t="s">
        <v>302</v>
      </c>
      <c r="L27">
        <v>1368</v>
      </c>
      <c r="N27">
        <v>1011</v>
      </c>
      <c r="O27" t="s">
        <v>282</v>
      </c>
      <c r="P27" t="s">
        <v>282</v>
      </c>
      <c r="Q27">
        <v>1</v>
      </c>
      <c r="X27">
        <v>6.64</v>
      </c>
      <c r="Y27">
        <v>0</v>
      </c>
      <c r="Z27">
        <v>56.19</v>
      </c>
      <c r="AA27">
        <v>0.31</v>
      </c>
      <c r="AB27">
        <v>0</v>
      </c>
      <c r="AC27">
        <v>0</v>
      </c>
      <c r="AD27">
        <v>1</v>
      </c>
      <c r="AE27">
        <v>0</v>
      </c>
      <c r="AF27" t="s">
        <v>3</v>
      </c>
      <c r="AG27">
        <v>6.64</v>
      </c>
      <c r="AH27">
        <v>2</v>
      </c>
      <c r="AI27">
        <v>75703442</v>
      </c>
      <c r="AJ27">
        <v>29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ROW(Source!A43)</f>
        <v>43</v>
      </c>
      <c r="B28">
        <v>75704068</v>
      </c>
      <c r="C28">
        <v>75703440</v>
      </c>
      <c r="D28">
        <v>75389982</v>
      </c>
      <c r="E28">
        <v>1</v>
      </c>
      <c r="F28">
        <v>1</v>
      </c>
      <c r="G28">
        <v>39</v>
      </c>
      <c r="H28">
        <v>3</v>
      </c>
      <c r="I28" t="s">
        <v>79</v>
      </c>
      <c r="J28" t="s">
        <v>81</v>
      </c>
      <c r="K28" t="s">
        <v>80</v>
      </c>
      <c r="L28">
        <v>1327</v>
      </c>
      <c r="N28">
        <v>1005</v>
      </c>
      <c r="O28" t="s">
        <v>76</v>
      </c>
      <c r="P28" t="s">
        <v>76</v>
      </c>
      <c r="Q28">
        <v>1</v>
      </c>
      <c r="X28">
        <v>103</v>
      </c>
      <c r="Y28">
        <v>20.420000000000002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0</v>
      </c>
      <c r="AF28" t="s">
        <v>3</v>
      </c>
      <c r="AG28">
        <v>103</v>
      </c>
      <c r="AH28">
        <v>2</v>
      </c>
      <c r="AI28">
        <v>75703453</v>
      </c>
      <c r="AJ28">
        <v>30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ROW(Source!A43)</f>
        <v>43</v>
      </c>
      <c r="B29">
        <v>75704069</v>
      </c>
      <c r="C29">
        <v>75703440</v>
      </c>
      <c r="D29">
        <v>75390660</v>
      </c>
      <c r="E29">
        <v>1</v>
      </c>
      <c r="F29">
        <v>1</v>
      </c>
      <c r="G29">
        <v>39</v>
      </c>
      <c r="H29">
        <v>3</v>
      </c>
      <c r="I29" t="s">
        <v>322</v>
      </c>
      <c r="J29" t="s">
        <v>323</v>
      </c>
      <c r="K29" t="s">
        <v>324</v>
      </c>
      <c r="L29">
        <v>1346</v>
      </c>
      <c r="N29">
        <v>1009</v>
      </c>
      <c r="O29" t="s">
        <v>51</v>
      </c>
      <c r="P29" t="s">
        <v>51</v>
      </c>
      <c r="Q29">
        <v>1</v>
      </c>
      <c r="X29">
        <v>30.9</v>
      </c>
      <c r="Y29">
        <v>221.14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0</v>
      </c>
      <c r="AF29" t="s">
        <v>3</v>
      </c>
      <c r="AG29">
        <v>30.9</v>
      </c>
      <c r="AH29">
        <v>2</v>
      </c>
      <c r="AI29">
        <v>75703443</v>
      </c>
      <c r="AJ29">
        <v>31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ROW(Source!A43)</f>
        <v>43</v>
      </c>
      <c r="B30">
        <v>75704070</v>
      </c>
      <c r="C30">
        <v>75703440</v>
      </c>
      <c r="D30">
        <v>75389139</v>
      </c>
      <c r="E30">
        <v>1</v>
      </c>
      <c r="F30">
        <v>1</v>
      </c>
      <c r="G30">
        <v>39</v>
      </c>
      <c r="H30">
        <v>3</v>
      </c>
      <c r="I30" t="s">
        <v>325</v>
      </c>
      <c r="J30" t="s">
        <v>326</v>
      </c>
      <c r="K30" t="s">
        <v>327</v>
      </c>
      <c r="L30">
        <v>1346</v>
      </c>
      <c r="N30">
        <v>1009</v>
      </c>
      <c r="O30" t="s">
        <v>51</v>
      </c>
      <c r="P30" t="s">
        <v>51</v>
      </c>
      <c r="Q30">
        <v>1</v>
      </c>
      <c r="X30">
        <v>10.3</v>
      </c>
      <c r="Y30">
        <v>138.59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0</v>
      </c>
      <c r="AF30" t="s">
        <v>3</v>
      </c>
      <c r="AG30">
        <v>10.3</v>
      </c>
      <c r="AH30">
        <v>2</v>
      </c>
      <c r="AI30">
        <v>75703444</v>
      </c>
      <c r="AJ30">
        <v>32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ROW(Source!A46)</f>
        <v>46</v>
      </c>
      <c r="B31">
        <v>75704071</v>
      </c>
      <c r="C31">
        <v>75703454</v>
      </c>
      <c r="D31">
        <v>75386788</v>
      </c>
      <c r="E31">
        <v>39</v>
      </c>
      <c r="F31">
        <v>1</v>
      </c>
      <c r="G31">
        <v>39</v>
      </c>
      <c r="H31">
        <v>1</v>
      </c>
      <c r="I31" t="s">
        <v>276</v>
      </c>
      <c r="J31" t="s">
        <v>3</v>
      </c>
      <c r="K31" t="s">
        <v>277</v>
      </c>
      <c r="L31">
        <v>1191</v>
      </c>
      <c r="N31">
        <v>1013</v>
      </c>
      <c r="O31" t="s">
        <v>278</v>
      </c>
      <c r="P31" t="s">
        <v>278</v>
      </c>
      <c r="Q31">
        <v>1</v>
      </c>
      <c r="X31">
        <v>60.04</v>
      </c>
      <c r="Y31">
        <v>0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1</v>
      </c>
      <c r="AF31" t="s">
        <v>3</v>
      </c>
      <c r="AG31">
        <v>60.04</v>
      </c>
      <c r="AH31">
        <v>2</v>
      </c>
      <c r="AI31">
        <v>75703455</v>
      </c>
      <c r="AJ31">
        <v>34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ROW(Source!A46)</f>
        <v>46</v>
      </c>
      <c r="B32">
        <v>75704072</v>
      </c>
      <c r="C32">
        <v>75703454</v>
      </c>
      <c r="D32">
        <v>75388182</v>
      </c>
      <c r="E32">
        <v>1</v>
      </c>
      <c r="F32">
        <v>1</v>
      </c>
      <c r="G32">
        <v>39</v>
      </c>
      <c r="H32">
        <v>2</v>
      </c>
      <c r="I32" t="s">
        <v>300</v>
      </c>
      <c r="J32" t="s">
        <v>301</v>
      </c>
      <c r="K32" t="s">
        <v>302</v>
      </c>
      <c r="L32">
        <v>1368</v>
      </c>
      <c r="N32">
        <v>1011</v>
      </c>
      <c r="O32" t="s">
        <v>282</v>
      </c>
      <c r="P32" t="s">
        <v>282</v>
      </c>
      <c r="Q32">
        <v>1</v>
      </c>
      <c r="X32">
        <v>6.64</v>
      </c>
      <c r="Y32">
        <v>0</v>
      </c>
      <c r="Z32">
        <v>56.19</v>
      </c>
      <c r="AA32">
        <v>0.31</v>
      </c>
      <c r="AB32">
        <v>0</v>
      </c>
      <c r="AC32">
        <v>0</v>
      </c>
      <c r="AD32">
        <v>1</v>
      </c>
      <c r="AE32">
        <v>0</v>
      </c>
      <c r="AF32" t="s">
        <v>3</v>
      </c>
      <c r="AG32">
        <v>6.64</v>
      </c>
      <c r="AH32">
        <v>2</v>
      </c>
      <c r="AI32">
        <v>75703456</v>
      </c>
      <c r="AJ32">
        <v>35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ROW(Source!A46)</f>
        <v>46</v>
      </c>
      <c r="B33">
        <v>75704073</v>
      </c>
      <c r="C33">
        <v>75703454</v>
      </c>
      <c r="D33">
        <v>75388325</v>
      </c>
      <c r="E33">
        <v>1</v>
      </c>
      <c r="F33">
        <v>1</v>
      </c>
      <c r="G33">
        <v>39</v>
      </c>
      <c r="H33">
        <v>2</v>
      </c>
      <c r="I33" t="s">
        <v>328</v>
      </c>
      <c r="J33" t="s">
        <v>329</v>
      </c>
      <c r="K33" t="s">
        <v>330</v>
      </c>
      <c r="L33">
        <v>1368</v>
      </c>
      <c r="N33">
        <v>1011</v>
      </c>
      <c r="O33" t="s">
        <v>282</v>
      </c>
      <c r="P33" t="s">
        <v>282</v>
      </c>
      <c r="Q33">
        <v>1</v>
      </c>
      <c r="X33">
        <v>4.7</v>
      </c>
      <c r="Y33">
        <v>0</v>
      </c>
      <c r="Z33">
        <v>10.02</v>
      </c>
      <c r="AA33">
        <v>0</v>
      </c>
      <c r="AB33">
        <v>0</v>
      </c>
      <c r="AC33">
        <v>0</v>
      </c>
      <c r="AD33">
        <v>1</v>
      </c>
      <c r="AE33">
        <v>0</v>
      </c>
      <c r="AF33" t="s">
        <v>3</v>
      </c>
      <c r="AG33">
        <v>4.7</v>
      </c>
      <c r="AH33">
        <v>2</v>
      </c>
      <c r="AI33">
        <v>75703457</v>
      </c>
      <c r="AJ33">
        <v>36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ROW(Source!A46)</f>
        <v>46</v>
      </c>
      <c r="B34">
        <v>75704074</v>
      </c>
      <c r="C34">
        <v>75703454</v>
      </c>
      <c r="D34">
        <v>75388524</v>
      </c>
      <c r="E34">
        <v>1</v>
      </c>
      <c r="F34">
        <v>1</v>
      </c>
      <c r="G34">
        <v>39</v>
      </c>
      <c r="H34">
        <v>2</v>
      </c>
      <c r="I34" t="s">
        <v>331</v>
      </c>
      <c r="J34" t="s">
        <v>332</v>
      </c>
      <c r="K34" t="s">
        <v>333</v>
      </c>
      <c r="L34">
        <v>1368</v>
      </c>
      <c r="N34">
        <v>1011</v>
      </c>
      <c r="O34" t="s">
        <v>282</v>
      </c>
      <c r="P34" t="s">
        <v>282</v>
      </c>
      <c r="Q34">
        <v>1</v>
      </c>
      <c r="X34">
        <v>1.5</v>
      </c>
      <c r="Y34">
        <v>0</v>
      </c>
      <c r="Z34">
        <v>3.57</v>
      </c>
      <c r="AA34">
        <v>0.01</v>
      </c>
      <c r="AB34">
        <v>0</v>
      </c>
      <c r="AC34">
        <v>0</v>
      </c>
      <c r="AD34">
        <v>1</v>
      </c>
      <c r="AE34">
        <v>0</v>
      </c>
      <c r="AF34" t="s">
        <v>3</v>
      </c>
      <c r="AG34">
        <v>1.5</v>
      </c>
      <c r="AH34">
        <v>2</v>
      </c>
      <c r="AI34">
        <v>75703458</v>
      </c>
      <c r="AJ34">
        <v>37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ROW(Source!A46)</f>
        <v>46</v>
      </c>
      <c r="B35">
        <v>75704075</v>
      </c>
      <c r="C35">
        <v>75703454</v>
      </c>
      <c r="D35">
        <v>75390660</v>
      </c>
      <c r="E35">
        <v>1</v>
      </c>
      <c r="F35">
        <v>1</v>
      </c>
      <c r="G35">
        <v>39</v>
      </c>
      <c r="H35">
        <v>3</v>
      </c>
      <c r="I35" t="s">
        <v>322</v>
      </c>
      <c r="J35" t="s">
        <v>323</v>
      </c>
      <c r="K35" t="s">
        <v>324</v>
      </c>
      <c r="L35">
        <v>1346</v>
      </c>
      <c r="N35">
        <v>1009</v>
      </c>
      <c r="O35" t="s">
        <v>51</v>
      </c>
      <c r="P35" t="s">
        <v>51</v>
      </c>
      <c r="Q35">
        <v>1</v>
      </c>
      <c r="X35">
        <v>36.049999999999997</v>
      </c>
      <c r="Y35">
        <v>221.14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0</v>
      </c>
      <c r="AF35" t="s">
        <v>3</v>
      </c>
      <c r="AG35">
        <v>36.049999999999997</v>
      </c>
      <c r="AH35">
        <v>2</v>
      </c>
      <c r="AI35">
        <v>75703459</v>
      </c>
      <c r="AJ35">
        <v>38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ROW(Source!A46)</f>
        <v>46</v>
      </c>
      <c r="B36">
        <v>75704076</v>
      </c>
      <c r="C36">
        <v>75703454</v>
      </c>
      <c r="D36">
        <v>75391078</v>
      </c>
      <c r="E36">
        <v>1</v>
      </c>
      <c r="F36">
        <v>1</v>
      </c>
      <c r="G36">
        <v>39</v>
      </c>
      <c r="H36">
        <v>3</v>
      </c>
      <c r="I36" t="s">
        <v>334</v>
      </c>
      <c r="J36" t="s">
        <v>335</v>
      </c>
      <c r="K36" t="s">
        <v>336</v>
      </c>
      <c r="L36">
        <v>1327</v>
      </c>
      <c r="N36">
        <v>1005</v>
      </c>
      <c r="O36" t="s">
        <v>76</v>
      </c>
      <c r="P36" t="s">
        <v>76</v>
      </c>
      <c r="Q36">
        <v>1</v>
      </c>
      <c r="X36">
        <v>107</v>
      </c>
      <c r="Y36">
        <v>1117.3499999999999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0</v>
      </c>
      <c r="AF36" t="s">
        <v>3</v>
      </c>
      <c r="AG36">
        <v>107</v>
      </c>
      <c r="AH36">
        <v>2</v>
      </c>
      <c r="AI36">
        <v>75703460</v>
      </c>
      <c r="AJ36">
        <v>39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ROW(Source!A46)</f>
        <v>46</v>
      </c>
      <c r="B37">
        <v>75704077</v>
      </c>
      <c r="C37">
        <v>75703454</v>
      </c>
      <c r="D37">
        <v>75391090</v>
      </c>
      <c r="E37">
        <v>1</v>
      </c>
      <c r="F37">
        <v>1</v>
      </c>
      <c r="G37">
        <v>39</v>
      </c>
      <c r="H37">
        <v>3</v>
      </c>
      <c r="I37" t="s">
        <v>337</v>
      </c>
      <c r="J37" t="s">
        <v>338</v>
      </c>
      <c r="K37" t="s">
        <v>339</v>
      </c>
      <c r="L37">
        <v>1301</v>
      </c>
      <c r="N37">
        <v>1003</v>
      </c>
      <c r="O37" t="s">
        <v>36</v>
      </c>
      <c r="P37" t="s">
        <v>36</v>
      </c>
      <c r="Q37">
        <v>1</v>
      </c>
      <c r="X37">
        <v>60</v>
      </c>
      <c r="Y37">
        <v>57.6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0</v>
      </c>
      <c r="AF37" t="s">
        <v>3</v>
      </c>
      <c r="AG37">
        <v>60</v>
      </c>
      <c r="AH37">
        <v>2</v>
      </c>
      <c r="AI37">
        <v>75703461</v>
      </c>
      <c r="AJ37">
        <v>40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ROW(Source!A46)</f>
        <v>46</v>
      </c>
      <c r="B38">
        <v>75704078</v>
      </c>
      <c r="C38">
        <v>75703454</v>
      </c>
      <c r="D38">
        <v>75389139</v>
      </c>
      <c r="E38">
        <v>1</v>
      </c>
      <c r="F38">
        <v>1</v>
      </c>
      <c r="G38">
        <v>39</v>
      </c>
      <c r="H38">
        <v>3</v>
      </c>
      <c r="I38" t="s">
        <v>325</v>
      </c>
      <c r="J38" t="s">
        <v>326</v>
      </c>
      <c r="K38" t="s">
        <v>327</v>
      </c>
      <c r="L38">
        <v>1346</v>
      </c>
      <c r="N38">
        <v>1009</v>
      </c>
      <c r="O38" t="s">
        <v>51</v>
      </c>
      <c r="P38" t="s">
        <v>51</v>
      </c>
      <c r="Q38">
        <v>1</v>
      </c>
      <c r="X38">
        <v>10.3</v>
      </c>
      <c r="Y38">
        <v>138.59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0</v>
      </c>
      <c r="AF38" t="s">
        <v>3</v>
      </c>
      <c r="AG38">
        <v>10.3</v>
      </c>
      <c r="AH38">
        <v>2</v>
      </c>
      <c r="AI38">
        <v>75703462</v>
      </c>
      <c r="AJ38">
        <v>41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ROW(Source!A82)</f>
        <v>82</v>
      </c>
      <c r="B39">
        <v>75704079</v>
      </c>
      <c r="C39">
        <v>75703527</v>
      </c>
      <c r="D39">
        <v>75386788</v>
      </c>
      <c r="E39">
        <v>39</v>
      </c>
      <c r="F39">
        <v>1</v>
      </c>
      <c r="G39">
        <v>39</v>
      </c>
      <c r="H39">
        <v>1</v>
      </c>
      <c r="I39" t="s">
        <v>276</v>
      </c>
      <c r="J39" t="s">
        <v>3</v>
      </c>
      <c r="K39" t="s">
        <v>277</v>
      </c>
      <c r="L39">
        <v>1191</v>
      </c>
      <c r="N39">
        <v>1013</v>
      </c>
      <c r="O39" t="s">
        <v>278</v>
      </c>
      <c r="P39" t="s">
        <v>278</v>
      </c>
      <c r="Q39">
        <v>1</v>
      </c>
      <c r="X39">
        <v>24.52</v>
      </c>
      <c r="Y39">
        <v>0</v>
      </c>
      <c r="Z39">
        <v>0</v>
      </c>
      <c r="AA39">
        <v>0</v>
      </c>
      <c r="AB39">
        <v>0</v>
      </c>
      <c r="AC39">
        <v>0</v>
      </c>
      <c r="AD39">
        <v>1</v>
      </c>
      <c r="AE39">
        <v>1</v>
      </c>
      <c r="AF39" t="s">
        <v>3</v>
      </c>
      <c r="AG39">
        <v>24.52</v>
      </c>
      <c r="AH39">
        <v>2</v>
      </c>
      <c r="AI39">
        <v>75703528</v>
      </c>
      <c r="AJ39">
        <v>42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ROW(Source!A82)</f>
        <v>82</v>
      </c>
      <c r="B40">
        <v>75704080</v>
      </c>
      <c r="C40">
        <v>75703527</v>
      </c>
      <c r="D40">
        <v>75390376</v>
      </c>
      <c r="E40">
        <v>1</v>
      </c>
      <c r="F40">
        <v>1</v>
      </c>
      <c r="G40">
        <v>39</v>
      </c>
      <c r="H40">
        <v>3</v>
      </c>
      <c r="I40" t="s">
        <v>340</v>
      </c>
      <c r="J40" t="s">
        <v>341</v>
      </c>
      <c r="K40" t="s">
        <v>342</v>
      </c>
      <c r="L40">
        <v>1346</v>
      </c>
      <c r="N40">
        <v>1009</v>
      </c>
      <c r="O40" t="s">
        <v>51</v>
      </c>
      <c r="P40" t="s">
        <v>51</v>
      </c>
      <c r="Q40">
        <v>1</v>
      </c>
      <c r="X40">
        <v>0.36</v>
      </c>
      <c r="Y40">
        <v>26.09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0</v>
      </c>
      <c r="AF40" t="s">
        <v>3</v>
      </c>
      <c r="AG40">
        <v>0.36</v>
      </c>
      <c r="AH40">
        <v>2</v>
      </c>
      <c r="AI40">
        <v>75703529</v>
      </c>
      <c r="AJ40">
        <v>43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ROW(Source!A82)</f>
        <v>82</v>
      </c>
      <c r="B41">
        <v>75704081</v>
      </c>
      <c r="C41">
        <v>75703527</v>
      </c>
      <c r="D41">
        <v>75390588</v>
      </c>
      <c r="E41">
        <v>1</v>
      </c>
      <c r="F41">
        <v>1</v>
      </c>
      <c r="G41">
        <v>39</v>
      </c>
      <c r="H41">
        <v>3</v>
      </c>
      <c r="I41" t="s">
        <v>309</v>
      </c>
      <c r="J41" t="s">
        <v>310</v>
      </c>
      <c r="K41" t="s">
        <v>311</v>
      </c>
      <c r="L41">
        <v>1339</v>
      </c>
      <c r="N41">
        <v>1007</v>
      </c>
      <c r="O41" t="s">
        <v>312</v>
      </c>
      <c r="P41" t="s">
        <v>312</v>
      </c>
      <c r="Q41">
        <v>1</v>
      </c>
      <c r="X41">
        <v>0.24</v>
      </c>
      <c r="Y41">
        <v>49.83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0</v>
      </c>
      <c r="AF41" t="s">
        <v>3</v>
      </c>
      <c r="AG41">
        <v>0.24</v>
      </c>
      <c r="AH41">
        <v>2</v>
      </c>
      <c r="AI41">
        <v>75703530</v>
      </c>
      <c r="AJ41">
        <v>44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ROW(Source!A82)</f>
        <v>82</v>
      </c>
      <c r="B42">
        <v>75704082</v>
      </c>
      <c r="C42">
        <v>75703527</v>
      </c>
      <c r="D42">
        <v>75390936</v>
      </c>
      <c r="E42">
        <v>1</v>
      </c>
      <c r="F42">
        <v>1</v>
      </c>
      <c r="G42">
        <v>39</v>
      </c>
      <c r="H42">
        <v>3</v>
      </c>
      <c r="I42" t="s">
        <v>343</v>
      </c>
      <c r="J42" t="s">
        <v>344</v>
      </c>
      <c r="K42" t="s">
        <v>345</v>
      </c>
      <c r="L42">
        <v>1327</v>
      </c>
      <c r="N42">
        <v>1005</v>
      </c>
      <c r="O42" t="s">
        <v>76</v>
      </c>
      <c r="P42" t="s">
        <v>76</v>
      </c>
      <c r="Q42">
        <v>1</v>
      </c>
      <c r="X42">
        <v>0.8</v>
      </c>
      <c r="Y42">
        <v>338.51</v>
      </c>
      <c r="Z42">
        <v>0</v>
      </c>
      <c r="AA42">
        <v>0</v>
      </c>
      <c r="AB42">
        <v>0</v>
      </c>
      <c r="AC42">
        <v>0</v>
      </c>
      <c r="AD42">
        <v>1</v>
      </c>
      <c r="AE42">
        <v>0</v>
      </c>
      <c r="AF42" t="s">
        <v>3</v>
      </c>
      <c r="AG42">
        <v>0.8</v>
      </c>
      <c r="AH42">
        <v>2</v>
      </c>
      <c r="AI42">
        <v>75703531</v>
      </c>
      <c r="AJ42">
        <v>45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ROW(Source!A82)</f>
        <v>82</v>
      </c>
      <c r="B43">
        <v>75704083</v>
      </c>
      <c r="C43">
        <v>75703527</v>
      </c>
      <c r="D43">
        <v>75390952</v>
      </c>
      <c r="E43">
        <v>1</v>
      </c>
      <c r="F43">
        <v>1</v>
      </c>
      <c r="G43">
        <v>39</v>
      </c>
      <c r="H43">
        <v>3</v>
      </c>
      <c r="I43" t="s">
        <v>346</v>
      </c>
      <c r="J43" t="s">
        <v>347</v>
      </c>
      <c r="K43" t="s">
        <v>348</v>
      </c>
      <c r="L43">
        <v>1348</v>
      </c>
      <c r="N43">
        <v>1009</v>
      </c>
      <c r="O43" t="s">
        <v>56</v>
      </c>
      <c r="P43" t="s">
        <v>56</v>
      </c>
      <c r="Q43">
        <v>1000</v>
      </c>
      <c r="X43">
        <v>6.4000000000000003E-3</v>
      </c>
      <c r="Y43">
        <v>76204.789999999994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0</v>
      </c>
      <c r="AF43" t="s">
        <v>3</v>
      </c>
      <c r="AG43">
        <v>6.4000000000000003E-3</v>
      </c>
      <c r="AH43">
        <v>2</v>
      </c>
      <c r="AI43">
        <v>75703532</v>
      </c>
      <c r="AJ43">
        <v>46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ROW(Source!A82)</f>
        <v>82</v>
      </c>
      <c r="B44">
        <v>75704084</v>
      </c>
      <c r="C44">
        <v>75703527</v>
      </c>
      <c r="D44">
        <v>75389193</v>
      </c>
      <c r="E44">
        <v>1</v>
      </c>
      <c r="F44">
        <v>1</v>
      </c>
      <c r="G44">
        <v>39</v>
      </c>
      <c r="H44">
        <v>3</v>
      </c>
      <c r="I44" t="s">
        <v>349</v>
      </c>
      <c r="J44" t="s">
        <v>350</v>
      </c>
      <c r="K44" t="s">
        <v>351</v>
      </c>
      <c r="L44">
        <v>1346</v>
      </c>
      <c r="N44">
        <v>1009</v>
      </c>
      <c r="O44" t="s">
        <v>51</v>
      </c>
      <c r="P44" t="s">
        <v>51</v>
      </c>
      <c r="Q44">
        <v>1</v>
      </c>
      <c r="X44">
        <v>24.8</v>
      </c>
      <c r="Y44">
        <v>215.72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0</v>
      </c>
      <c r="AF44" t="s">
        <v>3</v>
      </c>
      <c r="AG44">
        <v>24.8</v>
      </c>
      <c r="AH44">
        <v>2</v>
      </c>
      <c r="AI44">
        <v>75703533</v>
      </c>
      <c r="AJ44">
        <v>48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ROW(Source!A82)</f>
        <v>82</v>
      </c>
      <c r="B45">
        <v>75704085</v>
      </c>
      <c r="C45">
        <v>75703527</v>
      </c>
      <c r="D45">
        <v>75389195</v>
      </c>
      <c r="E45">
        <v>1</v>
      </c>
      <c r="F45">
        <v>1</v>
      </c>
      <c r="G45">
        <v>39</v>
      </c>
      <c r="H45">
        <v>3</v>
      </c>
      <c r="I45" t="s">
        <v>352</v>
      </c>
      <c r="J45" t="s">
        <v>353</v>
      </c>
      <c r="K45" t="s">
        <v>354</v>
      </c>
      <c r="L45">
        <v>1346</v>
      </c>
      <c r="N45">
        <v>1009</v>
      </c>
      <c r="O45" t="s">
        <v>51</v>
      </c>
      <c r="P45" t="s">
        <v>51</v>
      </c>
      <c r="Q45">
        <v>1</v>
      </c>
      <c r="X45">
        <v>14</v>
      </c>
      <c r="Y45">
        <v>80.599999999999994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0</v>
      </c>
      <c r="AF45" t="s">
        <v>3</v>
      </c>
      <c r="AG45">
        <v>14</v>
      </c>
      <c r="AH45">
        <v>2</v>
      </c>
      <c r="AI45">
        <v>75703534</v>
      </c>
      <c r="AJ45">
        <v>49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ROW(Source!A119)</f>
        <v>119</v>
      </c>
      <c r="B46">
        <v>75704086</v>
      </c>
      <c r="C46">
        <v>75703600</v>
      </c>
      <c r="D46">
        <v>75386788</v>
      </c>
      <c r="E46">
        <v>39</v>
      </c>
      <c r="F46">
        <v>1</v>
      </c>
      <c r="G46">
        <v>39</v>
      </c>
      <c r="H46">
        <v>1</v>
      </c>
      <c r="I46" t="s">
        <v>276</v>
      </c>
      <c r="J46" t="s">
        <v>3</v>
      </c>
      <c r="K46" t="s">
        <v>277</v>
      </c>
      <c r="L46">
        <v>1191</v>
      </c>
      <c r="N46">
        <v>1013</v>
      </c>
      <c r="O46" t="s">
        <v>278</v>
      </c>
      <c r="P46" t="s">
        <v>278</v>
      </c>
      <c r="Q46">
        <v>1</v>
      </c>
      <c r="X46">
        <v>30.74</v>
      </c>
      <c r="Y46">
        <v>0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1</v>
      </c>
      <c r="AF46" t="s">
        <v>3</v>
      </c>
      <c r="AG46">
        <v>30.74</v>
      </c>
      <c r="AH46">
        <v>2</v>
      </c>
      <c r="AI46">
        <v>75703601</v>
      </c>
      <c r="AJ46">
        <v>50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ROW(Source!A119)</f>
        <v>119</v>
      </c>
      <c r="B47">
        <v>75704087</v>
      </c>
      <c r="C47">
        <v>75703600</v>
      </c>
      <c r="D47">
        <v>75390376</v>
      </c>
      <c r="E47">
        <v>1</v>
      </c>
      <c r="F47">
        <v>1</v>
      </c>
      <c r="G47">
        <v>39</v>
      </c>
      <c r="H47">
        <v>3</v>
      </c>
      <c r="I47" t="s">
        <v>340</v>
      </c>
      <c r="J47" t="s">
        <v>341</v>
      </c>
      <c r="K47" t="s">
        <v>342</v>
      </c>
      <c r="L47">
        <v>1346</v>
      </c>
      <c r="N47">
        <v>1009</v>
      </c>
      <c r="O47" t="s">
        <v>51</v>
      </c>
      <c r="P47" t="s">
        <v>51</v>
      </c>
      <c r="Q47">
        <v>1</v>
      </c>
      <c r="X47">
        <v>0.36</v>
      </c>
      <c r="Y47">
        <v>26.09</v>
      </c>
      <c r="Z47">
        <v>0</v>
      </c>
      <c r="AA47">
        <v>0</v>
      </c>
      <c r="AB47">
        <v>0</v>
      </c>
      <c r="AC47">
        <v>0</v>
      </c>
      <c r="AD47">
        <v>1</v>
      </c>
      <c r="AE47">
        <v>0</v>
      </c>
      <c r="AF47" t="s">
        <v>3</v>
      </c>
      <c r="AG47">
        <v>0.36</v>
      </c>
      <c r="AH47">
        <v>2</v>
      </c>
      <c r="AI47">
        <v>75703602</v>
      </c>
      <c r="AJ47">
        <v>51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ROW(Source!A119)</f>
        <v>119</v>
      </c>
      <c r="B48">
        <v>75704088</v>
      </c>
      <c r="C48">
        <v>75703600</v>
      </c>
      <c r="D48">
        <v>75390588</v>
      </c>
      <c r="E48">
        <v>1</v>
      </c>
      <c r="F48">
        <v>1</v>
      </c>
      <c r="G48">
        <v>39</v>
      </c>
      <c r="H48">
        <v>3</v>
      </c>
      <c r="I48" t="s">
        <v>309</v>
      </c>
      <c r="J48" t="s">
        <v>310</v>
      </c>
      <c r="K48" t="s">
        <v>311</v>
      </c>
      <c r="L48">
        <v>1339</v>
      </c>
      <c r="N48">
        <v>1007</v>
      </c>
      <c r="O48" t="s">
        <v>312</v>
      </c>
      <c r="P48" t="s">
        <v>312</v>
      </c>
      <c r="Q48">
        <v>1</v>
      </c>
      <c r="X48">
        <v>0.24</v>
      </c>
      <c r="Y48">
        <v>49.83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0</v>
      </c>
      <c r="AF48" t="s">
        <v>3</v>
      </c>
      <c r="AG48">
        <v>0.24</v>
      </c>
      <c r="AH48">
        <v>2</v>
      </c>
      <c r="AI48">
        <v>75703603</v>
      </c>
      <c r="AJ48">
        <v>52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ROW(Source!A119)</f>
        <v>119</v>
      </c>
      <c r="B49">
        <v>75704089</v>
      </c>
      <c r="C49">
        <v>75703600</v>
      </c>
      <c r="D49">
        <v>75390936</v>
      </c>
      <c r="E49">
        <v>1</v>
      </c>
      <c r="F49">
        <v>1</v>
      </c>
      <c r="G49">
        <v>39</v>
      </c>
      <c r="H49">
        <v>3</v>
      </c>
      <c r="I49" t="s">
        <v>343</v>
      </c>
      <c r="J49" t="s">
        <v>344</v>
      </c>
      <c r="K49" t="s">
        <v>345</v>
      </c>
      <c r="L49">
        <v>1327</v>
      </c>
      <c r="N49">
        <v>1005</v>
      </c>
      <c r="O49" t="s">
        <v>76</v>
      </c>
      <c r="P49" t="s">
        <v>76</v>
      </c>
      <c r="Q49">
        <v>1</v>
      </c>
      <c r="X49">
        <v>1.6</v>
      </c>
      <c r="Y49">
        <v>338.51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0</v>
      </c>
      <c r="AF49" t="s">
        <v>3</v>
      </c>
      <c r="AG49">
        <v>1.6</v>
      </c>
      <c r="AH49">
        <v>2</v>
      </c>
      <c r="AI49">
        <v>75703604</v>
      </c>
      <c r="AJ49">
        <v>53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ROW(Source!A119)</f>
        <v>119</v>
      </c>
      <c r="B50">
        <v>75704090</v>
      </c>
      <c r="C50">
        <v>75703600</v>
      </c>
      <c r="D50">
        <v>75390952</v>
      </c>
      <c r="E50">
        <v>1</v>
      </c>
      <c r="F50">
        <v>1</v>
      </c>
      <c r="G50">
        <v>39</v>
      </c>
      <c r="H50">
        <v>3</v>
      </c>
      <c r="I50" t="s">
        <v>346</v>
      </c>
      <c r="J50" t="s">
        <v>347</v>
      </c>
      <c r="K50" t="s">
        <v>348</v>
      </c>
      <c r="L50">
        <v>1348</v>
      </c>
      <c r="N50">
        <v>1009</v>
      </c>
      <c r="O50" t="s">
        <v>56</v>
      </c>
      <c r="P50" t="s">
        <v>56</v>
      </c>
      <c r="Q50">
        <v>1000</v>
      </c>
      <c r="X50">
        <v>6.7999999999999996E-3</v>
      </c>
      <c r="Y50">
        <v>76204.789999999994</v>
      </c>
      <c r="Z50">
        <v>0</v>
      </c>
      <c r="AA50">
        <v>0</v>
      </c>
      <c r="AB50">
        <v>0</v>
      </c>
      <c r="AC50">
        <v>0</v>
      </c>
      <c r="AD50">
        <v>1</v>
      </c>
      <c r="AE50">
        <v>0</v>
      </c>
      <c r="AF50" t="s">
        <v>3</v>
      </c>
      <c r="AG50">
        <v>6.7999999999999996E-3</v>
      </c>
      <c r="AH50">
        <v>2</v>
      </c>
      <c r="AI50">
        <v>75703605</v>
      </c>
      <c r="AJ50">
        <v>54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ROW(Source!A119)</f>
        <v>119</v>
      </c>
      <c r="B51">
        <v>75704091</v>
      </c>
      <c r="C51">
        <v>75703600</v>
      </c>
      <c r="D51">
        <v>75389192</v>
      </c>
      <c r="E51">
        <v>1</v>
      </c>
      <c r="F51">
        <v>1</v>
      </c>
      <c r="G51">
        <v>39</v>
      </c>
      <c r="H51">
        <v>3</v>
      </c>
      <c r="I51" t="s">
        <v>355</v>
      </c>
      <c r="J51" t="s">
        <v>356</v>
      </c>
      <c r="K51" t="s">
        <v>357</v>
      </c>
      <c r="L51">
        <v>1346</v>
      </c>
      <c r="N51">
        <v>1009</v>
      </c>
      <c r="O51" t="s">
        <v>51</v>
      </c>
      <c r="P51" t="s">
        <v>51</v>
      </c>
      <c r="Q51">
        <v>1</v>
      </c>
      <c r="X51">
        <v>24.8</v>
      </c>
      <c r="Y51">
        <v>157.52000000000001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0</v>
      </c>
      <c r="AF51" t="s">
        <v>3</v>
      </c>
      <c r="AG51">
        <v>24.8</v>
      </c>
      <c r="AH51">
        <v>2</v>
      </c>
      <c r="AI51">
        <v>75703606</v>
      </c>
      <c r="AJ51">
        <v>55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ROW(Source!A119)</f>
        <v>119</v>
      </c>
      <c r="B52">
        <v>75704092</v>
      </c>
      <c r="C52">
        <v>75703600</v>
      </c>
      <c r="D52">
        <v>75389195</v>
      </c>
      <c r="E52">
        <v>1</v>
      </c>
      <c r="F52">
        <v>1</v>
      </c>
      <c r="G52">
        <v>39</v>
      </c>
      <c r="H52">
        <v>3</v>
      </c>
      <c r="I52" t="s">
        <v>352</v>
      </c>
      <c r="J52" t="s">
        <v>353</v>
      </c>
      <c r="K52" t="s">
        <v>354</v>
      </c>
      <c r="L52">
        <v>1346</v>
      </c>
      <c r="N52">
        <v>1009</v>
      </c>
      <c r="O52" t="s">
        <v>51</v>
      </c>
      <c r="P52" t="s">
        <v>51</v>
      </c>
      <c r="Q52">
        <v>1</v>
      </c>
      <c r="X52">
        <v>14</v>
      </c>
      <c r="Y52">
        <v>80.599999999999994</v>
      </c>
      <c r="Z52">
        <v>0</v>
      </c>
      <c r="AA52">
        <v>0</v>
      </c>
      <c r="AB52">
        <v>0</v>
      </c>
      <c r="AC52">
        <v>0</v>
      </c>
      <c r="AD52">
        <v>1</v>
      </c>
      <c r="AE52">
        <v>0</v>
      </c>
      <c r="AF52" t="s">
        <v>3</v>
      </c>
      <c r="AG52">
        <v>14</v>
      </c>
      <c r="AH52">
        <v>2</v>
      </c>
      <c r="AI52">
        <v>75703607</v>
      </c>
      <c r="AJ52">
        <v>56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ROW(Source!A155)</f>
        <v>155</v>
      </c>
      <c r="B53">
        <v>75704093</v>
      </c>
      <c r="C53">
        <v>75703671</v>
      </c>
      <c r="D53">
        <v>75386788</v>
      </c>
      <c r="E53">
        <v>39</v>
      </c>
      <c r="F53">
        <v>1</v>
      </c>
      <c r="G53">
        <v>39</v>
      </c>
      <c r="H53">
        <v>1</v>
      </c>
      <c r="I53" t="s">
        <v>276</v>
      </c>
      <c r="J53" t="s">
        <v>3</v>
      </c>
      <c r="K53" t="s">
        <v>277</v>
      </c>
      <c r="L53">
        <v>1191</v>
      </c>
      <c r="N53">
        <v>1013</v>
      </c>
      <c r="O53" t="s">
        <v>278</v>
      </c>
      <c r="P53" t="s">
        <v>278</v>
      </c>
      <c r="Q53">
        <v>1</v>
      </c>
      <c r="X53">
        <v>7.4</v>
      </c>
      <c r="Y53">
        <v>0</v>
      </c>
      <c r="Z53">
        <v>0</v>
      </c>
      <c r="AA53">
        <v>0</v>
      </c>
      <c r="AB53">
        <v>0</v>
      </c>
      <c r="AC53">
        <v>0</v>
      </c>
      <c r="AD53">
        <v>1</v>
      </c>
      <c r="AE53">
        <v>1</v>
      </c>
      <c r="AF53" t="s">
        <v>160</v>
      </c>
      <c r="AG53">
        <v>1.4800000000000002</v>
      </c>
      <c r="AH53">
        <v>2</v>
      </c>
      <c r="AI53">
        <v>75703672</v>
      </c>
      <c r="AJ53">
        <v>57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ROW(Source!A155)</f>
        <v>155</v>
      </c>
      <c r="B54">
        <v>75704094</v>
      </c>
      <c r="C54">
        <v>75703671</v>
      </c>
      <c r="D54">
        <v>75390706</v>
      </c>
      <c r="E54">
        <v>1</v>
      </c>
      <c r="F54">
        <v>1</v>
      </c>
      <c r="G54">
        <v>39</v>
      </c>
      <c r="H54">
        <v>3</v>
      </c>
      <c r="I54" t="s">
        <v>358</v>
      </c>
      <c r="J54" t="s">
        <v>359</v>
      </c>
      <c r="K54" t="s">
        <v>360</v>
      </c>
      <c r="L54">
        <v>1301</v>
      </c>
      <c r="N54">
        <v>1003</v>
      </c>
      <c r="O54" t="s">
        <v>36</v>
      </c>
      <c r="P54" t="s">
        <v>36</v>
      </c>
      <c r="Q54">
        <v>1</v>
      </c>
      <c r="X54">
        <v>13</v>
      </c>
      <c r="Y54">
        <v>2.2400000000000002</v>
      </c>
      <c r="Z54">
        <v>0</v>
      </c>
      <c r="AA54">
        <v>0</v>
      </c>
      <c r="AB54">
        <v>0</v>
      </c>
      <c r="AC54">
        <v>0</v>
      </c>
      <c r="AD54">
        <v>1</v>
      </c>
      <c r="AE54">
        <v>0</v>
      </c>
      <c r="AF54" t="s">
        <v>159</v>
      </c>
      <c r="AG54">
        <v>0</v>
      </c>
      <c r="AH54">
        <v>2</v>
      </c>
      <c r="AI54">
        <v>75703673</v>
      </c>
      <c r="AJ54">
        <v>58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ROW(Source!A155)</f>
        <v>155</v>
      </c>
      <c r="B55">
        <v>75704095</v>
      </c>
      <c r="C55">
        <v>75703671</v>
      </c>
      <c r="D55">
        <v>75390645</v>
      </c>
      <c r="E55">
        <v>1</v>
      </c>
      <c r="F55">
        <v>1</v>
      </c>
      <c r="G55">
        <v>39</v>
      </c>
      <c r="H55">
        <v>3</v>
      </c>
      <c r="I55" t="s">
        <v>361</v>
      </c>
      <c r="J55" t="s">
        <v>362</v>
      </c>
      <c r="K55" t="s">
        <v>363</v>
      </c>
      <c r="L55">
        <v>1296</v>
      </c>
      <c r="N55">
        <v>1002</v>
      </c>
      <c r="O55" t="s">
        <v>364</v>
      </c>
      <c r="P55" t="s">
        <v>364</v>
      </c>
      <c r="Q55">
        <v>1</v>
      </c>
      <c r="X55">
        <v>0.56999999999999995</v>
      </c>
      <c r="Y55">
        <v>594.64</v>
      </c>
      <c r="Z55">
        <v>0</v>
      </c>
      <c r="AA55">
        <v>0</v>
      </c>
      <c r="AB55">
        <v>0</v>
      </c>
      <c r="AC55">
        <v>0</v>
      </c>
      <c r="AD55">
        <v>1</v>
      </c>
      <c r="AE55">
        <v>0</v>
      </c>
      <c r="AF55" t="s">
        <v>159</v>
      </c>
      <c r="AG55">
        <v>0</v>
      </c>
      <c r="AH55">
        <v>2</v>
      </c>
      <c r="AI55">
        <v>75703674</v>
      </c>
      <c r="AJ55">
        <v>59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ROW(Source!A155)</f>
        <v>155</v>
      </c>
      <c r="B56">
        <v>75704096</v>
      </c>
      <c r="C56">
        <v>75703671</v>
      </c>
      <c r="D56">
        <v>75386977</v>
      </c>
      <c r="E56">
        <v>39</v>
      </c>
      <c r="F56">
        <v>1</v>
      </c>
      <c r="G56">
        <v>39</v>
      </c>
      <c r="H56">
        <v>3</v>
      </c>
      <c r="I56" t="s">
        <v>410</v>
      </c>
      <c r="J56" t="s">
        <v>3</v>
      </c>
      <c r="K56" t="s">
        <v>411</v>
      </c>
      <c r="L56">
        <v>1301</v>
      </c>
      <c r="N56">
        <v>1003</v>
      </c>
      <c r="O56" t="s">
        <v>36</v>
      </c>
      <c r="P56" t="s">
        <v>36</v>
      </c>
      <c r="Q56">
        <v>1</v>
      </c>
      <c r="X56">
        <v>101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 t="s">
        <v>159</v>
      </c>
      <c r="AG56">
        <v>0</v>
      </c>
      <c r="AH56">
        <v>3</v>
      </c>
      <c r="AI56">
        <v>-1</v>
      </c>
      <c r="AJ56" t="s">
        <v>3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ROW(Source!A156)</f>
        <v>156</v>
      </c>
      <c r="B57">
        <v>75704097</v>
      </c>
      <c r="C57">
        <v>75703679</v>
      </c>
      <c r="D57">
        <v>75386788</v>
      </c>
      <c r="E57">
        <v>39</v>
      </c>
      <c r="F57">
        <v>1</v>
      </c>
      <c r="G57">
        <v>39</v>
      </c>
      <c r="H57">
        <v>1</v>
      </c>
      <c r="I57" t="s">
        <v>276</v>
      </c>
      <c r="J57" t="s">
        <v>3</v>
      </c>
      <c r="K57" t="s">
        <v>277</v>
      </c>
      <c r="L57">
        <v>1191</v>
      </c>
      <c r="N57">
        <v>1013</v>
      </c>
      <c r="O57" t="s">
        <v>278</v>
      </c>
      <c r="P57" t="s">
        <v>278</v>
      </c>
      <c r="Q57">
        <v>1</v>
      </c>
      <c r="X57">
        <v>8</v>
      </c>
      <c r="Y57">
        <v>0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1</v>
      </c>
      <c r="AF57" t="s">
        <v>160</v>
      </c>
      <c r="AG57">
        <v>1.6</v>
      </c>
      <c r="AH57">
        <v>2</v>
      </c>
      <c r="AI57">
        <v>75703680</v>
      </c>
      <c r="AJ57">
        <v>60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ROW(Source!A156)</f>
        <v>156</v>
      </c>
      <c r="B58">
        <v>75704098</v>
      </c>
      <c r="C58">
        <v>75703679</v>
      </c>
      <c r="D58">
        <v>75390706</v>
      </c>
      <c r="E58">
        <v>1</v>
      </c>
      <c r="F58">
        <v>1</v>
      </c>
      <c r="G58">
        <v>39</v>
      </c>
      <c r="H58">
        <v>3</v>
      </c>
      <c r="I58" t="s">
        <v>358</v>
      </c>
      <c r="J58" t="s">
        <v>359</v>
      </c>
      <c r="K58" t="s">
        <v>360</v>
      </c>
      <c r="L58">
        <v>1301</v>
      </c>
      <c r="N58">
        <v>1003</v>
      </c>
      <c r="O58" t="s">
        <v>36</v>
      </c>
      <c r="P58" t="s">
        <v>36</v>
      </c>
      <c r="Q58">
        <v>1</v>
      </c>
      <c r="X58">
        <v>13</v>
      </c>
      <c r="Y58">
        <v>2.2400000000000002</v>
      </c>
      <c r="Z58">
        <v>0</v>
      </c>
      <c r="AA58">
        <v>0</v>
      </c>
      <c r="AB58">
        <v>0</v>
      </c>
      <c r="AC58">
        <v>0</v>
      </c>
      <c r="AD58">
        <v>1</v>
      </c>
      <c r="AE58">
        <v>0</v>
      </c>
      <c r="AF58" t="s">
        <v>159</v>
      </c>
      <c r="AG58">
        <v>0</v>
      </c>
      <c r="AH58">
        <v>2</v>
      </c>
      <c r="AI58">
        <v>75703681</v>
      </c>
      <c r="AJ58">
        <v>61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ROW(Source!A156)</f>
        <v>156</v>
      </c>
      <c r="B59">
        <v>75704099</v>
      </c>
      <c r="C59">
        <v>75703679</v>
      </c>
      <c r="D59">
        <v>75390645</v>
      </c>
      <c r="E59">
        <v>1</v>
      </c>
      <c r="F59">
        <v>1</v>
      </c>
      <c r="G59">
        <v>39</v>
      </c>
      <c r="H59">
        <v>3</v>
      </c>
      <c r="I59" t="s">
        <v>361</v>
      </c>
      <c r="J59" t="s">
        <v>362</v>
      </c>
      <c r="K59" t="s">
        <v>363</v>
      </c>
      <c r="L59">
        <v>1296</v>
      </c>
      <c r="N59">
        <v>1002</v>
      </c>
      <c r="O59" t="s">
        <v>364</v>
      </c>
      <c r="P59" t="s">
        <v>364</v>
      </c>
      <c r="Q59">
        <v>1</v>
      </c>
      <c r="X59">
        <v>0.56999999999999995</v>
      </c>
      <c r="Y59">
        <v>594.64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0</v>
      </c>
      <c r="AF59" t="s">
        <v>159</v>
      </c>
      <c r="AG59">
        <v>0</v>
      </c>
      <c r="AH59">
        <v>2</v>
      </c>
      <c r="AI59">
        <v>75703682</v>
      </c>
      <c r="AJ59">
        <v>62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ROW(Source!A156)</f>
        <v>156</v>
      </c>
      <c r="B60">
        <v>75704100</v>
      </c>
      <c r="C60">
        <v>75703679</v>
      </c>
      <c r="D60">
        <v>75386977</v>
      </c>
      <c r="E60">
        <v>39</v>
      </c>
      <c r="F60">
        <v>1</v>
      </c>
      <c r="G60">
        <v>39</v>
      </c>
      <c r="H60">
        <v>3</v>
      </c>
      <c r="I60" t="s">
        <v>410</v>
      </c>
      <c r="J60" t="s">
        <v>3</v>
      </c>
      <c r="K60" t="s">
        <v>411</v>
      </c>
      <c r="L60">
        <v>1301</v>
      </c>
      <c r="N60">
        <v>1003</v>
      </c>
      <c r="O60" t="s">
        <v>36</v>
      </c>
      <c r="P60" t="s">
        <v>36</v>
      </c>
      <c r="Q60">
        <v>1</v>
      </c>
      <c r="X60">
        <v>101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 t="s">
        <v>159</v>
      </c>
      <c r="AG60">
        <v>0</v>
      </c>
      <c r="AH60">
        <v>3</v>
      </c>
      <c r="AI60">
        <v>-1</v>
      </c>
      <c r="AJ60" t="s">
        <v>3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ROW(Source!A157)</f>
        <v>157</v>
      </c>
      <c r="B61">
        <v>75704101</v>
      </c>
      <c r="C61">
        <v>75703687</v>
      </c>
      <c r="D61">
        <v>75386788</v>
      </c>
      <c r="E61">
        <v>39</v>
      </c>
      <c r="F61">
        <v>1</v>
      </c>
      <c r="G61">
        <v>39</v>
      </c>
      <c r="H61">
        <v>1</v>
      </c>
      <c r="I61" t="s">
        <v>276</v>
      </c>
      <c r="J61" t="s">
        <v>3</v>
      </c>
      <c r="K61" t="s">
        <v>277</v>
      </c>
      <c r="L61">
        <v>1191</v>
      </c>
      <c r="N61">
        <v>1013</v>
      </c>
      <c r="O61" t="s">
        <v>278</v>
      </c>
      <c r="P61" t="s">
        <v>278</v>
      </c>
      <c r="Q61">
        <v>1</v>
      </c>
      <c r="X61">
        <v>7.4</v>
      </c>
      <c r="Y61">
        <v>0</v>
      </c>
      <c r="Z61">
        <v>0</v>
      </c>
      <c r="AA61">
        <v>0</v>
      </c>
      <c r="AB61">
        <v>0</v>
      </c>
      <c r="AC61">
        <v>0</v>
      </c>
      <c r="AD61">
        <v>1</v>
      </c>
      <c r="AE61">
        <v>1</v>
      </c>
      <c r="AF61" t="s">
        <v>3</v>
      </c>
      <c r="AG61">
        <v>7.4</v>
      </c>
      <c r="AH61">
        <v>2</v>
      </c>
      <c r="AI61">
        <v>75703688</v>
      </c>
      <c r="AJ61">
        <v>63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ROW(Source!A157)</f>
        <v>157</v>
      </c>
      <c r="B62">
        <v>75704102</v>
      </c>
      <c r="C62">
        <v>75703687</v>
      </c>
      <c r="D62">
        <v>75390706</v>
      </c>
      <c r="E62">
        <v>1</v>
      </c>
      <c r="F62">
        <v>1</v>
      </c>
      <c r="G62">
        <v>39</v>
      </c>
      <c r="H62">
        <v>3</v>
      </c>
      <c r="I62" t="s">
        <v>358</v>
      </c>
      <c r="J62" t="s">
        <v>359</v>
      </c>
      <c r="K62" t="s">
        <v>360</v>
      </c>
      <c r="L62">
        <v>1301</v>
      </c>
      <c r="N62">
        <v>1003</v>
      </c>
      <c r="O62" t="s">
        <v>36</v>
      </c>
      <c r="P62" t="s">
        <v>36</v>
      </c>
      <c r="Q62">
        <v>1</v>
      </c>
      <c r="X62">
        <v>13</v>
      </c>
      <c r="Y62">
        <v>2.2400000000000002</v>
      </c>
      <c r="Z62">
        <v>0</v>
      </c>
      <c r="AA62">
        <v>0</v>
      </c>
      <c r="AB62">
        <v>0</v>
      </c>
      <c r="AC62">
        <v>0</v>
      </c>
      <c r="AD62">
        <v>1</v>
      </c>
      <c r="AE62">
        <v>0</v>
      </c>
      <c r="AF62" t="s">
        <v>3</v>
      </c>
      <c r="AG62">
        <v>13</v>
      </c>
      <c r="AH62">
        <v>2</v>
      </c>
      <c r="AI62">
        <v>75703689</v>
      </c>
      <c r="AJ62">
        <v>65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ROW(Source!A157)</f>
        <v>157</v>
      </c>
      <c r="B63">
        <v>75704103</v>
      </c>
      <c r="C63">
        <v>75703687</v>
      </c>
      <c r="D63">
        <v>75390645</v>
      </c>
      <c r="E63">
        <v>1</v>
      </c>
      <c r="F63">
        <v>1</v>
      </c>
      <c r="G63">
        <v>39</v>
      </c>
      <c r="H63">
        <v>3</v>
      </c>
      <c r="I63" t="s">
        <v>361</v>
      </c>
      <c r="J63" t="s">
        <v>362</v>
      </c>
      <c r="K63" t="s">
        <v>363</v>
      </c>
      <c r="L63">
        <v>1296</v>
      </c>
      <c r="N63">
        <v>1002</v>
      </c>
      <c r="O63" t="s">
        <v>364</v>
      </c>
      <c r="P63" t="s">
        <v>364</v>
      </c>
      <c r="Q63">
        <v>1</v>
      </c>
      <c r="X63">
        <v>0.56999999999999995</v>
      </c>
      <c r="Y63">
        <v>594.64</v>
      </c>
      <c r="Z63">
        <v>0</v>
      </c>
      <c r="AA63">
        <v>0</v>
      </c>
      <c r="AB63">
        <v>0</v>
      </c>
      <c r="AC63">
        <v>0</v>
      </c>
      <c r="AD63">
        <v>1</v>
      </c>
      <c r="AE63">
        <v>0</v>
      </c>
      <c r="AF63" t="s">
        <v>3</v>
      </c>
      <c r="AG63">
        <v>0.56999999999999995</v>
      </c>
      <c r="AH63">
        <v>2</v>
      </c>
      <c r="AI63">
        <v>75703690</v>
      </c>
      <c r="AJ63">
        <v>66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ROW(Source!A157)</f>
        <v>157</v>
      </c>
      <c r="B64">
        <v>75704104</v>
      </c>
      <c r="C64">
        <v>75703687</v>
      </c>
      <c r="D64">
        <v>75386977</v>
      </c>
      <c r="E64">
        <v>39</v>
      </c>
      <c r="F64">
        <v>1</v>
      </c>
      <c r="G64">
        <v>39</v>
      </c>
      <c r="H64">
        <v>3</v>
      </c>
      <c r="I64" t="s">
        <v>410</v>
      </c>
      <c r="J64" t="s">
        <v>3</v>
      </c>
      <c r="K64" t="s">
        <v>411</v>
      </c>
      <c r="L64">
        <v>1301</v>
      </c>
      <c r="N64">
        <v>1003</v>
      </c>
      <c r="O64" t="s">
        <v>36</v>
      </c>
      <c r="P64" t="s">
        <v>36</v>
      </c>
      <c r="Q64">
        <v>1</v>
      </c>
      <c r="X64">
        <v>101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 t="s">
        <v>3</v>
      </c>
      <c r="AG64">
        <v>101</v>
      </c>
      <c r="AH64">
        <v>3</v>
      </c>
      <c r="AI64">
        <v>-1</v>
      </c>
      <c r="AJ64" t="s">
        <v>3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ROW(Source!A159)</f>
        <v>159</v>
      </c>
      <c r="B65">
        <v>75704105</v>
      </c>
      <c r="C65">
        <v>75703697</v>
      </c>
      <c r="D65">
        <v>75386788</v>
      </c>
      <c r="E65">
        <v>39</v>
      </c>
      <c r="F65">
        <v>1</v>
      </c>
      <c r="G65">
        <v>39</v>
      </c>
      <c r="H65">
        <v>1</v>
      </c>
      <c r="I65" t="s">
        <v>276</v>
      </c>
      <c r="J65" t="s">
        <v>3</v>
      </c>
      <c r="K65" t="s">
        <v>277</v>
      </c>
      <c r="L65">
        <v>1191</v>
      </c>
      <c r="N65">
        <v>1013</v>
      </c>
      <c r="O65" t="s">
        <v>278</v>
      </c>
      <c r="P65" t="s">
        <v>278</v>
      </c>
      <c r="Q65">
        <v>1</v>
      </c>
      <c r="X65">
        <v>8</v>
      </c>
      <c r="Y65">
        <v>0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1</v>
      </c>
      <c r="AF65" t="s">
        <v>3</v>
      </c>
      <c r="AG65">
        <v>8</v>
      </c>
      <c r="AH65">
        <v>2</v>
      </c>
      <c r="AI65">
        <v>75703698</v>
      </c>
      <c r="AJ65">
        <v>67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ROW(Source!A159)</f>
        <v>159</v>
      </c>
      <c r="B66">
        <v>75704106</v>
      </c>
      <c r="C66">
        <v>75703697</v>
      </c>
      <c r="D66">
        <v>75390706</v>
      </c>
      <c r="E66">
        <v>1</v>
      </c>
      <c r="F66">
        <v>1</v>
      </c>
      <c r="G66">
        <v>39</v>
      </c>
      <c r="H66">
        <v>3</v>
      </c>
      <c r="I66" t="s">
        <v>358</v>
      </c>
      <c r="J66" t="s">
        <v>359</v>
      </c>
      <c r="K66" t="s">
        <v>360</v>
      </c>
      <c r="L66">
        <v>1301</v>
      </c>
      <c r="N66">
        <v>1003</v>
      </c>
      <c r="O66" t="s">
        <v>36</v>
      </c>
      <c r="P66" t="s">
        <v>36</v>
      </c>
      <c r="Q66">
        <v>1</v>
      </c>
      <c r="X66">
        <v>13</v>
      </c>
      <c r="Y66">
        <v>2.2400000000000002</v>
      </c>
      <c r="Z66">
        <v>0</v>
      </c>
      <c r="AA66">
        <v>0</v>
      </c>
      <c r="AB66">
        <v>0</v>
      </c>
      <c r="AC66">
        <v>0</v>
      </c>
      <c r="AD66">
        <v>1</v>
      </c>
      <c r="AE66">
        <v>0</v>
      </c>
      <c r="AF66" t="s">
        <v>3</v>
      </c>
      <c r="AG66">
        <v>13</v>
      </c>
      <c r="AH66">
        <v>2</v>
      </c>
      <c r="AI66">
        <v>75703699</v>
      </c>
      <c r="AJ66">
        <v>69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ROW(Source!A159)</f>
        <v>159</v>
      </c>
      <c r="B67">
        <v>75704107</v>
      </c>
      <c r="C67">
        <v>75703697</v>
      </c>
      <c r="D67">
        <v>75390645</v>
      </c>
      <c r="E67">
        <v>1</v>
      </c>
      <c r="F67">
        <v>1</v>
      </c>
      <c r="G67">
        <v>39</v>
      </c>
      <c r="H67">
        <v>3</v>
      </c>
      <c r="I67" t="s">
        <v>361</v>
      </c>
      <c r="J67" t="s">
        <v>362</v>
      </c>
      <c r="K67" t="s">
        <v>363</v>
      </c>
      <c r="L67">
        <v>1296</v>
      </c>
      <c r="N67">
        <v>1002</v>
      </c>
      <c r="O67" t="s">
        <v>364</v>
      </c>
      <c r="P67" t="s">
        <v>364</v>
      </c>
      <c r="Q67">
        <v>1</v>
      </c>
      <c r="X67">
        <v>0.56999999999999995</v>
      </c>
      <c r="Y67">
        <v>594.64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0</v>
      </c>
      <c r="AF67" t="s">
        <v>3</v>
      </c>
      <c r="AG67">
        <v>0.56999999999999995</v>
      </c>
      <c r="AH67">
        <v>2</v>
      </c>
      <c r="AI67">
        <v>75703700</v>
      </c>
      <c r="AJ67">
        <v>70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ROW(Source!A159)</f>
        <v>159</v>
      </c>
      <c r="B68">
        <v>75704108</v>
      </c>
      <c r="C68">
        <v>75703697</v>
      </c>
      <c r="D68">
        <v>75386977</v>
      </c>
      <c r="E68">
        <v>39</v>
      </c>
      <c r="F68">
        <v>1</v>
      </c>
      <c r="G68">
        <v>39</v>
      </c>
      <c r="H68">
        <v>3</v>
      </c>
      <c r="I68" t="s">
        <v>410</v>
      </c>
      <c r="J68" t="s">
        <v>3</v>
      </c>
      <c r="K68" t="s">
        <v>411</v>
      </c>
      <c r="L68">
        <v>1301</v>
      </c>
      <c r="N68">
        <v>1003</v>
      </c>
      <c r="O68" t="s">
        <v>36</v>
      </c>
      <c r="P68" t="s">
        <v>36</v>
      </c>
      <c r="Q68">
        <v>1</v>
      </c>
      <c r="X68">
        <v>101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 t="s">
        <v>3</v>
      </c>
      <c r="AG68">
        <v>101</v>
      </c>
      <c r="AH68">
        <v>3</v>
      </c>
      <c r="AI68">
        <v>-1</v>
      </c>
      <c r="AJ68" t="s">
        <v>3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ROW(Source!A196)</f>
        <v>196</v>
      </c>
      <c r="B69">
        <v>75704109</v>
      </c>
      <c r="C69">
        <v>75703763</v>
      </c>
      <c r="D69">
        <v>75386788</v>
      </c>
      <c r="E69">
        <v>39</v>
      </c>
      <c r="F69">
        <v>1</v>
      </c>
      <c r="G69">
        <v>39</v>
      </c>
      <c r="H69">
        <v>1</v>
      </c>
      <c r="I69" t="s">
        <v>276</v>
      </c>
      <c r="J69" t="s">
        <v>3</v>
      </c>
      <c r="K69" t="s">
        <v>277</v>
      </c>
      <c r="L69">
        <v>1191</v>
      </c>
      <c r="N69">
        <v>1013</v>
      </c>
      <c r="O69" t="s">
        <v>278</v>
      </c>
      <c r="P69" t="s">
        <v>278</v>
      </c>
      <c r="Q69">
        <v>1</v>
      </c>
      <c r="X69">
        <v>60.8</v>
      </c>
      <c r="Y69">
        <v>0</v>
      </c>
      <c r="Z69">
        <v>0</v>
      </c>
      <c r="AA69">
        <v>0</v>
      </c>
      <c r="AB69">
        <v>0</v>
      </c>
      <c r="AC69">
        <v>0</v>
      </c>
      <c r="AD69">
        <v>1</v>
      </c>
      <c r="AE69">
        <v>1</v>
      </c>
      <c r="AF69" t="s">
        <v>3</v>
      </c>
      <c r="AG69">
        <v>60.8</v>
      </c>
      <c r="AH69">
        <v>2</v>
      </c>
      <c r="AI69">
        <v>75703764</v>
      </c>
      <c r="AJ69">
        <v>71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ROW(Source!A196)</f>
        <v>196</v>
      </c>
      <c r="B70">
        <v>75704110</v>
      </c>
      <c r="C70">
        <v>75703763</v>
      </c>
      <c r="D70">
        <v>75386789</v>
      </c>
      <c r="E70">
        <v>39</v>
      </c>
      <c r="F70">
        <v>1</v>
      </c>
      <c r="G70">
        <v>39</v>
      </c>
      <c r="H70">
        <v>3</v>
      </c>
      <c r="I70" t="s">
        <v>283</v>
      </c>
      <c r="J70" t="s">
        <v>3</v>
      </c>
      <c r="K70" t="s">
        <v>284</v>
      </c>
      <c r="L70">
        <v>1348</v>
      </c>
      <c r="N70">
        <v>1009</v>
      </c>
      <c r="O70" t="s">
        <v>56</v>
      </c>
      <c r="P70" t="s">
        <v>56</v>
      </c>
      <c r="Q70">
        <v>1000</v>
      </c>
      <c r="X70">
        <v>1.66</v>
      </c>
      <c r="Y70">
        <v>0</v>
      </c>
      <c r="Z70">
        <v>0</v>
      </c>
      <c r="AA70">
        <v>0</v>
      </c>
      <c r="AB70">
        <v>0</v>
      </c>
      <c r="AC70">
        <v>0</v>
      </c>
      <c r="AD70">
        <v>1</v>
      </c>
      <c r="AE70">
        <v>0</v>
      </c>
      <c r="AF70" t="s">
        <v>3</v>
      </c>
      <c r="AG70">
        <v>1.66</v>
      </c>
      <c r="AH70">
        <v>2</v>
      </c>
      <c r="AI70">
        <v>75703765</v>
      </c>
      <c r="AJ70">
        <v>72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ROW(Source!A197)</f>
        <v>197</v>
      </c>
      <c r="B71">
        <v>75704111</v>
      </c>
      <c r="C71">
        <v>75703768</v>
      </c>
      <c r="D71">
        <v>75386788</v>
      </c>
      <c r="E71">
        <v>39</v>
      </c>
      <c r="F71">
        <v>1</v>
      </c>
      <c r="G71">
        <v>39</v>
      </c>
      <c r="H71">
        <v>1</v>
      </c>
      <c r="I71" t="s">
        <v>276</v>
      </c>
      <c r="J71" t="s">
        <v>3</v>
      </c>
      <c r="K71" t="s">
        <v>277</v>
      </c>
      <c r="L71">
        <v>1191</v>
      </c>
      <c r="N71">
        <v>1013</v>
      </c>
      <c r="O71" t="s">
        <v>278</v>
      </c>
      <c r="P71" t="s">
        <v>278</v>
      </c>
      <c r="Q71">
        <v>1</v>
      </c>
      <c r="X71">
        <v>77.86</v>
      </c>
      <c r="Y71">
        <v>0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1</v>
      </c>
      <c r="AF71" t="s">
        <v>187</v>
      </c>
      <c r="AG71">
        <v>15.572000000000001</v>
      </c>
      <c r="AH71">
        <v>2</v>
      </c>
      <c r="AI71">
        <v>75703769</v>
      </c>
      <c r="AJ71">
        <v>73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ROW(Source!A197)</f>
        <v>197</v>
      </c>
      <c r="B72">
        <v>75704112</v>
      </c>
      <c r="C72">
        <v>75703768</v>
      </c>
      <c r="D72">
        <v>75389672</v>
      </c>
      <c r="E72">
        <v>1</v>
      </c>
      <c r="F72">
        <v>1</v>
      </c>
      <c r="G72">
        <v>39</v>
      </c>
      <c r="H72">
        <v>3</v>
      </c>
      <c r="I72" t="s">
        <v>285</v>
      </c>
      <c r="J72" t="s">
        <v>286</v>
      </c>
      <c r="K72" t="s">
        <v>287</v>
      </c>
      <c r="L72">
        <v>1348</v>
      </c>
      <c r="N72">
        <v>1009</v>
      </c>
      <c r="O72" t="s">
        <v>56</v>
      </c>
      <c r="P72" t="s">
        <v>56</v>
      </c>
      <c r="Q72">
        <v>1000</v>
      </c>
      <c r="X72">
        <v>1.2E-2</v>
      </c>
      <c r="Y72">
        <v>95976.83</v>
      </c>
      <c r="Z72">
        <v>0</v>
      </c>
      <c r="AA72">
        <v>0</v>
      </c>
      <c r="AB72">
        <v>0</v>
      </c>
      <c r="AC72">
        <v>0</v>
      </c>
      <c r="AD72">
        <v>1</v>
      </c>
      <c r="AE72">
        <v>0</v>
      </c>
      <c r="AF72" t="s">
        <v>186</v>
      </c>
      <c r="AG72">
        <v>0</v>
      </c>
      <c r="AH72">
        <v>2</v>
      </c>
      <c r="AI72">
        <v>75703770</v>
      </c>
      <c r="AJ72">
        <v>74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ROW(Source!A197)</f>
        <v>197</v>
      </c>
      <c r="B73">
        <v>75704113</v>
      </c>
      <c r="C73">
        <v>75703768</v>
      </c>
      <c r="D73">
        <v>75389710</v>
      </c>
      <c r="E73">
        <v>1</v>
      </c>
      <c r="F73">
        <v>1</v>
      </c>
      <c r="G73">
        <v>39</v>
      </c>
      <c r="H73">
        <v>3</v>
      </c>
      <c r="I73" t="s">
        <v>365</v>
      </c>
      <c r="J73" t="s">
        <v>366</v>
      </c>
      <c r="K73" t="s">
        <v>367</v>
      </c>
      <c r="L73">
        <v>1348</v>
      </c>
      <c r="N73">
        <v>1009</v>
      </c>
      <c r="O73" t="s">
        <v>56</v>
      </c>
      <c r="P73" t="s">
        <v>56</v>
      </c>
      <c r="Q73">
        <v>1000</v>
      </c>
      <c r="X73">
        <v>3.5000000000000003E-2</v>
      </c>
      <c r="Y73">
        <v>87313.75</v>
      </c>
      <c r="Z73">
        <v>0</v>
      </c>
      <c r="AA73">
        <v>0</v>
      </c>
      <c r="AB73">
        <v>0</v>
      </c>
      <c r="AC73">
        <v>0</v>
      </c>
      <c r="AD73">
        <v>1</v>
      </c>
      <c r="AE73">
        <v>0</v>
      </c>
      <c r="AF73" t="s">
        <v>186</v>
      </c>
      <c r="AG73">
        <v>0</v>
      </c>
      <c r="AH73">
        <v>2</v>
      </c>
      <c r="AI73">
        <v>75703771</v>
      </c>
      <c r="AJ73">
        <v>75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ROW(Source!A197)</f>
        <v>197</v>
      </c>
      <c r="B74">
        <v>75704114</v>
      </c>
      <c r="C74">
        <v>75703768</v>
      </c>
      <c r="D74">
        <v>75393920</v>
      </c>
      <c r="E74">
        <v>1</v>
      </c>
      <c r="F74">
        <v>1</v>
      </c>
      <c r="G74">
        <v>39</v>
      </c>
      <c r="H74">
        <v>3</v>
      </c>
      <c r="I74" t="s">
        <v>368</v>
      </c>
      <c r="J74" t="s">
        <v>369</v>
      </c>
      <c r="K74" t="s">
        <v>370</v>
      </c>
      <c r="L74">
        <v>1301</v>
      </c>
      <c r="N74">
        <v>1003</v>
      </c>
      <c r="O74" t="s">
        <v>36</v>
      </c>
      <c r="P74" t="s">
        <v>36</v>
      </c>
      <c r="Q74">
        <v>1</v>
      </c>
      <c r="X74">
        <v>400</v>
      </c>
      <c r="Y74">
        <v>27.14</v>
      </c>
      <c r="Z74">
        <v>0</v>
      </c>
      <c r="AA74">
        <v>0</v>
      </c>
      <c r="AB74">
        <v>0</v>
      </c>
      <c r="AC74">
        <v>0</v>
      </c>
      <c r="AD74">
        <v>1</v>
      </c>
      <c r="AE74">
        <v>0</v>
      </c>
      <c r="AF74" t="s">
        <v>186</v>
      </c>
      <c r="AG74">
        <v>0</v>
      </c>
      <c r="AH74">
        <v>2</v>
      </c>
      <c r="AI74">
        <v>75703772</v>
      </c>
      <c r="AJ74">
        <v>76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ROW(Source!A198)</f>
        <v>198</v>
      </c>
      <c r="B75">
        <v>75704115</v>
      </c>
      <c r="C75">
        <v>75703777</v>
      </c>
      <c r="D75">
        <v>75386788</v>
      </c>
      <c r="E75">
        <v>39</v>
      </c>
      <c r="F75">
        <v>1</v>
      </c>
      <c r="G75">
        <v>39</v>
      </c>
      <c r="H75">
        <v>1</v>
      </c>
      <c r="I75" t="s">
        <v>276</v>
      </c>
      <c r="J75" t="s">
        <v>3</v>
      </c>
      <c r="K75" t="s">
        <v>277</v>
      </c>
      <c r="L75">
        <v>1191</v>
      </c>
      <c r="N75">
        <v>1013</v>
      </c>
      <c r="O75" t="s">
        <v>278</v>
      </c>
      <c r="P75" t="s">
        <v>278</v>
      </c>
      <c r="Q75">
        <v>1</v>
      </c>
      <c r="X75">
        <v>2.2400000000000002</v>
      </c>
      <c r="Y75">
        <v>0</v>
      </c>
      <c r="Z75">
        <v>0</v>
      </c>
      <c r="AA75">
        <v>0</v>
      </c>
      <c r="AB75">
        <v>0</v>
      </c>
      <c r="AC75">
        <v>0</v>
      </c>
      <c r="AD75">
        <v>1</v>
      </c>
      <c r="AE75">
        <v>1</v>
      </c>
      <c r="AF75" t="s">
        <v>3</v>
      </c>
      <c r="AG75">
        <v>2.2400000000000002</v>
      </c>
      <c r="AH75">
        <v>2</v>
      </c>
      <c r="AI75">
        <v>75703778</v>
      </c>
      <c r="AJ75">
        <v>77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ROW(Source!A198)</f>
        <v>198</v>
      </c>
      <c r="B76">
        <v>75704116</v>
      </c>
      <c r="C76">
        <v>75703777</v>
      </c>
      <c r="D76">
        <v>75388585</v>
      </c>
      <c r="E76">
        <v>1</v>
      </c>
      <c r="F76">
        <v>1</v>
      </c>
      <c r="G76">
        <v>39</v>
      </c>
      <c r="H76">
        <v>2</v>
      </c>
      <c r="I76" t="s">
        <v>288</v>
      </c>
      <c r="J76" t="s">
        <v>289</v>
      </c>
      <c r="K76" t="s">
        <v>290</v>
      </c>
      <c r="L76">
        <v>1368</v>
      </c>
      <c r="N76">
        <v>1011</v>
      </c>
      <c r="O76" t="s">
        <v>282</v>
      </c>
      <c r="P76" t="s">
        <v>282</v>
      </c>
      <c r="Q76">
        <v>1</v>
      </c>
      <c r="X76">
        <v>0.02</v>
      </c>
      <c r="Y76">
        <v>0</v>
      </c>
      <c r="Z76">
        <v>6.13</v>
      </c>
      <c r="AA76">
        <v>1.91</v>
      </c>
      <c r="AB76">
        <v>0</v>
      </c>
      <c r="AC76">
        <v>0</v>
      </c>
      <c r="AD76">
        <v>1</v>
      </c>
      <c r="AE76">
        <v>0</v>
      </c>
      <c r="AF76" t="s">
        <v>3</v>
      </c>
      <c r="AG76">
        <v>0.02</v>
      </c>
      <c r="AH76">
        <v>2</v>
      </c>
      <c r="AI76">
        <v>75703779</v>
      </c>
      <c r="AJ76">
        <v>78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ROW(Source!A198)</f>
        <v>198</v>
      </c>
      <c r="B77">
        <v>75704117</v>
      </c>
      <c r="C77">
        <v>75703777</v>
      </c>
      <c r="D77">
        <v>75389751</v>
      </c>
      <c r="E77">
        <v>1</v>
      </c>
      <c r="F77">
        <v>1</v>
      </c>
      <c r="G77">
        <v>39</v>
      </c>
      <c r="H77">
        <v>3</v>
      </c>
      <c r="I77" t="s">
        <v>371</v>
      </c>
      <c r="J77" t="s">
        <v>372</v>
      </c>
      <c r="K77" t="s">
        <v>373</v>
      </c>
      <c r="L77">
        <v>1348</v>
      </c>
      <c r="N77">
        <v>1009</v>
      </c>
      <c r="O77" t="s">
        <v>56</v>
      </c>
      <c r="P77" t="s">
        <v>56</v>
      </c>
      <c r="Q77">
        <v>1000</v>
      </c>
      <c r="X77">
        <v>6.9999999999999994E-5</v>
      </c>
      <c r="Y77">
        <v>239140.75</v>
      </c>
      <c r="Z77">
        <v>0</v>
      </c>
      <c r="AA77">
        <v>0</v>
      </c>
      <c r="AB77">
        <v>0</v>
      </c>
      <c r="AC77">
        <v>0</v>
      </c>
      <c r="AD77">
        <v>1</v>
      </c>
      <c r="AE77">
        <v>0</v>
      </c>
      <c r="AF77" t="s">
        <v>3</v>
      </c>
      <c r="AG77">
        <v>6.9999999999999994E-5</v>
      </c>
      <c r="AH77">
        <v>2</v>
      </c>
      <c r="AI77">
        <v>75703780</v>
      </c>
      <c r="AJ77">
        <v>79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ROW(Source!A198)</f>
        <v>198</v>
      </c>
      <c r="B78">
        <v>75704118</v>
      </c>
      <c r="C78">
        <v>75703777</v>
      </c>
      <c r="D78">
        <v>75389824</v>
      </c>
      <c r="E78">
        <v>1</v>
      </c>
      <c r="F78">
        <v>1</v>
      </c>
      <c r="G78">
        <v>39</v>
      </c>
      <c r="H78">
        <v>3</v>
      </c>
      <c r="I78" t="s">
        <v>374</v>
      </c>
      <c r="J78" t="s">
        <v>375</v>
      </c>
      <c r="K78" t="s">
        <v>376</v>
      </c>
      <c r="L78">
        <v>1354</v>
      </c>
      <c r="N78">
        <v>1010</v>
      </c>
      <c r="O78" t="s">
        <v>196</v>
      </c>
      <c r="P78" t="s">
        <v>196</v>
      </c>
      <c r="Q78">
        <v>1</v>
      </c>
      <c r="X78">
        <v>0.04</v>
      </c>
      <c r="Y78">
        <v>2.31</v>
      </c>
      <c r="Z78">
        <v>0</v>
      </c>
      <c r="AA78">
        <v>0</v>
      </c>
      <c r="AB78">
        <v>0</v>
      </c>
      <c r="AC78">
        <v>0</v>
      </c>
      <c r="AD78">
        <v>1</v>
      </c>
      <c r="AE78">
        <v>0</v>
      </c>
      <c r="AF78" t="s">
        <v>3</v>
      </c>
      <c r="AG78">
        <v>0.04</v>
      </c>
      <c r="AH78">
        <v>2</v>
      </c>
      <c r="AI78">
        <v>75703781</v>
      </c>
      <c r="AJ78">
        <v>80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ROW(Source!A198)</f>
        <v>198</v>
      </c>
      <c r="B79">
        <v>75704119</v>
      </c>
      <c r="C79">
        <v>75703777</v>
      </c>
      <c r="D79">
        <v>75389710</v>
      </c>
      <c r="E79">
        <v>1</v>
      </c>
      <c r="F79">
        <v>1</v>
      </c>
      <c r="G79">
        <v>39</v>
      </c>
      <c r="H79">
        <v>3</v>
      </c>
      <c r="I79" t="s">
        <v>365</v>
      </c>
      <c r="J79" t="s">
        <v>366</v>
      </c>
      <c r="K79" t="s">
        <v>367</v>
      </c>
      <c r="L79">
        <v>1348</v>
      </c>
      <c r="N79">
        <v>1009</v>
      </c>
      <c r="O79" t="s">
        <v>56</v>
      </c>
      <c r="P79" t="s">
        <v>56</v>
      </c>
      <c r="Q79">
        <v>1000</v>
      </c>
      <c r="X79">
        <v>3.6000000000000002E-4</v>
      </c>
      <c r="Y79">
        <v>87313.75</v>
      </c>
      <c r="Z79">
        <v>0</v>
      </c>
      <c r="AA79">
        <v>0</v>
      </c>
      <c r="AB79">
        <v>0</v>
      </c>
      <c r="AC79">
        <v>0</v>
      </c>
      <c r="AD79">
        <v>1</v>
      </c>
      <c r="AE79">
        <v>0</v>
      </c>
      <c r="AF79" t="s">
        <v>3</v>
      </c>
      <c r="AG79">
        <v>3.6000000000000002E-4</v>
      </c>
      <c r="AH79">
        <v>2</v>
      </c>
      <c r="AI79">
        <v>75703782</v>
      </c>
      <c r="AJ79">
        <v>81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ROW(Source!A198)</f>
        <v>198</v>
      </c>
      <c r="B80">
        <v>75704120</v>
      </c>
      <c r="C80">
        <v>75703777</v>
      </c>
      <c r="D80">
        <v>75390591</v>
      </c>
      <c r="E80">
        <v>1</v>
      </c>
      <c r="F80">
        <v>1</v>
      </c>
      <c r="G80">
        <v>39</v>
      </c>
      <c r="H80">
        <v>3</v>
      </c>
      <c r="I80" t="s">
        <v>377</v>
      </c>
      <c r="J80" t="s">
        <v>378</v>
      </c>
      <c r="K80" t="s">
        <v>379</v>
      </c>
      <c r="L80">
        <v>1346</v>
      </c>
      <c r="N80">
        <v>1009</v>
      </c>
      <c r="O80" t="s">
        <v>51</v>
      </c>
      <c r="P80" t="s">
        <v>51</v>
      </c>
      <c r="Q80">
        <v>1</v>
      </c>
      <c r="X80">
        <v>0.03</v>
      </c>
      <c r="Y80">
        <v>656.56</v>
      </c>
      <c r="Z80">
        <v>0</v>
      </c>
      <c r="AA80">
        <v>0</v>
      </c>
      <c r="AB80">
        <v>0</v>
      </c>
      <c r="AC80">
        <v>0</v>
      </c>
      <c r="AD80">
        <v>1</v>
      </c>
      <c r="AE80">
        <v>0</v>
      </c>
      <c r="AF80" t="s">
        <v>3</v>
      </c>
      <c r="AG80">
        <v>0.03</v>
      </c>
      <c r="AH80">
        <v>2</v>
      </c>
      <c r="AI80">
        <v>75703783</v>
      </c>
      <c r="AJ80">
        <v>82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ROW(Source!A198)</f>
        <v>198</v>
      </c>
      <c r="B81">
        <v>75704121</v>
      </c>
      <c r="C81">
        <v>75703777</v>
      </c>
      <c r="D81">
        <v>75390621</v>
      </c>
      <c r="E81">
        <v>1</v>
      </c>
      <c r="F81">
        <v>1</v>
      </c>
      <c r="G81">
        <v>39</v>
      </c>
      <c r="H81">
        <v>3</v>
      </c>
      <c r="I81" t="s">
        <v>380</v>
      </c>
      <c r="J81" t="s">
        <v>381</v>
      </c>
      <c r="K81" t="s">
        <v>382</v>
      </c>
      <c r="L81">
        <v>1348</v>
      </c>
      <c r="N81">
        <v>1009</v>
      </c>
      <c r="O81" t="s">
        <v>56</v>
      </c>
      <c r="P81" t="s">
        <v>56</v>
      </c>
      <c r="Q81">
        <v>1000</v>
      </c>
      <c r="X81">
        <v>2.0000000000000001E-4</v>
      </c>
      <c r="Y81">
        <v>58866.75</v>
      </c>
      <c r="Z81">
        <v>0</v>
      </c>
      <c r="AA81">
        <v>0</v>
      </c>
      <c r="AB81">
        <v>0</v>
      </c>
      <c r="AC81">
        <v>0</v>
      </c>
      <c r="AD81">
        <v>1</v>
      </c>
      <c r="AE81">
        <v>0</v>
      </c>
      <c r="AF81" t="s">
        <v>3</v>
      </c>
      <c r="AG81">
        <v>2.0000000000000001E-4</v>
      </c>
      <c r="AH81">
        <v>2</v>
      </c>
      <c r="AI81">
        <v>75703784</v>
      </c>
      <c r="AJ81">
        <v>83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ROW(Source!A198)</f>
        <v>198</v>
      </c>
      <c r="B82">
        <v>75704122</v>
      </c>
      <c r="C82">
        <v>75703777</v>
      </c>
      <c r="D82">
        <v>75389029</v>
      </c>
      <c r="E82">
        <v>1</v>
      </c>
      <c r="F82">
        <v>1</v>
      </c>
      <c r="G82">
        <v>39</v>
      </c>
      <c r="H82">
        <v>3</v>
      </c>
      <c r="I82" t="s">
        <v>383</v>
      </c>
      <c r="J82" t="s">
        <v>384</v>
      </c>
      <c r="K82" t="s">
        <v>385</v>
      </c>
      <c r="L82">
        <v>1348</v>
      </c>
      <c r="N82">
        <v>1009</v>
      </c>
      <c r="O82" t="s">
        <v>56</v>
      </c>
      <c r="P82" t="s">
        <v>56</v>
      </c>
      <c r="Q82">
        <v>1000</v>
      </c>
      <c r="X82">
        <v>3.8000000000000002E-4</v>
      </c>
      <c r="Y82">
        <v>91558.65</v>
      </c>
      <c r="Z82">
        <v>0</v>
      </c>
      <c r="AA82">
        <v>0</v>
      </c>
      <c r="AB82">
        <v>0</v>
      </c>
      <c r="AC82">
        <v>0</v>
      </c>
      <c r="AD82">
        <v>1</v>
      </c>
      <c r="AE82">
        <v>0</v>
      </c>
      <c r="AF82" t="s">
        <v>3</v>
      </c>
      <c r="AG82">
        <v>3.8000000000000002E-4</v>
      </c>
      <c r="AH82">
        <v>2</v>
      </c>
      <c r="AI82">
        <v>75703785</v>
      </c>
      <c r="AJ82">
        <v>84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ROW(Source!A198)</f>
        <v>198</v>
      </c>
      <c r="B83">
        <v>75704123</v>
      </c>
      <c r="C83">
        <v>75703777</v>
      </c>
      <c r="D83">
        <v>75389070</v>
      </c>
      <c r="E83">
        <v>1</v>
      </c>
      <c r="F83">
        <v>1</v>
      </c>
      <c r="G83">
        <v>39</v>
      </c>
      <c r="H83">
        <v>3</v>
      </c>
      <c r="I83" t="s">
        <v>386</v>
      </c>
      <c r="J83" t="s">
        <v>387</v>
      </c>
      <c r="K83" t="s">
        <v>388</v>
      </c>
      <c r="L83">
        <v>1346</v>
      </c>
      <c r="N83">
        <v>1009</v>
      </c>
      <c r="O83" t="s">
        <v>51</v>
      </c>
      <c r="P83" t="s">
        <v>51</v>
      </c>
      <c r="Q83">
        <v>1</v>
      </c>
      <c r="X83">
        <v>0.04</v>
      </c>
      <c r="Y83">
        <v>99.65</v>
      </c>
      <c r="Z83">
        <v>0</v>
      </c>
      <c r="AA83">
        <v>0</v>
      </c>
      <c r="AB83">
        <v>0</v>
      </c>
      <c r="AC83">
        <v>0</v>
      </c>
      <c r="AD83">
        <v>1</v>
      </c>
      <c r="AE83">
        <v>0</v>
      </c>
      <c r="AF83" t="s">
        <v>3</v>
      </c>
      <c r="AG83">
        <v>0.04</v>
      </c>
      <c r="AH83">
        <v>2</v>
      </c>
      <c r="AI83">
        <v>75703786</v>
      </c>
      <c r="AJ83">
        <v>85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ROW(Source!A198)</f>
        <v>198</v>
      </c>
      <c r="B84">
        <v>75704124</v>
      </c>
      <c r="C84">
        <v>75703777</v>
      </c>
      <c r="D84">
        <v>75396250</v>
      </c>
      <c r="E84">
        <v>1</v>
      </c>
      <c r="F84">
        <v>1</v>
      </c>
      <c r="G84">
        <v>39</v>
      </c>
      <c r="H84">
        <v>3</v>
      </c>
      <c r="I84" t="s">
        <v>204</v>
      </c>
      <c r="J84" t="s">
        <v>206</v>
      </c>
      <c r="K84" t="s">
        <v>205</v>
      </c>
      <c r="L84">
        <v>1354</v>
      </c>
      <c r="N84">
        <v>1010</v>
      </c>
      <c r="O84" t="s">
        <v>196</v>
      </c>
      <c r="P84" t="s">
        <v>196</v>
      </c>
      <c r="Q84">
        <v>1</v>
      </c>
      <c r="X84">
        <v>1</v>
      </c>
      <c r="Y84">
        <v>1624.55</v>
      </c>
      <c r="Z84">
        <v>0</v>
      </c>
      <c r="AA84">
        <v>0</v>
      </c>
      <c r="AB84">
        <v>0</v>
      </c>
      <c r="AC84">
        <v>0</v>
      </c>
      <c r="AD84">
        <v>1</v>
      </c>
      <c r="AE84">
        <v>0</v>
      </c>
      <c r="AF84" t="s">
        <v>3</v>
      </c>
      <c r="AG84">
        <v>1</v>
      </c>
      <c r="AH84">
        <v>2</v>
      </c>
      <c r="AI84">
        <v>75703809</v>
      </c>
      <c r="AJ84">
        <v>86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ROW(Source!A198)</f>
        <v>198</v>
      </c>
      <c r="B85">
        <v>75704125</v>
      </c>
      <c r="C85">
        <v>75703777</v>
      </c>
      <c r="D85">
        <v>75396306</v>
      </c>
      <c r="E85">
        <v>1</v>
      </c>
      <c r="F85">
        <v>1</v>
      </c>
      <c r="G85">
        <v>39</v>
      </c>
      <c r="H85">
        <v>3</v>
      </c>
      <c r="I85" t="s">
        <v>389</v>
      </c>
      <c r="J85" t="s">
        <v>390</v>
      </c>
      <c r="K85" t="s">
        <v>391</v>
      </c>
      <c r="L85">
        <v>1354</v>
      </c>
      <c r="N85">
        <v>1010</v>
      </c>
      <c r="O85" t="s">
        <v>196</v>
      </c>
      <c r="P85" t="s">
        <v>196</v>
      </c>
      <c r="Q85">
        <v>1</v>
      </c>
      <c r="X85">
        <v>2</v>
      </c>
      <c r="Y85">
        <v>271.39999999999998</v>
      </c>
      <c r="Z85">
        <v>0</v>
      </c>
      <c r="AA85">
        <v>0</v>
      </c>
      <c r="AB85">
        <v>0</v>
      </c>
      <c r="AC85">
        <v>0</v>
      </c>
      <c r="AD85">
        <v>1</v>
      </c>
      <c r="AE85">
        <v>0</v>
      </c>
      <c r="AF85" t="s">
        <v>3</v>
      </c>
      <c r="AG85">
        <v>2</v>
      </c>
      <c r="AH85">
        <v>2</v>
      </c>
      <c r="AI85">
        <v>75703787</v>
      </c>
      <c r="AJ85">
        <v>87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ROW(Source!A198)</f>
        <v>198</v>
      </c>
      <c r="B86">
        <v>75704126</v>
      </c>
      <c r="C86">
        <v>75703777</v>
      </c>
      <c r="D86">
        <v>75396309</v>
      </c>
      <c r="E86">
        <v>1</v>
      </c>
      <c r="F86">
        <v>1</v>
      </c>
      <c r="G86">
        <v>39</v>
      </c>
      <c r="H86">
        <v>3</v>
      </c>
      <c r="I86" t="s">
        <v>392</v>
      </c>
      <c r="J86" t="s">
        <v>393</v>
      </c>
      <c r="K86" t="s">
        <v>394</v>
      </c>
      <c r="L86">
        <v>1354</v>
      </c>
      <c r="N86">
        <v>1010</v>
      </c>
      <c r="O86" t="s">
        <v>196</v>
      </c>
      <c r="P86" t="s">
        <v>196</v>
      </c>
      <c r="Q86">
        <v>1</v>
      </c>
      <c r="X86">
        <v>1</v>
      </c>
      <c r="Y86">
        <v>603.87</v>
      </c>
      <c r="Z86">
        <v>0</v>
      </c>
      <c r="AA86">
        <v>0</v>
      </c>
      <c r="AB86">
        <v>0</v>
      </c>
      <c r="AC86">
        <v>0</v>
      </c>
      <c r="AD86">
        <v>1</v>
      </c>
      <c r="AE86">
        <v>0</v>
      </c>
      <c r="AF86" t="s">
        <v>3</v>
      </c>
      <c r="AG86">
        <v>1</v>
      </c>
      <c r="AH86">
        <v>2</v>
      </c>
      <c r="AI86">
        <v>75703788</v>
      </c>
      <c r="AJ86">
        <v>88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ROW(Source!A198)</f>
        <v>198</v>
      </c>
      <c r="B87">
        <v>75704127</v>
      </c>
      <c r="C87">
        <v>75703777</v>
      </c>
      <c r="D87">
        <v>75396313</v>
      </c>
      <c r="E87">
        <v>1</v>
      </c>
      <c r="F87">
        <v>1</v>
      </c>
      <c r="G87">
        <v>39</v>
      </c>
      <c r="H87">
        <v>3</v>
      </c>
      <c r="I87" t="s">
        <v>194</v>
      </c>
      <c r="J87" t="s">
        <v>197</v>
      </c>
      <c r="K87" t="s">
        <v>195</v>
      </c>
      <c r="L87">
        <v>1354</v>
      </c>
      <c r="N87">
        <v>1010</v>
      </c>
      <c r="O87" t="s">
        <v>196</v>
      </c>
      <c r="P87" t="s">
        <v>196</v>
      </c>
      <c r="Q87">
        <v>1</v>
      </c>
      <c r="X87">
        <v>1</v>
      </c>
      <c r="Y87">
        <v>5025.26</v>
      </c>
      <c r="Z87">
        <v>0</v>
      </c>
      <c r="AA87">
        <v>0</v>
      </c>
      <c r="AB87">
        <v>0</v>
      </c>
      <c r="AC87">
        <v>0</v>
      </c>
      <c r="AD87">
        <v>1</v>
      </c>
      <c r="AE87">
        <v>0</v>
      </c>
      <c r="AF87" t="s">
        <v>3</v>
      </c>
      <c r="AG87">
        <v>1</v>
      </c>
      <c r="AH87">
        <v>2</v>
      </c>
      <c r="AI87">
        <v>75703803</v>
      </c>
      <c r="AJ87">
        <v>89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ROW(Source!A203)</f>
        <v>203</v>
      </c>
      <c r="B88">
        <v>75704128</v>
      </c>
      <c r="C88">
        <v>75703810</v>
      </c>
      <c r="D88">
        <v>75386788</v>
      </c>
      <c r="E88">
        <v>39</v>
      </c>
      <c r="F88">
        <v>1</v>
      </c>
      <c r="G88">
        <v>39</v>
      </c>
      <c r="H88">
        <v>1</v>
      </c>
      <c r="I88" t="s">
        <v>276</v>
      </c>
      <c r="J88" t="s">
        <v>3</v>
      </c>
      <c r="K88" t="s">
        <v>277</v>
      </c>
      <c r="L88">
        <v>1191</v>
      </c>
      <c r="N88">
        <v>1013</v>
      </c>
      <c r="O88" t="s">
        <v>278</v>
      </c>
      <c r="P88" t="s">
        <v>278</v>
      </c>
      <c r="Q88">
        <v>1</v>
      </c>
      <c r="X88">
        <v>77.86</v>
      </c>
      <c r="Y88">
        <v>0</v>
      </c>
      <c r="Z88">
        <v>0</v>
      </c>
      <c r="AA88">
        <v>0</v>
      </c>
      <c r="AB88">
        <v>0</v>
      </c>
      <c r="AC88">
        <v>0</v>
      </c>
      <c r="AD88">
        <v>1</v>
      </c>
      <c r="AE88">
        <v>1</v>
      </c>
      <c r="AF88" t="s">
        <v>3</v>
      </c>
      <c r="AG88">
        <v>77.86</v>
      </c>
      <c r="AH88">
        <v>2</v>
      </c>
      <c r="AI88">
        <v>75703811</v>
      </c>
      <c r="AJ88">
        <v>92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ROW(Source!A203)</f>
        <v>203</v>
      </c>
      <c r="B89">
        <v>75704129</v>
      </c>
      <c r="C89">
        <v>75703810</v>
      </c>
      <c r="D89">
        <v>75389672</v>
      </c>
      <c r="E89">
        <v>1</v>
      </c>
      <c r="F89">
        <v>1</v>
      </c>
      <c r="G89">
        <v>39</v>
      </c>
      <c r="H89">
        <v>3</v>
      </c>
      <c r="I89" t="s">
        <v>285</v>
      </c>
      <c r="J89" t="s">
        <v>286</v>
      </c>
      <c r="K89" t="s">
        <v>287</v>
      </c>
      <c r="L89">
        <v>1348</v>
      </c>
      <c r="N89">
        <v>1009</v>
      </c>
      <c r="O89" t="s">
        <v>56</v>
      </c>
      <c r="P89" t="s">
        <v>56</v>
      </c>
      <c r="Q89">
        <v>1000</v>
      </c>
      <c r="X89">
        <v>1.2E-2</v>
      </c>
      <c r="Y89">
        <v>95976.83</v>
      </c>
      <c r="Z89">
        <v>0</v>
      </c>
      <c r="AA89">
        <v>0</v>
      </c>
      <c r="AB89">
        <v>0</v>
      </c>
      <c r="AC89">
        <v>0</v>
      </c>
      <c r="AD89">
        <v>1</v>
      </c>
      <c r="AE89">
        <v>0</v>
      </c>
      <c r="AF89" t="s">
        <v>3</v>
      </c>
      <c r="AG89">
        <v>1.2E-2</v>
      </c>
      <c r="AH89">
        <v>2</v>
      </c>
      <c r="AI89">
        <v>75703812</v>
      </c>
      <c r="AJ89">
        <v>93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ROW(Source!A203)</f>
        <v>203</v>
      </c>
      <c r="B90">
        <v>75704130</v>
      </c>
      <c r="C90">
        <v>75703810</v>
      </c>
      <c r="D90">
        <v>75389710</v>
      </c>
      <c r="E90">
        <v>1</v>
      </c>
      <c r="F90">
        <v>1</v>
      </c>
      <c r="G90">
        <v>39</v>
      </c>
      <c r="H90">
        <v>3</v>
      </c>
      <c r="I90" t="s">
        <v>365</v>
      </c>
      <c r="J90" t="s">
        <v>366</v>
      </c>
      <c r="K90" t="s">
        <v>367</v>
      </c>
      <c r="L90">
        <v>1348</v>
      </c>
      <c r="N90">
        <v>1009</v>
      </c>
      <c r="O90" t="s">
        <v>56</v>
      </c>
      <c r="P90" t="s">
        <v>56</v>
      </c>
      <c r="Q90">
        <v>1000</v>
      </c>
      <c r="X90">
        <v>3.5000000000000003E-2</v>
      </c>
      <c r="Y90">
        <v>87313.75</v>
      </c>
      <c r="Z90">
        <v>0</v>
      </c>
      <c r="AA90">
        <v>0</v>
      </c>
      <c r="AB90">
        <v>0</v>
      </c>
      <c r="AC90">
        <v>0</v>
      </c>
      <c r="AD90">
        <v>1</v>
      </c>
      <c r="AE90">
        <v>0</v>
      </c>
      <c r="AF90" t="s">
        <v>3</v>
      </c>
      <c r="AG90">
        <v>3.5000000000000003E-2</v>
      </c>
      <c r="AH90">
        <v>2</v>
      </c>
      <c r="AI90">
        <v>75703813</v>
      </c>
      <c r="AJ90">
        <v>94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ROW(Source!A203)</f>
        <v>203</v>
      </c>
      <c r="B91">
        <v>75704131</v>
      </c>
      <c r="C91">
        <v>75703810</v>
      </c>
      <c r="D91">
        <v>75393920</v>
      </c>
      <c r="E91">
        <v>1</v>
      </c>
      <c r="F91">
        <v>1</v>
      </c>
      <c r="G91">
        <v>39</v>
      </c>
      <c r="H91">
        <v>3</v>
      </c>
      <c r="I91" t="s">
        <v>368</v>
      </c>
      <c r="J91" t="s">
        <v>369</v>
      </c>
      <c r="K91" t="s">
        <v>370</v>
      </c>
      <c r="L91">
        <v>1301</v>
      </c>
      <c r="N91">
        <v>1003</v>
      </c>
      <c r="O91" t="s">
        <v>36</v>
      </c>
      <c r="P91" t="s">
        <v>36</v>
      </c>
      <c r="Q91">
        <v>1</v>
      </c>
      <c r="X91">
        <v>400</v>
      </c>
      <c r="Y91">
        <v>27.14</v>
      </c>
      <c r="Z91">
        <v>0</v>
      </c>
      <c r="AA91">
        <v>0</v>
      </c>
      <c r="AB91">
        <v>0</v>
      </c>
      <c r="AC91">
        <v>0</v>
      </c>
      <c r="AD91">
        <v>1</v>
      </c>
      <c r="AE91">
        <v>0</v>
      </c>
      <c r="AF91" t="s">
        <v>3</v>
      </c>
      <c r="AG91">
        <v>400</v>
      </c>
      <c r="AH91">
        <v>2</v>
      </c>
      <c r="AI91">
        <v>75703814</v>
      </c>
      <c r="AJ91">
        <v>95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ROW(Source!A205)</f>
        <v>205</v>
      </c>
      <c r="B92">
        <v>75704132</v>
      </c>
      <c r="C92">
        <v>75703821</v>
      </c>
      <c r="D92">
        <v>75386788</v>
      </c>
      <c r="E92">
        <v>39</v>
      </c>
      <c r="F92">
        <v>1</v>
      </c>
      <c r="G92">
        <v>39</v>
      </c>
      <c r="H92">
        <v>1</v>
      </c>
      <c r="I92" t="s">
        <v>276</v>
      </c>
      <c r="J92" t="s">
        <v>3</v>
      </c>
      <c r="K92" t="s">
        <v>277</v>
      </c>
      <c r="L92">
        <v>1191</v>
      </c>
      <c r="N92">
        <v>1013</v>
      </c>
      <c r="O92" t="s">
        <v>278</v>
      </c>
      <c r="P92" t="s">
        <v>278</v>
      </c>
      <c r="Q92">
        <v>1</v>
      </c>
      <c r="X92">
        <v>38.76</v>
      </c>
      <c r="Y92">
        <v>0</v>
      </c>
      <c r="Z92">
        <v>0</v>
      </c>
      <c r="AA92">
        <v>0</v>
      </c>
      <c r="AB92">
        <v>0</v>
      </c>
      <c r="AC92">
        <v>0</v>
      </c>
      <c r="AD92">
        <v>1</v>
      </c>
      <c r="AE92">
        <v>1</v>
      </c>
      <c r="AF92" t="s">
        <v>3</v>
      </c>
      <c r="AG92">
        <v>38.76</v>
      </c>
      <c r="AH92">
        <v>2</v>
      </c>
      <c r="AI92">
        <v>75703822</v>
      </c>
      <c r="AJ92">
        <v>97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ROW(Source!A205)</f>
        <v>205</v>
      </c>
      <c r="B93">
        <v>75704133</v>
      </c>
      <c r="C93">
        <v>75703821</v>
      </c>
      <c r="D93">
        <v>75394576</v>
      </c>
      <c r="E93">
        <v>1</v>
      </c>
      <c r="F93">
        <v>1</v>
      </c>
      <c r="G93">
        <v>39</v>
      </c>
      <c r="H93">
        <v>3</v>
      </c>
      <c r="I93" t="s">
        <v>395</v>
      </c>
      <c r="J93" t="s">
        <v>396</v>
      </c>
      <c r="K93" t="s">
        <v>397</v>
      </c>
      <c r="L93">
        <v>1035</v>
      </c>
      <c r="N93">
        <v>1013</v>
      </c>
      <c r="O93" t="s">
        <v>191</v>
      </c>
      <c r="P93" t="s">
        <v>191</v>
      </c>
      <c r="Q93">
        <v>1</v>
      </c>
      <c r="X93">
        <v>200</v>
      </c>
      <c r="Y93">
        <v>132.30000000000001</v>
      </c>
      <c r="Z93">
        <v>0</v>
      </c>
      <c r="AA93">
        <v>0</v>
      </c>
      <c r="AB93">
        <v>0</v>
      </c>
      <c r="AC93">
        <v>0</v>
      </c>
      <c r="AD93">
        <v>1</v>
      </c>
      <c r="AE93">
        <v>0</v>
      </c>
      <c r="AF93" t="s">
        <v>3</v>
      </c>
      <c r="AG93">
        <v>200</v>
      </c>
      <c r="AH93">
        <v>2</v>
      </c>
      <c r="AI93">
        <v>75703823</v>
      </c>
      <c r="AJ93">
        <v>98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ROW(Source!A206)</f>
        <v>206</v>
      </c>
      <c r="B94">
        <v>75704134</v>
      </c>
      <c r="C94">
        <v>75703826</v>
      </c>
      <c r="D94">
        <v>75386788</v>
      </c>
      <c r="E94">
        <v>39</v>
      </c>
      <c r="F94">
        <v>1</v>
      </c>
      <c r="G94">
        <v>39</v>
      </c>
      <c r="H94">
        <v>1</v>
      </c>
      <c r="I94" t="s">
        <v>276</v>
      </c>
      <c r="J94" t="s">
        <v>3</v>
      </c>
      <c r="K94" t="s">
        <v>277</v>
      </c>
      <c r="L94">
        <v>1191</v>
      </c>
      <c r="N94">
        <v>1013</v>
      </c>
      <c r="O94" t="s">
        <v>278</v>
      </c>
      <c r="P94" t="s">
        <v>278</v>
      </c>
      <c r="Q94">
        <v>1</v>
      </c>
      <c r="X94">
        <v>1.21</v>
      </c>
      <c r="Y94">
        <v>0</v>
      </c>
      <c r="Z94">
        <v>0</v>
      </c>
      <c r="AA94">
        <v>0</v>
      </c>
      <c r="AB94">
        <v>0</v>
      </c>
      <c r="AC94">
        <v>0</v>
      </c>
      <c r="AD94">
        <v>1</v>
      </c>
      <c r="AE94">
        <v>1</v>
      </c>
      <c r="AF94" t="s">
        <v>3</v>
      </c>
      <c r="AG94">
        <v>1.21</v>
      </c>
      <c r="AH94">
        <v>2</v>
      </c>
      <c r="AI94">
        <v>75703827</v>
      </c>
      <c r="AJ94">
        <v>99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ROW(Source!A207)</f>
        <v>207</v>
      </c>
      <c r="B95">
        <v>75704135</v>
      </c>
      <c r="C95">
        <v>75703829</v>
      </c>
      <c r="D95">
        <v>75386788</v>
      </c>
      <c r="E95">
        <v>39</v>
      </c>
      <c r="F95">
        <v>1</v>
      </c>
      <c r="G95">
        <v>39</v>
      </c>
      <c r="H95">
        <v>1</v>
      </c>
      <c r="I95" t="s">
        <v>276</v>
      </c>
      <c r="J95" t="s">
        <v>3</v>
      </c>
      <c r="K95" t="s">
        <v>277</v>
      </c>
      <c r="L95">
        <v>1191</v>
      </c>
      <c r="N95">
        <v>1013</v>
      </c>
      <c r="O95" t="s">
        <v>278</v>
      </c>
      <c r="P95" t="s">
        <v>278</v>
      </c>
      <c r="Q95">
        <v>1</v>
      </c>
      <c r="X95">
        <v>1.72</v>
      </c>
      <c r="Y95">
        <v>0</v>
      </c>
      <c r="Z95">
        <v>0</v>
      </c>
      <c r="AA95">
        <v>0</v>
      </c>
      <c r="AB95">
        <v>0</v>
      </c>
      <c r="AC95">
        <v>0</v>
      </c>
      <c r="AD95">
        <v>1</v>
      </c>
      <c r="AE95">
        <v>1</v>
      </c>
      <c r="AF95" t="s">
        <v>3</v>
      </c>
      <c r="AG95">
        <v>1.72</v>
      </c>
      <c r="AH95">
        <v>2</v>
      </c>
      <c r="AI95">
        <v>75703830</v>
      </c>
      <c r="AJ95">
        <v>100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ROW(Source!A207)</f>
        <v>207</v>
      </c>
      <c r="B96">
        <v>75704136</v>
      </c>
      <c r="C96">
        <v>75703829</v>
      </c>
      <c r="D96">
        <v>75390591</v>
      </c>
      <c r="E96">
        <v>1</v>
      </c>
      <c r="F96">
        <v>1</v>
      </c>
      <c r="G96">
        <v>39</v>
      </c>
      <c r="H96">
        <v>3</v>
      </c>
      <c r="I96" t="s">
        <v>377</v>
      </c>
      <c r="J96" t="s">
        <v>378</v>
      </c>
      <c r="K96" t="s">
        <v>379</v>
      </c>
      <c r="L96">
        <v>1346</v>
      </c>
      <c r="N96">
        <v>1009</v>
      </c>
      <c r="O96" t="s">
        <v>51</v>
      </c>
      <c r="P96" t="s">
        <v>51</v>
      </c>
      <c r="Q96">
        <v>1</v>
      </c>
      <c r="X96">
        <v>6.3E-2</v>
      </c>
      <c r="Y96">
        <v>656.56</v>
      </c>
      <c r="Z96">
        <v>0</v>
      </c>
      <c r="AA96">
        <v>0</v>
      </c>
      <c r="AB96">
        <v>0</v>
      </c>
      <c r="AC96">
        <v>0</v>
      </c>
      <c r="AD96">
        <v>1</v>
      </c>
      <c r="AE96">
        <v>0</v>
      </c>
      <c r="AF96" t="s">
        <v>3</v>
      </c>
      <c r="AG96">
        <v>6.3E-2</v>
      </c>
      <c r="AH96">
        <v>2</v>
      </c>
      <c r="AI96">
        <v>75703831</v>
      </c>
      <c r="AJ96">
        <v>101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ROW(Source!A207)</f>
        <v>207</v>
      </c>
      <c r="B97">
        <v>75704137</v>
      </c>
      <c r="C97">
        <v>75703829</v>
      </c>
      <c r="D97">
        <v>75389029</v>
      </c>
      <c r="E97">
        <v>1</v>
      </c>
      <c r="F97">
        <v>1</v>
      </c>
      <c r="G97">
        <v>39</v>
      </c>
      <c r="H97">
        <v>3</v>
      </c>
      <c r="I97" t="s">
        <v>383</v>
      </c>
      <c r="J97" t="s">
        <v>384</v>
      </c>
      <c r="K97" t="s">
        <v>385</v>
      </c>
      <c r="L97">
        <v>1348</v>
      </c>
      <c r="N97">
        <v>1009</v>
      </c>
      <c r="O97" t="s">
        <v>56</v>
      </c>
      <c r="P97" t="s">
        <v>56</v>
      </c>
      <c r="Q97">
        <v>1000</v>
      </c>
      <c r="X97">
        <v>1.2999999999999999E-4</v>
      </c>
      <c r="Y97">
        <v>91558.65</v>
      </c>
      <c r="Z97">
        <v>0</v>
      </c>
      <c r="AA97">
        <v>0</v>
      </c>
      <c r="AB97">
        <v>0</v>
      </c>
      <c r="AC97">
        <v>0</v>
      </c>
      <c r="AD97">
        <v>1</v>
      </c>
      <c r="AE97">
        <v>0</v>
      </c>
      <c r="AF97" t="s">
        <v>3</v>
      </c>
      <c r="AG97">
        <v>1.2999999999999999E-4</v>
      </c>
      <c r="AH97">
        <v>2</v>
      </c>
      <c r="AI97">
        <v>75703832</v>
      </c>
      <c r="AJ97">
        <v>103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ROW(Source!A207)</f>
        <v>207</v>
      </c>
      <c r="B98">
        <v>75704138</v>
      </c>
      <c r="C98">
        <v>75703829</v>
      </c>
      <c r="D98">
        <v>75389070</v>
      </c>
      <c r="E98">
        <v>1</v>
      </c>
      <c r="F98">
        <v>1</v>
      </c>
      <c r="G98">
        <v>39</v>
      </c>
      <c r="H98">
        <v>3</v>
      </c>
      <c r="I98" t="s">
        <v>386</v>
      </c>
      <c r="J98" t="s">
        <v>387</v>
      </c>
      <c r="K98" t="s">
        <v>388</v>
      </c>
      <c r="L98">
        <v>1346</v>
      </c>
      <c r="N98">
        <v>1009</v>
      </c>
      <c r="O98" t="s">
        <v>51</v>
      </c>
      <c r="P98" t="s">
        <v>51</v>
      </c>
      <c r="Q98">
        <v>1</v>
      </c>
      <c r="X98">
        <v>6.3E-2</v>
      </c>
      <c r="Y98">
        <v>99.65</v>
      </c>
      <c r="Z98">
        <v>0</v>
      </c>
      <c r="AA98">
        <v>0</v>
      </c>
      <c r="AB98">
        <v>0</v>
      </c>
      <c r="AC98">
        <v>0</v>
      </c>
      <c r="AD98">
        <v>1</v>
      </c>
      <c r="AE98">
        <v>0</v>
      </c>
      <c r="AF98" t="s">
        <v>3</v>
      </c>
      <c r="AG98">
        <v>6.3E-2</v>
      </c>
      <c r="AH98">
        <v>2</v>
      </c>
      <c r="AI98">
        <v>75703833</v>
      </c>
      <c r="AJ98">
        <v>104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ROW(Source!A244)</f>
        <v>244</v>
      </c>
      <c r="B99">
        <v>75704139</v>
      </c>
      <c r="C99">
        <v>75703896</v>
      </c>
      <c r="D99">
        <v>75386788</v>
      </c>
      <c r="E99">
        <v>39</v>
      </c>
      <c r="F99">
        <v>1</v>
      </c>
      <c r="G99">
        <v>39</v>
      </c>
      <c r="H99">
        <v>1</v>
      </c>
      <c r="I99" t="s">
        <v>276</v>
      </c>
      <c r="J99" t="s">
        <v>3</v>
      </c>
      <c r="K99" t="s">
        <v>277</v>
      </c>
      <c r="L99">
        <v>1191</v>
      </c>
      <c r="N99">
        <v>1013</v>
      </c>
      <c r="O99" t="s">
        <v>278</v>
      </c>
      <c r="P99" t="s">
        <v>278</v>
      </c>
      <c r="Q99">
        <v>1</v>
      </c>
      <c r="X99">
        <v>29.74</v>
      </c>
      <c r="Y99">
        <v>0</v>
      </c>
      <c r="Z99">
        <v>0</v>
      </c>
      <c r="AA99">
        <v>0</v>
      </c>
      <c r="AB99">
        <v>0</v>
      </c>
      <c r="AC99">
        <v>0</v>
      </c>
      <c r="AD99">
        <v>1</v>
      </c>
      <c r="AE99">
        <v>1</v>
      </c>
      <c r="AF99" t="s">
        <v>3</v>
      </c>
      <c r="AG99">
        <v>29.74</v>
      </c>
      <c r="AH99">
        <v>2</v>
      </c>
      <c r="AI99">
        <v>75703897</v>
      </c>
      <c r="AJ99">
        <v>105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ROW(Source!A282)</f>
        <v>282</v>
      </c>
      <c r="B100">
        <v>75704140</v>
      </c>
      <c r="C100">
        <v>75703959</v>
      </c>
      <c r="D100">
        <v>75386788</v>
      </c>
      <c r="E100">
        <v>39</v>
      </c>
      <c r="F100">
        <v>1</v>
      </c>
      <c r="G100">
        <v>39</v>
      </c>
      <c r="H100">
        <v>1</v>
      </c>
      <c r="I100" t="s">
        <v>276</v>
      </c>
      <c r="J100" t="s">
        <v>3</v>
      </c>
      <c r="K100" t="s">
        <v>277</v>
      </c>
      <c r="L100">
        <v>1191</v>
      </c>
      <c r="N100">
        <v>1013</v>
      </c>
      <c r="O100" t="s">
        <v>278</v>
      </c>
      <c r="P100" t="s">
        <v>278</v>
      </c>
      <c r="Q100">
        <v>1</v>
      </c>
      <c r="X100">
        <v>46.19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1</v>
      </c>
      <c r="AE100">
        <v>1</v>
      </c>
      <c r="AF100" t="s">
        <v>3</v>
      </c>
      <c r="AG100">
        <v>46.19</v>
      </c>
      <c r="AH100">
        <v>2</v>
      </c>
      <c r="AI100">
        <v>75703960</v>
      </c>
      <c r="AJ100">
        <v>108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ROW(Source!A282)</f>
        <v>282</v>
      </c>
      <c r="B101">
        <v>75704141</v>
      </c>
      <c r="C101">
        <v>75703959</v>
      </c>
      <c r="D101">
        <v>75388752</v>
      </c>
      <c r="E101">
        <v>1</v>
      </c>
      <c r="F101">
        <v>1</v>
      </c>
      <c r="G101">
        <v>39</v>
      </c>
      <c r="H101">
        <v>3</v>
      </c>
      <c r="I101" t="s">
        <v>398</v>
      </c>
      <c r="J101" t="s">
        <v>399</v>
      </c>
      <c r="K101" t="s">
        <v>400</v>
      </c>
      <c r="L101">
        <v>1348</v>
      </c>
      <c r="N101">
        <v>1009</v>
      </c>
      <c r="O101" t="s">
        <v>56</v>
      </c>
      <c r="P101" t="s">
        <v>56</v>
      </c>
      <c r="Q101">
        <v>1000</v>
      </c>
      <c r="X101">
        <v>0.05</v>
      </c>
      <c r="Y101">
        <v>8017.57</v>
      </c>
      <c r="Z101">
        <v>0</v>
      </c>
      <c r="AA101">
        <v>0</v>
      </c>
      <c r="AB101">
        <v>0</v>
      </c>
      <c r="AC101">
        <v>0</v>
      </c>
      <c r="AD101">
        <v>1</v>
      </c>
      <c r="AE101">
        <v>0</v>
      </c>
      <c r="AF101" t="s">
        <v>3</v>
      </c>
      <c r="AG101">
        <v>0.05</v>
      </c>
      <c r="AH101">
        <v>2</v>
      </c>
      <c r="AI101">
        <v>75703961</v>
      </c>
      <c r="AJ101">
        <v>109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ROW(Source!A282)</f>
        <v>282</v>
      </c>
      <c r="B102">
        <v>75704142</v>
      </c>
      <c r="C102">
        <v>75703959</v>
      </c>
      <c r="D102">
        <v>75397345</v>
      </c>
      <c r="E102">
        <v>1</v>
      </c>
      <c r="F102">
        <v>1</v>
      </c>
      <c r="G102">
        <v>39</v>
      </c>
      <c r="H102">
        <v>3</v>
      </c>
      <c r="I102" t="s">
        <v>251</v>
      </c>
      <c r="J102" t="s">
        <v>253</v>
      </c>
      <c r="K102" t="s">
        <v>252</v>
      </c>
      <c r="L102">
        <v>1354</v>
      </c>
      <c r="N102">
        <v>1010</v>
      </c>
      <c r="O102" t="s">
        <v>196</v>
      </c>
      <c r="P102" t="s">
        <v>196</v>
      </c>
      <c r="Q102">
        <v>1</v>
      </c>
      <c r="X102">
        <v>100</v>
      </c>
      <c r="Y102">
        <v>287.24</v>
      </c>
      <c r="Z102">
        <v>0</v>
      </c>
      <c r="AA102">
        <v>0</v>
      </c>
      <c r="AB102">
        <v>0</v>
      </c>
      <c r="AC102">
        <v>0</v>
      </c>
      <c r="AD102">
        <v>1</v>
      </c>
      <c r="AE102">
        <v>0</v>
      </c>
      <c r="AF102" t="s">
        <v>3</v>
      </c>
      <c r="AG102">
        <v>100</v>
      </c>
      <c r="AH102">
        <v>2</v>
      </c>
      <c r="AI102">
        <v>75703968</v>
      </c>
      <c r="AJ102">
        <v>110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ROW(Source!A350)</f>
        <v>350</v>
      </c>
      <c r="B103">
        <v>75705873</v>
      </c>
      <c r="C103">
        <v>75704025</v>
      </c>
      <c r="D103">
        <v>75387788</v>
      </c>
      <c r="E103">
        <v>1</v>
      </c>
      <c r="F103">
        <v>1</v>
      </c>
      <c r="G103">
        <v>39</v>
      </c>
      <c r="H103">
        <v>2</v>
      </c>
      <c r="I103" t="s">
        <v>401</v>
      </c>
      <c r="J103" t="s">
        <v>402</v>
      </c>
      <c r="K103" t="s">
        <v>403</v>
      </c>
      <c r="L103">
        <v>1368</v>
      </c>
      <c r="N103">
        <v>1011</v>
      </c>
      <c r="O103" t="s">
        <v>282</v>
      </c>
      <c r="P103" t="s">
        <v>282</v>
      </c>
      <c r="Q103">
        <v>1</v>
      </c>
      <c r="X103">
        <v>5.3699999999999998E-2</v>
      </c>
      <c r="Y103">
        <v>0</v>
      </c>
      <c r="Z103">
        <v>2195.02</v>
      </c>
      <c r="AA103">
        <v>940.44</v>
      </c>
      <c r="AB103">
        <v>0</v>
      </c>
      <c r="AC103">
        <v>0</v>
      </c>
      <c r="AD103">
        <v>1</v>
      </c>
      <c r="AE103">
        <v>0</v>
      </c>
      <c r="AF103" t="s">
        <v>3</v>
      </c>
      <c r="AG103">
        <v>5.3699999999999998E-2</v>
      </c>
      <c r="AH103">
        <v>2</v>
      </c>
      <c r="AI103">
        <v>75705873</v>
      </c>
      <c r="AJ103">
        <v>112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ROW(Source!A351)</f>
        <v>351</v>
      </c>
      <c r="B104">
        <v>75704144</v>
      </c>
      <c r="C104">
        <v>75704028</v>
      </c>
      <c r="D104">
        <v>75388479</v>
      </c>
      <c r="E104">
        <v>1</v>
      </c>
      <c r="F104">
        <v>1</v>
      </c>
      <c r="G104">
        <v>39</v>
      </c>
      <c r="H104">
        <v>2</v>
      </c>
      <c r="I104" t="s">
        <v>404</v>
      </c>
      <c r="J104" t="s">
        <v>405</v>
      </c>
      <c r="K104" t="s">
        <v>406</v>
      </c>
      <c r="L104">
        <v>1368</v>
      </c>
      <c r="N104">
        <v>1011</v>
      </c>
      <c r="O104" t="s">
        <v>282</v>
      </c>
      <c r="P104" t="s">
        <v>282</v>
      </c>
      <c r="Q104">
        <v>1</v>
      </c>
      <c r="X104">
        <v>0.02</v>
      </c>
      <c r="Y104">
        <v>0</v>
      </c>
      <c r="Z104">
        <v>1552.57</v>
      </c>
      <c r="AA104">
        <v>619.16</v>
      </c>
      <c r="AB104">
        <v>0</v>
      </c>
      <c r="AC104">
        <v>0</v>
      </c>
      <c r="AD104">
        <v>1</v>
      </c>
      <c r="AE104">
        <v>0</v>
      </c>
      <c r="AF104" t="s">
        <v>3</v>
      </c>
      <c r="AG104">
        <v>0.02</v>
      </c>
      <c r="AH104">
        <v>2</v>
      </c>
      <c r="AI104">
        <v>75704029</v>
      </c>
      <c r="AJ104">
        <v>113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ROW(Source!A351)</f>
        <v>351</v>
      </c>
      <c r="B105">
        <v>75704145</v>
      </c>
      <c r="C105">
        <v>75704028</v>
      </c>
      <c r="D105">
        <v>75388480</v>
      </c>
      <c r="E105">
        <v>1</v>
      </c>
      <c r="F105">
        <v>1</v>
      </c>
      <c r="G105">
        <v>39</v>
      </c>
      <c r="H105">
        <v>2</v>
      </c>
      <c r="I105" t="s">
        <v>407</v>
      </c>
      <c r="J105" t="s">
        <v>408</v>
      </c>
      <c r="K105" t="s">
        <v>409</v>
      </c>
      <c r="L105">
        <v>1368</v>
      </c>
      <c r="N105">
        <v>1011</v>
      </c>
      <c r="O105" t="s">
        <v>282</v>
      </c>
      <c r="P105" t="s">
        <v>282</v>
      </c>
      <c r="Q105">
        <v>1</v>
      </c>
      <c r="X105">
        <v>1.7999999999999999E-2</v>
      </c>
      <c r="Y105">
        <v>0</v>
      </c>
      <c r="Z105">
        <v>1566.41</v>
      </c>
      <c r="AA105">
        <v>619.79</v>
      </c>
      <c r="AB105">
        <v>0</v>
      </c>
      <c r="AC105">
        <v>0</v>
      </c>
      <c r="AD105">
        <v>1</v>
      </c>
      <c r="AE105">
        <v>0</v>
      </c>
      <c r="AF105" t="s">
        <v>3</v>
      </c>
      <c r="AG105">
        <v>1.7999999999999999E-2</v>
      </c>
      <c r="AH105">
        <v>2</v>
      </c>
      <c r="AI105">
        <v>75704030</v>
      </c>
      <c r="AJ105">
        <v>114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ROW(Source!A352)</f>
        <v>352</v>
      </c>
      <c r="B106">
        <v>75704146</v>
      </c>
      <c r="C106">
        <v>75704033</v>
      </c>
      <c r="D106">
        <v>75388479</v>
      </c>
      <c r="E106">
        <v>1</v>
      </c>
      <c r="F106">
        <v>1</v>
      </c>
      <c r="G106">
        <v>39</v>
      </c>
      <c r="H106">
        <v>2</v>
      </c>
      <c r="I106" t="s">
        <v>404</v>
      </c>
      <c r="J106" t="s">
        <v>405</v>
      </c>
      <c r="K106" t="s">
        <v>406</v>
      </c>
      <c r="L106">
        <v>1368</v>
      </c>
      <c r="N106">
        <v>1011</v>
      </c>
      <c r="O106" t="s">
        <v>282</v>
      </c>
      <c r="P106" t="s">
        <v>282</v>
      </c>
      <c r="Q106">
        <v>1</v>
      </c>
      <c r="X106">
        <v>0.01</v>
      </c>
      <c r="Y106">
        <v>0</v>
      </c>
      <c r="Z106">
        <v>1552.57</v>
      </c>
      <c r="AA106">
        <v>619.16</v>
      </c>
      <c r="AB106">
        <v>0</v>
      </c>
      <c r="AC106">
        <v>0</v>
      </c>
      <c r="AD106">
        <v>1</v>
      </c>
      <c r="AE106">
        <v>0</v>
      </c>
      <c r="AF106" t="s">
        <v>268</v>
      </c>
      <c r="AG106">
        <v>0.48</v>
      </c>
      <c r="AH106">
        <v>2</v>
      </c>
      <c r="AI106">
        <v>75704034</v>
      </c>
      <c r="AJ106">
        <v>115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ROW(Source!A352)</f>
        <v>352</v>
      </c>
      <c r="B107">
        <v>75704147</v>
      </c>
      <c r="C107">
        <v>75704033</v>
      </c>
      <c r="D107">
        <v>75388480</v>
      </c>
      <c r="E107">
        <v>1</v>
      </c>
      <c r="F107">
        <v>1</v>
      </c>
      <c r="G107">
        <v>39</v>
      </c>
      <c r="H107">
        <v>2</v>
      </c>
      <c r="I107" t="s">
        <v>407</v>
      </c>
      <c r="J107" t="s">
        <v>408</v>
      </c>
      <c r="K107" t="s">
        <v>409</v>
      </c>
      <c r="L107">
        <v>1368</v>
      </c>
      <c r="N107">
        <v>1011</v>
      </c>
      <c r="O107" t="s">
        <v>282</v>
      </c>
      <c r="P107" t="s">
        <v>282</v>
      </c>
      <c r="Q107">
        <v>1</v>
      </c>
      <c r="X107">
        <v>8.0000000000000002E-3</v>
      </c>
      <c r="Y107">
        <v>0</v>
      </c>
      <c r="Z107">
        <v>1566.41</v>
      </c>
      <c r="AA107">
        <v>619.79</v>
      </c>
      <c r="AB107">
        <v>0</v>
      </c>
      <c r="AC107">
        <v>0</v>
      </c>
      <c r="AD107">
        <v>1</v>
      </c>
      <c r="AE107">
        <v>0</v>
      </c>
      <c r="AF107" t="s">
        <v>268</v>
      </c>
      <c r="AG107">
        <v>0.38400000000000001</v>
      </c>
      <c r="AH107">
        <v>2</v>
      </c>
      <c r="AI107">
        <v>75704035</v>
      </c>
      <c r="AJ107">
        <v>116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21" x14ac:dyDescent="0.2">
      <c r="A1">
        <v>155</v>
      </c>
      <c r="B1">
        <v>1</v>
      </c>
      <c r="C1" t="s">
        <v>3</v>
      </c>
      <c r="D1" t="s">
        <v>159</v>
      </c>
      <c r="E1" t="s">
        <v>160</v>
      </c>
      <c r="F1" t="s">
        <v>160</v>
      </c>
      <c r="G1" t="s">
        <v>160</v>
      </c>
      <c r="H1" t="s">
        <v>3</v>
      </c>
      <c r="I1" t="s">
        <v>160</v>
      </c>
      <c r="J1" t="s">
        <v>160</v>
      </c>
      <c r="K1" t="s">
        <v>3</v>
      </c>
      <c r="L1" t="s">
        <v>3</v>
      </c>
      <c r="M1" t="s">
        <v>3</v>
      </c>
      <c r="N1" t="s">
        <v>159</v>
      </c>
      <c r="O1" t="s">
        <v>160</v>
      </c>
      <c r="P1" t="s">
        <v>3</v>
      </c>
      <c r="Q1" t="s">
        <v>3</v>
      </c>
      <c r="R1" t="s">
        <v>3</v>
      </c>
      <c r="S1" t="s">
        <v>412</v>
      </c>
      <c r="T1" t="s">
        <v>414</v>
      </c>
      <c r="U1" t="s">
        <v>413</v>
      </c>
    </row>
    <row r="2" spans="1:21" x14ac:dyDescent="0.2">
      <c r="A2">
        <v>156</v>
      </c>
      <c r="B2">
        <v>1</v>
      </c>
      <c r="C2" t="s">
        <v>3</v>
      </c>
      <c r="D2" t="s">
        <v>159</v>
      </c>
      <c r="E2" t="s">
        <v>160</v>
      </c>
      <c r="F2" t="s">
        <v>160</v>
      </c>
      <c r="G2" t="s">
        <v>160</v>
      </c>
      <c r="H2" t="s">
        <v>3</v>
      </c>
      <c r="I2" t="s">
        <v>160</v>
      </c>
      <c r="J2" t="s">
        <v>160</v>
      </c>
      <c r="K2" t="s">
        <v>3</v>
      </c>
      <c r="L2" t="s">
        <v>3</v>
      </c>
      <c r="M2" t="s">
        <v>3</v>
      </c>
      <c r="N2" t="s">
        <v>159</v>
      </c>
      <c r="O2" t="s">
        <v>160</v>
      </c>
      <c r="P2" t="s">
        <v>3</v>
      </c>
      <c r="Q2" t="s">
        <v>3</v>
      </c>
      <c r="R2" t="s">
        <v>3</v>
      </c>
      <c r="S2" t="s">
        <v>412</v>
      </c>
      <c r="T2" t="s">
        <v>414</v>
      </c>
      <c r="U2" t="s">
        <v>413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6</vt:i4>
      </vt:variant>
    </vt:vector>
  </HeadingPairs>
  <TitlesOfParts>
    <vt:vector size="16" baseType="lpstr">
      <vt:lpstr>Смета СН-2012 по гл. 1-5</vt:lpstr>
      <vt:lpstr>Дефектная ведомость</vt:lpstr>
      <vt:lpstr>RV_DATA</vt:lpstr>
      <vt:lpstr>Расчет стоимости ресурсов</vt:lpstr>
      <vt:lpstr>Source</vt:lpstr>
      <vt:lpstr>SourceObSm</vt:lpstr>
      <vt:lpstr>SmtRes</vt:lpstr>
      <vt:lpstr>EtalonRes</vt:lpstr>
      <vt:lpstr>SrcPoprs</vt:lpstr>
      <vt:lpstr>SrcKA</vt:lpstr>
      <vt:lpstr>'Дефектная ведомость'!Заголовки_для_печати</vt:lpstr>
      <vt:lpstr>'Расчет стоимости ресурсов'!Заголовки_для_печати</vt:lpstr>
      <vt:lpstr>'Смета СН-2012 по гл. 1-5'!Заголовки_для_печати</vt:lpstr>
      <vt:lpstr>'Дефектная ведомость'!Область_печати</vt:lpstr>
      <vt:lpstr>'Расчет стоимости ресурсов'!Область_печати</vt:lpstr>
      <vt:lpstr>'Смета СН-2012 по гл. 1-5'!Область_печати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Windows</cp:lastModifiedBy>
  <cp:lastPrinted>2025-04-09T09:23:00Z</cp:lastPrinted>
  <dcterms:created xsi:type="dcterms:W3CDTF">2025-04-08T10:08:53Z</dcterms:created>
  <dcterms:modified xsi:type="dcterms:W3CDTF">2025-04-09T09:23:03Z</dcterms:modified>
</cp:coreProperties>
</file>